
<file path=[Content_Types].xml><?xml version="1.0" encoding="utf-8"?>
<Types xmlns="http://schemas.openxmlformats.org/package/2006/content-types">
  <Override PartName="/xl/worksheets/sheet15.xml" ContentType="application/vnd.openxmlformats-officedocument.spreadsheetml.worksheet+xml"/>
  <Override PartName="/xl/worksheets/sheet9.xml" ContentType="application/vnd.openxmlformats-officedocument.spreadsheetml.worksheet+xml"/>
  <Override PartName="/xl/worksheets/sheet13.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comments8.xml" ContentType="application/vnd.openxmlformats-officedocument.spreadsheetml.comments+xml"/>
  <Override PartName="/xl/charts/chart4.xml" ContentType="application/vnd.openxmlformats-officedocument.drawingml.chart+xml"/>
  <Override PartName="/xl/worksheets/sheet7.xml" ContentType="application/vnd.openxmlformats-officedocument.spreadsheetml.worksheet+xml"/>
  <Override PartName="/xl/worksheets/sheet11.xml" ContentType="application/vnd.openxmlformats-officedocument.spreadsheetml.worksheet+xml"/>
  <Override PartName="/xl/worksheets/sheet20.xml" ContentType="application/vnd.openxmlformats-officedocument.spreadsheetml.worksheet+xml"/>
  <Override PartName="/xl/comments6.xml" ContentType="application/vnd.openxmlformats-officedocument.spreadsheetml.comments+xml"/>
  <Override PartName="/xl/charts/chart2.xml" ContentType="application/vnd.openxmlformats-officedocument.drawingml.chart+xml"/>
  <Override PartName="/xl/drawings/drawing4.xml" ContentType="application/vnd.openxmlformats-officedocument.drawing+xml"/>
  <Override PartName="/xl/charts/style4.xml" ContentType="application/vnd.ms-office.chartstyle+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externalLinks/externalLink4.xml" ContentType="application/vnd.openxmlformats-officedocument.spreadsheetml.externalLink+xml"/>
  <Override PartName="/xl/comments4.xml" ContentType="application/vnd.openxmlformats-officedocument.spreadsheetml.comments+xml"/>
  <Override PartName="/xl/comments5.xml" ContentType="application/vnd.openxmlformats-officedocument.spreadsheetml.comments+xml"/>
  <Override PartName="/xl/drawings/drawing2.xml" ContentType="application/vnd.openxmlformats-officedocument.drawing+xml"/>
  <Override PartName="/xl/charts/chart1.xml" ContentType="application/vnd.openxmlformats-officedocument.drawingml.chart+xml"/>
  <Default Extension="docx" ContentType="application/vnd.openxmlformats-officedocument.wordprocessingml.document"/>
  <Override PartName="/xl/drawings/drawing3.xml" ContentType="application/vnd.openxmlformats-officedocument.drawing+xml"/>
  <Override PartName="/xl/charts/style3.xml" ContentType="application/vnd.ms-office.chartstyle+xml"/>
  <Override PartName="/xl/charts/style1.xml" ContentType="application/vnd.ms-office.chartstyle+xml"/>
  <Override PartName="/xl/charts/style2.xml" ContentType="application/vnd.ms-office.chartstyle+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comments2.xml" ContentType="application/vnd.openxmlformats-officedocument.spreadsheetml.comments+xml"/>
  <Override PartName="/xl/comments3.xml" ContentType="application/vnd.openxmlformats-officedocument.spreadsheetml.comments+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charts/colors4.xml" ContentType="application/vnd.ms-office.chartcolorstyle+xml"/>
  <Override PartName="/xl/worksheets/sheet19.xml" ContentType="application/vnd.openxmlformats-officedocument.spreadsheetml.worksheet+xml"/>
  <Override PartName="/xl/sharedStrings.xml" ContentType="application/vnd.openxmlformats-officedocument.spreadsheetml.sharedStrings+xml"/>
  <Override PartName="/xl/charts/colors3.xml" ContentType="application/vnd.ms-office.chartcolorstyle+xml"/>
  <Override PartName="/xl/charts/colors2.xml" ContentType="application/vnd.ms-office.chartcolorstyle+xml"/>
  <Override PartName="/xl/worksheets/sheet17.xml" ContentType="application/vnd.openxmlformats-officedocument.spreadsheetml.worksheet+xml"/>
  <Override PartName="/xl/worksheets/sheet18.xml" ContentType="application/vnd.openxmlformats-officedocument.spreadsheetml.worksheet+xml"/>
  <Override PartName="/xl/charts/colors1.xml" ContentType="application/vnd.ms-office.chartcolorstyle+xml"/>
  <Override PartName="/docProps/core.xml" ContentType="application/vnd.openxmlformats-package.core-properties+xml"/>
  <Override PartName="/xl/worksheets/sheet16.xml" ContentType="application/vnd.openxmlformats-officedocument.spreadsheetml.worksheet+xml"/>
  <Default Extension="bin" ContentType="application/vnd.openxmlformats-officedocument.spreadsheetml.printerSettings"/>
  <Override PartName="/xl/worksheets/sheet14.xml" ContentType="application/vnd.openxmlformats-officedocument.spreadsheetml.worksheet+xml"/>
  <Override PartName="/xl/charts/chart5.xml" ContentType="application/vnd.openxmlformats-officedocument.drawingml.chart+xml"/>
  <Override PartName="/xl/worksheets/sheet6.xml" ContentType="application/vnd.openxmlformats-officedocument.spreadsheetml.worksheet+xml"/>
  <Override PartName="/xl/worksheets/sheet8.xml" ContentType="application/vnd.openxmlformats-officedocument.spreadsheetml.worksheet+xml"/>
  <Override PartName="/xl/worksheets/sheet12.xml" ContentType="application/vnd.openxmlformats-officedocument.spreadsheetml.worksheet+xml"/>
  <Override PartName="/xl/worksheets/sheet21.xml" ContentType="application/vnd.openxmlformats-officedocument.spreadsheetml.worksheet+xml"/>
  <Override PartName="/xl/comments7.xml" ContentType="application/vnd.openxmlformats-officedocument.spreadsheetml.comments+xml"/>
  <Default Extension="emf" ContentType="image/x-emf"/>
  <Override PartName="/xl/charts/chart3.xml" ContentType="application/vnd.openxmlformats-officedocument.drawingml.chart+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defaultThemeVersion="124226"/>
  <bookViews>
    <workbookView xWindow="120" yWindow="135" windowWidth="23910" windowHeight="11145" tabRatio="844" activeTab="1"/>
  </bookViews>
  <sheets>
    <sheet name="forRPM" sheetId="26" r:id="rId1"/>
    <sheet name="7PSourceSummary" sheetId="5" r:id="rId2"/>
    <sheet name="SC-New" sheetId="1" r:id="rId3"/>
    <sheet name="SC-NR" sheetId="2" r:id="rId4"/>
    <sheet name="M_Input_Out" sheetId="24" r:id="rId5"/>
    <sheet name="M_Input" sheetId="23" r:id="rId6"/>
    <sheet name="M_Input(Fixture)_Out" sheetId="16" r:id="rId7"/>
    <sheet name="M_Input(Fixture)" sheetId="6" r:id="rId8"/>
    <sheet name="M_Input(Fixt wo OM)_Out" sheetId="18" r:id="rId9"/>
    <sheet name="M_Input(Fixt wo OM)" sheetId="17" r:id="rId10"/>
    <sheet name="M_Weight" sheetId="21" r:id="rId11"/>
    <sheet name="Watt Allocation" sheetId="19" r:id="rId12"/>
    <sheet name="Savings and Cost Analysis" sheetId="13" r:id="rId13"/>
    <sheet name="Reference Fixtures" sheetId="11" r:id="rId14"/>
    <sheet name="DOE2014 Sales Pen" sheetId="25" r:id="rId15"/>
    <sheet name="CBSA Data" sheetId="10" r:id="rId16"/>
    <sheet name="Approach" sheetId="12" r:id="rId17"/>
    <sheet name="ETO Cost Data" sheetId="14" r:id="rId18"/>
    <sheet name="Sheet1" sheetId="15" r:id="rId19"/>
    <sheet name="LOG" sheetId="4" r:id="rId20"/>
    <sheet name="ToDo7P" sheetId="8" r:id="rId21"/>
    <sheet name="DOE 2017 Rule" sheetId="27" r:id="rId22"/>
  </sheets>
  <externalReferences>
    <externalReference r:id="rId23"/>
    <externalReference r:id="rId24"/>
    <externalReference r:id="rId25"/>
    <externalReference r:id="rId26"/>
  </externalReferences>
  <definedNames>
    <definedName name="_xlnm._FilterDatabase" localSheetId="5" hidden="1">M_Input!$A$147:$EA$171</definedName>
    <definedName name="_xlnm._FilterDatabase" localSheetId="4" hidden="1">M_Input_Out!$A$3:$EA$27</definedName>
    <definedName name="_xlnm._FilterDatabase" localSheetId="12" hidden="1">'Savings and Cost Analysis'!$AM$12:$CW$49</definedName>
    <definedName name="_xlnm._FilterDatabase" localSheetId="18" hidden="1">Sheet1!$A$1:$G$576</definedName>
    <definedName name="_Key1" localSheetId="5" hidden="1">#REF!</definedName>
    <definedName name="_Key1" hidden="1">#REF!</definedName>
    <definedName name="_Order1" hidden="1">255</definedName>
    <definedName name="_Sort" localSheetId="5" hidden="1">#REF!</definedName>
    <definedName name="_Sort" hidden="1">#REF!</definedName>
    <definedName name="CostMatrix">'Savings and Cost Analysis'!$AM$12:$CW$49</definedName>
    <definedName name="Resid_Carryover">'SC-New'!$C$157:$Y$167</definedName>
    <definedName name="VSTOCK">[1]Lookup!$C$4:$D$12</definedName>
    <definedName name="Watt_Allocation">'Watt Allocation'!$C$38:$K$46</definedName>
    <definedName name="Watt_Class_Ext">'Reference Fixtures'!$A$10:$M$34</definedName>
  </definedNames>
  <calcPr calcId="125725"/>
</workbook>
</file>

<file path=xl/calcChain.xml><?xml version="1.0" encoding="utf-8"?>
<calcChain xmlns="http://schemas.openxmlformats.org/spreadsheetml/2006/main">
  <c r="B8" i="4"/>
  <c r="D9" i="1" l="1"/>
  <c r="D8"/>
  <c r="D9" i="2"/>
  <c r="D8"/>
  <c r="AA3" i="25"/>
  <c r="AB3"/>
  <c r="AC3"/>
  <c r="AD3"/>
  <c r="AE3"/>
  <c r="AF3"/>
  <c r="AG3"/>
  <c r="AH3"/>
  <c r="AA4"/>
  <c r="AF4"/>
  <c r="AG4"/>
  <c r="AH4"/>
  <c r="AA5"/>
  <c r="AB5"/>
  <c r="AC5"/>
  <c r="AD5"/>
  <c r="AE5"/>
  <c r="AF5"/>
  <c r="AG5"/>
  <c r="AH5"/>
  <c r="AB6"/>
  <c r="AC6"/>
  <c r="AD6"/>
  <c r="AE6"/>
  <c r="AF6"/>
  <c r="AG6"/>
  <c r="AH6"/>
  <c r="AB7"/>
  <c r="AC7"/>
  <c r="AD7"/>
  <c r="AE7"/>
  <c r="AF7"/>
  <c r="AG7"/>
  <c r="AH7"/>
  <c r="AB8"/>
  <c r="AC8"/>
  <c r="AD8"/>
  <c r="AE8"/>
  <c r="AF8"/>
  <c r="AG8"/>
  <c r="AH8"/>
  <c r="AB9"/>
  <c r="AC9"/>
  <c r="AD9"/>
  <c r="AE9"/>
  <c r="AF9"/>
  <c r="AG9"/>
  <c r="AH9"/>
  <c r="AB10"/>
  <c r="AC10"/>
  <c r="AD10"/>
  <c r="AE10"/>
  <c r="AF10"/>
  <c r="AG10"/>
  <c r="AH10"/>
  <c r="AB11"/>
  <c r="AC11"/>
  <c r="AD11"/>
  <c r="AE11"/>
  <c r="AF11"/>
  <c r="AG11"/>
  <c r="AH11"/>
  <c r="AB12"/>
  <c r="AC12"/>
  <c r="AD12"/>
  <c r="AE12"/>
  <c r="AF12"/>
  <c r="AG12"/>
  <c r="AH12"/>
  <c r="AB13"/>
  <c r="AC13"/>
  <c r="AD13"/>
  <c r="AE13"/>
  <c r="AF13"/>
  <c r="AG13"/>
  <c r="AH13"/>
  <c r="AB14"/>
  <c r="AC14"/>
  <c r="AD14"/>
  <c r="AE14"/>
  <c r="AF14"/>
  <c r="AG14"/>
  <c r="AH14"/>
  <c r="AB15"/>
  <c r="AC15"/>
  <c r="AD15"/>
  <c r="AE15"/>
  <c r="AF15"/>
  <c r="AG15"/>
  <c r="AH15"/>
  <c r="AB16"/>
  <c r="AC16"/>
  <c r="AD16"/>
  <c r="AE16"/>
  <c r="AF16"/>
  <c r="AG16"/>
  <c r="AH16"/>
  <c r="AB17"/>
  <c r="AC17"/>
  <c r="AD17"/>
  <c r="AE17"/>
  <c r="AF17"/>
  <c r="AG17"/>
  <c r="AH17"/>
  <c r="AB18"/>
  <c r="AC18"/>
  <c r="AD18"/>
  <c r="AE18"/>
  <c r="AF18"/>
  <c r="AG18"/>
  <c r="AH18"/>
  <c r="AB19"/>
  <c r="AC19"/>
  <c r="AD19"/>
  <c r="AE19"/>
  <c r="AF19"/>
  <c r="AG19"/>
  <c r="AH19"/>
  <c r="AB20"/>
  <c r="AC20"/>
  <c r="AD20"/>
  <c r="AE20"/>
  <c r="AF20"/>
  <c r="AG20"/>
  <c r="AH20"/>
  <c r="AB21"/>
  <c r="AC21"/>
  <c r="AD21"/>
  <c r="AE21"/>
  <c r="AF21"/>
  <c r="AG21"/>
  <c r="AH21"/>
  <c r="AB22"/>
  <c r="AC22"/>
  <c r="AD22"/>
  <c r="AE22"/>
  <c r="AF22"/>
  <c r="AG22"/>
  <c r="AH22"/>
  <c r="A38" i="1" l="1"/>
  <c r="C9" i="2"/>
  <c r="C9" i="1"/>
  <c r="C8" i="2"/>
  <c r="A9" s="1"/>
  <c r="C8" i="1"/>
  <c r="A9" s="1"/>
  <c r="C18" i="26"/>
  <c r="C17"/>
  <c r="C16"/>
  <c r="C15"/>
  <c r="C14"/>
  <c r="C13"/>
  <c r="C12"/>
  <c r="C11"/>
  <c r="C10"/>
  <c r="C9"/>
  <c r="C8"/>
  <c r="C7"/>
  <c r="C6"/>
  <c r="C5"/>
  <c r="C4"/>
  <c r="C3"/>
  <c r="BB83" i="25" l="1"/>
  <c r="BB82"/>
  <c r="BB81"/>
  <c r="AA27" i="4"/>
  <c r="AA26"/>
  <c r="AA25"/>
  <c r="AE70" i="25" l="1"/>
  <c r="AD70"/>
  <c r="AC70"/>
  <c r="AB70"/>
  <c r="E63" i="27" l="1"/>
  <c r="AD71" i="25"/>
  <c r="B5" i="4"/>
  <c r="B6"/>
  <c r="B7"/>
  <c r="B4"/>
  <c r="AC71" i="25"/>
  <c r="AB71"/>
  <c r="BE13" i="13"/>
  <c r="N25" i="14"/>
  <c r="AC73" i="25" l="1"/>
  <c r="AC72"/>
  <c r="AD72"/>
  <c r="AD73" s="1"/>
  <c r="AB72"/>
  <c r="AB73" s="1"/>
  <c r="I11" i="26"/>
  <c r="AG11" s="1"/>
  <c r="AH11"/>
  <c r="AM11"/>
  <c r="AP11"/>
  <c r="AV11"/>
  <c r="AY11"/>
  <c r="BD11"/>
  <c r="I12"/>
  <c r="AF12" s="1"/>
  <c r="BB12"/>
  <c r="I13"/>
  <c r="AH13" s="1"/>
  <c r="AG13"/>
  <c r="AI13"/>
  <c r="AJ13"/>
  <c r="AM13"/>
  <c r="AN13"/>
  <c r="AO13"/>
  <c r="AS13"/>
  <c r="AT13"/>
  <c r="AV13"/>
  <c r="AX13"/>
  <c r="AZ13"/>
  <c r="BA13"/>
  <c r="BD13"/>
  <c r="I14"/>
  <c r="AH14" s="1"/>
  <c r="I15"/>
  <c r="AG15" s="1"/>
  <c r="AF15"/>
  <c r="AH15"/>
  <c r="AJ15"/>
  <c r="AL15"/>
  <c r="AM15"/>
  <c r="AP15"/>
  <c r="AQ15"/>
  <c r="AS15"/>
  <c r="AV15"/>
  <c r="AW15"/>
  <c r="AY15"/>
  <c r="BA15"/>
  <c r="BC15"/>
  <c r="BD15"/>
  <c r="I16"/>
  <c r="AF16" s="1"/>
  <c r="AI16"/>
  <c r="AK16"/>
  <c r="AM16"/>
  <c r="AQ16"/>
  <c r="AT16"/>
  <c r="AV16"/>
  <c r="AZ16"/>
  <c r="BB16"/>
  <c r="BD16"/>
  <c r="I17"/>
  <c r="AH17" s="1"/>
  <c r="AF17"/>
  <c r="AG17"/>
  <c r="AI17"/>
  <c r="AJ17"/>
  <c r="AK17"/>
  <c r="AM17"/>
  <c r="AN17"/>
  <c r="AO17"/>
  <c r="AQ17"/>
  <c r="AS17"/>
  <c r="AT17"/>
  <c r="AV17"/>
  <c r="AW17"/>
  <c r="AX17"/>
  <c r="AZ17"/>
  <c r="BA17"/>
  <c r="BB17"/>
  <c r="BD17"/>
  <c r="I18"/>
  <c r="AH18" s="1"/>
  <c r="F11"/>
  <c r="G11"/>
  <c r="H11"/>
  <c r="F13"/>
  <c r="G13"/>
  <c r="H13"/>
  <c r="F15"/>
  <c r="H15"/>
  <c r="F16"/>
  <c r="G16"/>
  <c r="H16"/>
  <c r="F17"/>
  <c r="G17"/>
  <c r="H17"/>
  <c r="B12"/>
  <c r="A12" s="1"/>
  <c r="B13"/>
  <c r="A13" s="1"/>
  <c r="B14"/>
  <c r="A14" s="1"/>
  <c r="B15"/>
  <c r="A15" s="1"/>
  <c r="B16"/>
  <c r="A16" s="1"/>
  <c r="B17"/>
  <c r="A17" s="1"/>
  <c r="B18"/>
  <c r="A18" s="1"/>
  <c r="B11"/>
  <c r="A11" s="1"/>
  <c r="I2"/>
  <c r="B4"/>
  <c r="A4" s="1"/>
  <c r="B5"/>
  <c r="A5" s="1"/>
  <c r="B6"/>
  <c r="A6" s="1"/>
  <c r="B7"/>
  <c r="A7" s="1"/>
  <c r="B8"/>
  <c r="A8" s="1"/>
  <c r="B9"/>
  <c r="A9" s="1"/>
  <c r="B10"/>
  <c r="A10" s="1"/>
  <c r="I4"/>
  <c r="AJ4" s="1"/>
  <c r="I5"/>
  <c r="H5" s="1"/>
  <c r="I6"/>
  <c r="AJ6" s="1"/>
  <c r="I7"/>
  <c r="AJ7" s="1"/>
  <c r="I8"/>
  <c r="AN8" s="1"/>
  <c r="I9"/>
  <c r="AF9" s="1"/>
  <c r="I10"/>
  <c r="AN10" s="1"/>
  <c r="I3"/>
  <c r="F3" s="1"/>
  <c r="B3"/>
  <c r="A3" s="1"/>
  <c r="AT3"/>
  <c r="AM3"/>
  <c r="AJ3"/>
  <c r="AL3"/>
  <c r="AF3"/>
  <c r="AS8"/>
  <c r="AQ8"/>
  <c r="BC8"/>
  <c r="AV8"/>
  <c r="AY8"/>
  <c r="AN4"/>
  <c r="AL4"/>
  <c r="AO4"/>
  <c r="AQ4"/>
  <c r="AI9"/>
  <c r="BC9"/>
  <c r="AN5"/>
  <c r="BD5"/>
  <c r="AJ10"/>
  <c r="BB10"/>
  <c r="BD6"/>
  <c r="H7"/>
  <c r="AF7"/>
  <c r="AN7"/>
  <c r="AS7"/>
  <c r="AW7"/>
  <c r="AM7"/>
  <c r="AV7"/>
  <c r="BD7"/>
  <c r="AL7"/>
  <c r="AU7"/>
  <c r="BC7"/>
  <c r="AK7"/>
  <c r="AO7"/>
  <c r="AT7"/>
  <c r="BB7"/>
  <c r="AI7"/>
  <c r="AQ7"/>
  <c r="AP7"/>
  <c r="AY7"/>
  <c r="F7"/>
  <c r="G7"/>
  <c r="G5"/>
  <c r="AD2"/>
  <c r="AC2"/>
  <c r="AB2"/>
  <c r="AA2"/>
  <c r="Z2"/>
  <c r="Y2"/>
  <c r="X2"/>
  <c r="W2"/>
  <c r="V2"/>
  <c r="U2"/>
  <c r="T2"/>
  <c r="S2"/>
  <c r="R2"/>
  <c r="Q2"/>
  <c r="P2"/>
  <c r="O2"/>
  <c r="N2"/>
  <c r="M2"/>
  <c r="L2"/>
  <c r="K2"/>
  <c r="CR9" i="13"/>
  <c r="CS9"/>
  <c r="CT9"/>
  <c r="CU9"/>
  <c r="CV9"/>
  <c r="B119" i="2"/>
  <c r="B120"/>
  <c r="B121"/>
  <c r="B122"/>
  <c r="B123"/>
  <c r="B124"/>
  <c r="B125"/>
  <c r="B118"/>
  <c r="A119"/>
  <c r="A120"/>
  <c r="A121"/>
  <c r="A122"/>
  <c r="A123"/>
  <c r="A124"/>
  <c r="A125"/>
  <c r="A118"/>
  <c r="D118"/>
  <c r="D119"/>
  <c r="D120"/>
  <c r="D121"/>
  <c r="D122"/>
  <c r="D123"/>
  <c r="D124"/>
  <c r="D125"/>
  <c r="D103"/>
  <c r="D104"/>
  <c r="D105"/>
  <c r="D106"/>
  <c r="D107"/>
  <c r="D108"/>
  <c r="D109"/>
  <c r="D110"/>
  <c r="D90"/>
  <c r="D91"/>
  <c r="D92"/>
  <c r="D93"/>
  <c r="D94"/>
  <c r="D95"/>
  <c r="D96"/>
  <c r="D97"/>
  <c r="A78"/>
  <c r="A79"/>
  <c r="A80"/>
  <c r="A81"/>
  <c r="A82"/>
  <c r="A83"/>
  <c r="A84"/>
  <c r="A77"/>
  <c r="A65"/>
  <c r="A66"/>
  <c r="A67"/>
  <c r="A68"/>
  <c r="A69"/>
  <c r="A70"/>
  <c r="A71"/>
  <c r="A64"/>
  <c r="CQ11" i="13"/>
  <c r="Y86" i="2"/>
  <c r="Y85"/>
  <c r="Y80"/>
  <c r="Z80"/>
  <c r="Y78"/>
  <c r="Z78"/>
  <c r="Y68"/>
  <c r="Z68"/>
  <c r="Y67"/>
  <c r="Z67"/>
  <c r="Y66"/>
  <c r="Z66"/>
  <c r="Y65"/>
  <c r="Z65"/>
  <c r="Y77"/>
  <c r="Z77"/>
  <c r="Z86"/>
  <c r="Y81"/>
  <c r="Z81"/>
  <c r="Y79"/>
  <c r="Z79"/>
  <c r="Y64"/>
  <c r="D89"/>
  <c r="D102"/>
  <c r="Y73"/>
  <c r="Z64"/>
  <c r="Z73"/>
  <c r="F10"/>
  <c r="E11"/>
  <c r="G10"/>
  <c r="C69" i="1"/>
  <c r="A69"/>
  <c r="C70"/>
  <c r="B70"/>
  <c r="C71"/>
  <c r="B71"/>
  <c r="A39"/>
  <c r="A40"/>
  <c r="A41"/>
  <c r="A42"/>
  <c r="A43"/>
  <c r="A44"/>
  <c r="A45"/>
  <c r="A71"/>
  <c r="H10" i="2"/>
  <c r="B69" i="1"/>
  <c r="A70"/>
  <c r="I10" i="2"/>
  <c r="J10"/>
  <c r="K10"/>
  <c r="L10"/>
  <c r="M10"/>
  <c r="N10"/>
  <c r="O10"/>
  <c r="P10"/>
  <c r="Q10"/>
  <c r="R10"/>
  <c r="S10"/>
  <c r="T10"/>
  <c r="U10"/>
  <c r="V10"/>
  <c r="W10"/>
  <c r="X10"/>
  <c r="B2" i="23"/>
  <c r="I31" i="21"/>
  <c r="G31" i="23" s="1"/>
  <c r="I30" i="21"/>
  <c r="G30" i="23" s="1"/>
  <c r="I29" i="21"/>
  <c r="G29" i="23" s="1"/>
  <c r="I28" i="21"/>
  <c r="G28" i="23" s="1"/>
  <c r="I27" i="21"/>
  <c r="G27" i="23" s="1"/>
  <c r="I26" i="21"/>
  <c r="G26" i="23" s="1"/>
  <c r="I25" i="21"/>
  <c r="G25" i="23" s="1"/>
  <c r="I24" i="21"/>
  <c r="G24" i="23" s="1"/>
  <c r="I23" i="21"/>
  <c r="G23" i="23" s="1"/>
  <c r="I22" i="21"/>
  <c r="G22" i="23" s="1"/>
  <c r="I21" i="21"/>
  <c r="G21" i="23" s="1"/>
  <c r="I20" i="21"/>
  <c r="G20" i="23" s="1"/>
  <c r="I19" i="21"/>
  <c r="G19" i="23" s="1"/>
  <c r="I18" i="21"/>
  <c r="G18" i="23" s="1"/>
  <c r="I17" i="21"/>
  <c r="G17" i="23" s="1"/>
  <c r="I16" i="21"/>
  <c r="G16" i="23" s="1"/>
  <c r="I15" i="21"/>
  <c r="G15" i="23" s="1"/>
  <c r="I14" i="21"/>
  <c r="G14" i="23" s="1"/>
  <c r="I13" i="21"/>
  <c r="G13" i="23" s="1"/>
  <c r="I12" i="21"/>
  <c r="G12" i="23" s="1"/>
  <c r="I11" i="21"/>
  <c r="G11" i="23" s="1"/>
  <c r="I10" i="21"/>
  <c r="G10" i="23" s="1"/>
  <c r="I9" i="21"/>
  <c r="G9" i="23" s="1"/>
  <c r="I8" i="21"/>
  <c r="G8" i="23" s="1"/>
  <c r="D2" i="21"/>
  <c r="CK9" i="13"/>
  <c r="CL9"/>
  <c r="CM9"/>
  <c r="CN9"/>
  <c r="CO9"/>
  <c r="CP9"/>
  <c r="CQ9"/>
  <c r="CW11"/>
  <c r="N36" i="19"/>
  <c r="N40"/>
  <c r="N41"/>
  <c r="N42"/>
  <c r="N43"/>
  <c r="N44"/>
  <c r="N45"/>
  <c r="N46"/>
  <c r="N39"/>
  <c r="M46"/>
  <c r="M45"/>
  <c r="M44"/>
  <c r="M43"/>
  <c r="M42"/>
  <c r="M41"/>
  <c r="M40"/>
  <c r="M39"/>
  <c r="N18"/>
  <c r="M18"/>
  <c r="N17"/>
  <c r="M17"/>
  <c r="N16"/>
  <c r="M16"/>
  <c r="N15"/>
  <c r="M15"/>
  <c r="N14"/>
  <c r="M14"/>
  <c r="N13"/>
  <c r="M13"/>
  <c r="N12"/>
  <c r="M12"/>
  <c r="N11"/>
  <c r="M11"/>
  <c r="CH9" i="13"/>
  <c r="CI9"/>
  <c r="CJ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AM9"/>
  <c r="X86" i="19"/>
  <c r="Y84"/>
  <c r="Z84"/>
  <c r="AA84"/>
  <c r="AB84"/>
  <c r="AC84"/>
  <c r="AD84"/>
  <c r="Y86"/>
  <c r="Z86"/>
  <c r="AA86"/>
  <c r="AB86"/>
  <c r="AC86"/>
  <c r="AD86"/>
  <c r="Y87"/>
  <c r="Z87"/>
  <c r="AA87"/>
  <c r="AB87"/>
  <c r="AC87"/>
  <c r="AD87"/>
  <c r="Y88"/>
  <c r="Z88"/>
  <c r="AA88"/>
  <c r="AB88"/>
  <c r="AC88"/>
  <c r="AD88"/>
  <c r="Y89"/>
  <c r="Z89"/>
  <c r="AE89"/>
  <c r="AA89"/>
  <c r="AB89"/>
  <c r="AC89"/>
  <c r="AD89"/>
  <c r="Y90"/>
  <c r="Z90"/>
  <c r="AA90"/>
  <c r="AB90"/>
  <c r="AC90"/>
  <c r="AD90"/>
  <c r="Y91"/>
  <c r="Z91"/>
  <c r="AA91"/>
  <c r="AB91"/>
  <c r="AC91"/>
  <c r="AD91"/>
  <c r="Y92"/>
  <c r="Z92"/>
  <c r="AA92"/>
  <c r="AB92"/>
  <c r="AC92"/>
  <c r="AD92"/>
  <c r="Y93"/>
  <c r="Z93"/>
  <c r="AE93"/>
  <c r="AA93"/>
  <c r="AB93"/>
  <c r="AC93"/>
  <c r="AD93"/>
  <c r="Y94"/>
  <c r="Z94"/>
  <c r="AA94"/>
  <c r="AB94"/>
  <c r="AC94"/>
  <c r="AD94"/>
  <c r="Y95"/>
  <c r="Z95"/>
  <c r="AA95"/>
  <c r="AB95"/>
  <c r="AC95"/>
  <c r="AD95"/>
  <c r="X87"/>
  <c r="X88"/>
  <c r="X89"/>
  <c r="X90"/>
  <c r="X91"/>
  <c r="X92"/>
  <c r="X93"/>
  <c r="X94"/>
  <c r="X95"/>
  <c r="X84"/>
  <c r="P96"/>
  <c r="U84"/>
  <c r="P95"/>
  <c r="U95"/>
  <c r="P94"/>
  <c r="P93"/>
  <c r="U94"/>
  <c r="P92"/>
  <c r="U93"/>
  <c r="P91"/>
  <c r="U87"/>
  <c r="P90"/>
  <c r="U92"/>
  <c r="P89"/>
  <c r="U91"/>
  <c r="P88"/>
  <c r="U90"/>
  <c r="P87"/>
  <c r="U89"/>
  <c r="P86"/>
  <c r="P85"/>
  <c r="U88"/>
  <c r="P84"/>
  <c r="U86"/>
  <c r="E32"/>
  <c r="F32"/>
  <c r="G32"/>
  <c r="H32"/>
  <c r="I32"/>
  <c r="J32"/>
  <c r="K32"/>
  <c r="D32"/>
  <c r="E25"/>
  <c r="F25"/>
  <c r="G25"/>
  <c r="H25"/>
  <c r="I25"/>
  <c r="J25"/>
  <c r="K25"/>
  <c r="E26"/>
  <c r="F26"/>
  <c r="G26"/>
  <c r="H26"/>
  <c r="I26"/>
  <c r="J26"/>
  <c r="K26"/>
  <c r="E27"/>
  <c r="F27"/>
  <c r="G27"/>
  <c r="H27"/>
  <c r="I27"/>
  <c r="J27"/>
  <c r="K27"/>
  <c r="E28"/>
  <c r="F28"/>
  <c r="G28"/>
  <c r="H28"/>
  <c r="I28"/>
  <c r="J28"/>
  <c r="K28"/>
  <c r="E29"/>
  <c r="F29"/>
  <c r="G29"/>
  <c r="H29"/>
  <c r="I29"/>
  <c r="J29"/>
  <c r="K29"/>
  <c r="E30"/>
  <c r="F30"/>
  <c r="G30"/>
  <c r="H30"/>
  <c r="I30"/>
  <c r="J30"/>
  <c r="K30"/>
  <c r="E31"/>
  <c r="F31"/>
  <c r="G31"/>
  <c r="H31"/>
  <c r="I31"/>
  <c r="J31"/>
  <c r="K31"/>
  <c r="D26"/>
  <c r="D27"/>
  <c r="D28"/>
  <c r="D29"/>
  <c r="D30"/>
  <c r="D31"/>
  <c r="D25"/>
  <c r="H58"/>
  <c r="I58"/>
  <c r="J58"/>
  <c r="K58"/>
  <c r="L58"/>
  <c r="M58"/>
  <c r="N58"/>
  <c r="O58"/>
  <c r="P58"/>
  <c r="Q58"/>
  <c r="R58"/>
  <c r="S58"/>
  <c r="T58"/>
  <c r="U58"/>
  <c r="V58"/>
  <c r="W58"/>
  <c r="X58"/>
  <c r="G58"/>
  <c r="Z52"/>
  <c r="AE94"/>
  <c r="AE90"/>
  <c r="AE86"/>
  <c r="AE84"/>
  <c r="AE92"/>
  <c r="AE88"/>
  <c r="AE95"/>
  <c r="AE91"/>
  <c r="AE87"/>
  <c r="E58"/>
  <c r="D44"/>
  <c r="K44"/>
  <c r="H42"/>
  <c r="H39"/>
  <c r="J41"/>
  <c r="G46"/>
  <c r="J42"/>
  <c r="F39"/>
  <c r="F43"/>
  <c r="I39"/>
  <c r="K41"/>
  <c r="F44"/>
  <c r="H46"/>
  <c r="F41"/>
  <c r="E44"/>
  <c r="D39"/>
  <c r="K39"/>
  <c r="F42"/>
  <c r="H44"/>
  <c r="D45"/>
  <c r="H41"/>
  <c r="G44"/>
  <c r="G42"/>
  <c r="D40"/>
  <c r="J40"/>
  <c r="E43"/>
  <c r="G45"/>
  <c r="E40"/>
  <c r="K42"/>
  <c r="F45"/>
  <c r="K46"/>
  <c r="E41"/>
  <c r="G43"/>
  <c r="I45"/>
  <c r="G40"/>
  <c r="I42"/>
  <c r="E46"/>
  <c r="I46"/>
  <c r="F46"/>
  <c r="D42"/>
  <c r="D43"/>
  <c r="J46"/>
  <c r="D46"/>
  <c r="F40"/>
  <c r="J44"/>
  <c r="I44"/>
  <c r="H40"/>
  <c r="E45"/>
  <c r="E42"/>
  <c r="H45"/>
  <c r="J39"/>
  <c r="E39"/>
  <c r="G41"/>
  <c r="I43"/>
  <c r="K45"/>
  <c r="I40"/>
  <c r="H43"/>
  <c r="J45"/>
  <c r="G39"/>
  <c r="I41"/>
  <c r="K43"/>
  <c r="D41"/>
  <c r="K40"/>
  <c r="J43"/>
  <c r="CG33" i="13"/>
  <c r="CQ33" s="1"/>
  <c r="CG30"/>
  <c r="CI30" s="1"/>
  <c r="CG36"/>
  <c r="CQ36" s="1"/>
  <c r="CG23"/>
  <c r="CQ23" s="1"/>
  <c r="CG27"/>
  <c r="CQ27" s="1"/>
  <c r="CG25"/>
  <c r="CQ25" s="1"/>
  <c r="CG22"/>
  <c r="CQ22" s="1"/>
  <c r="CG26"/>
  <c r="CQ26" s="1"/>
  <c r="CG24"/>
  <c r="CQ24" s="1"/>
  <c r="CG35"/>
  <c r="CI35" s="1"/>
  <c r="CG29"/>
  <c r="CQ29" s="1"/>
  <c r="CG32"/>
  <c r="CG31"/>
  <c r="CQ31" s="1"/>
  <c r="CG34"/>
  <c r="CG28"/>
  <c r="CQ28" s="1"/>
  <c r="CG15"/>
  <c r="CQ15" s="1"/>
  <c r="CG19"/>
  <c r="CQ19" s="1"/>
  <c r="CG21"/>
  <c r="CG16"/>
  <c r="CQ16" s="1"/>
  <c r="CG14"/>
  <c r="CQ14" s="1"/>
  <c r="CG18"/>
  <c r="CQ18" s="1"/>
  <c r="CG17"/>
  <c r="CG13"/>
  <c r="CQ13" s="1"/>
  <c r="CG20"/>
  <c r="C11" i="1"/>
  <c r="D149"/>
  <c r="D150"/>
  <c r="C68"/>
  <c r="C67"/>
  <c r="C66"/>
  <c r="C65"/>
  <c r="C64"/>
  <c r="C49"/>
  <c r="F10"/>
  <c r="C115"/>
  <c r="A65"/>
  <c r="B65"/>
  <c r="A64"/>
  <c r="B64"/>
  <c r="B68"/>
  <c r="A68"/>
  <c r="B67"/>
  <c r="A67"/>
  <c r="B66"/>
  <c r="A66"/>
  <c r="E11"/>
  <c r="E12" s="1"/>
  <c r="G10"/>
  <c r="H10"/>
  <c r="I10"/>
  <c r="J10"/>
  <c r="K10"/>
  <c r="L10"/>
  <c r="M10"/>
  <c r="N10"/>
  <c r="O10"/>
  <c r="P10"/>
  <c r="Q10"/>
  <c r="R10"/>
  <c r="S10"/>
  <c r="T10"/>
  <c r="U10"/>
  <c r="V10"/>
  <c r="W10"/>
  <c r="X10"/>
  <c r="I19" i="11"/>
  <c r="I20"/>
  <c r="I28"/>
  <c r="I29"/>
  <c r="I27"/>
  <c r="I11"/>
  <c r="I12"/>
  <c r="I10"/>
  <c r="CC12" i="13"/>
  <c r="CD12"/>
  <c r="CD13"/>
  <c r="CD14"/>
  <c r="CD15"/>
  <c r="CD16"/>
  <c r="CD17"/>
  <c r="CD18"/>
  <c r="CD19"/>
  <c r="CD20"/>
  <c r="CD21"/>
  <c r="CD22"/>
  <c r="CD23"/>
  <c r="CD24"/>
  <c r="CD25"/>
  <c r="CD26"/>
  <c r="CD27"/>
  <c r="CD28"/>
  <c r="CD29"/>
  <c r="CD30"/>
  <c r="CD31"/>
  <c r="CD32"/>
  <c r="CD33"/>
  <c r="CD34"/>
  <c r="CD35"/>
  <c r="CD36"/>
  <c r="CB12"/>
  <c r="G31" i="17"/>
  <c r="G30"/>
  <c r="G29"/>
  <c r="G28"/>
  <c r="G27"/>
  <c r="G26"/>
  <c r="G25"/>
  <c r="G24"/>
  <c r="G23"/>
  <c r="G22"/>
  <c r="G21"/>
  <c r="G20"/>
  <c r="G19"/>
  <c r="G18"/>
  <c r="G17"/>
  <c r="G16"/>
  <c r="G15"/>
  <c r="G14"/>
  <c r="G13"/>
  <c r="G12"/>
  <c r="G11"/>
  <c r="G10"/>
  <c r="G9"/>
  <c r="G8"/>
  <c r="B2"/>
  <c r="I28" i="14"/>
  <c r="N4"/>
  <c r="N5"/>
  <c r="N6"/>
  <c r="N7"/>
  <c r="N8"/>
  <c r="N3"/>
  <c r="I25"/>
  <c r="I26"/>
  <c r="I27"/>
  <c r="I24"/>
  <c r="M25"/>
  <c r="M26"/>
  <c r="M27"/>
  <c r="M28"/>
  <c r="M24"/>
  <c r="L25"/>
  <c r="L26"/>
  <c r="L27"/>
  <c r="L28"/>
  <c r="L24"/>
  <c r="K25"/>
  <c r="K26"/>
  <c r="K27"/>
  <c r="K28"/>
  <c r="K24"/>
  <c r="M8"/>
  <c r="L8"/>
  <c r="M7"/>
  <c r="L7"/>
  <c r="M6"/>
  <c r="L6"/>
  <c r="F1120"/>
  <c r="F1119"/>
  <c r="F1118"/>
  <c r="F1181"/>
  <c r="F1180"/>
  <c r="F1179"/>
  <c r="F1194"/>
  <c r="F1193"/>
  <c r="F1192"/>
  <c r="G23" i="6"/>
  <c r="G24"/>
  <c r="G25"/>
  <c r="G26"/>
  <c r="G27"/>
  <c r="G28"/>
  <c r="G29"/>
  <c r="G30"/>
  <c r="G31"/>
  <c r="BP28" i="13"/>
  <c r="BP29"/>
  <c r="BP30"/>
  <c r="BO29"/>
  <c r="BO30"/>
  <c r="BO31"/>
  <c r="BO32"/>
  <c r="BO33"/>
  <c r="BO34"/>
  <c r="BP34"/>
  <c r="BO35"/>
  <c r="BP35"/>
  <c r="BO36"/>
  <c r="BP36"/>
  <c r="BO28"/>
  <c r="BN29"/>
  <c r="BS29"/>
  <c r="BN30"/>
  <c r="BS30"/>
  <c r="BN31"/>
  <c r="BS31"/>
  <c r="BN32"/>
  <c r="BS32"/>
  <c r="BN33"/>
  <c r="BS33"/>
  <c r="BN34"/>
  <c r="BS34"/>
  <c r="BN35"/>
  <c r="BS35"/>
  <c r="BN36"/>
  <c r="BS36"/>
  <c r="BN28"/>
  <c r="BS28"/>
  <c r="BW28"/>
  <c r="BW29"/>
  <c r="BW30"/>
  <c r="BW31"/>
  <c r="BW32"/>
  <c r="BW33"/>
  <c r="BW34"/>
  <c r="BW35"/>
  <c r="BW36"/>
  <c r="AS36"/>
  <c r="AS35"/>
  <c r="AS33"/>
  <c r="AS32"/>
  <c r="AS30"/>
  <c r="AS29"/>
  <c r="N63"/>
  <c r="N58"/>
  <c r="U65"/>
  <c r="AN36"/>
  <c r="AN34"/>
  <c r="AN35"/>
  <c r="AO30"/>
  <c r="AO33"/>
  <c r="AM33"/>
  <c r="A28" i="21"/>
  <c r="AO29" i="13"/>
  <c r="AO32"/>
  <c r="AM32"/>
  <c r="A27" i="21"/>
  <c r="AO28" i="13"/>
  <c r="AO31"/>
  <c r="AM31"/>
  <c r="A26" i="21"/>
  <c r="AN29" i="13"/>
  <c r="AN30"/>
  <c r="AN31"/>
  <c r="AN32"/>
  <c r="AN33"/>
  <c r="AR29"/>
  <c r="AW29"/>
  <c r="AZ29"/>
  <c r="CB29"/>
  <c r="Q29" i="17"/>
  <c r="Q29" i="23"/>
  <c r="S29" i="21"/>
  <c r="Q25" i="17"/>
  <c r="Q25" i="23"/>
  <c r="S25" i="21"/>
  <c r="Q30" i="17"/>
  <c r="Q30" i="23"/>
  <c r="S30" i="21"/>
  <c r="Q26" i="17"/>
  <c r="Q26" i="23"/>
  <c r="S26" i="21"/>
  <c r="Q31" i="17"/>
  <c r="Q31" i="23"/>
  <c r="S31" i="21"/>
  <c r="Q27" i="17"/>
  <c r="Q27" i="23"/>
  <c r="S27" i="21"/>
  <c r="Q23" i="17"/>
  <c r="Q23" i="23"/>
  <c r="S23" i="21"/>
  <c r="Q28" i="17"/>
  <c r="S28" i="21"/>
  <c r="Q28" i="23"/>
  <c r="Q24" i="17"/>
  <c r="Q24" i="23"/>
  <c r="S24" i="21"/>
  <c r="AR28" i="13"/>
  <c r="N65"/>
  <c r="AQ29"/>
  <c r="A24" i="6"/>
  <c r="AR30" i="13"/>
  <c r="BH30"/>
  <c r="BJ30"/>
  <c r="BU30"/>
  <c r="AM28"/>
  <c r="A23" i="21"/>
  <c r="CC28" i="13"/>
  <c r="CB30"/>
  <c r="AM30"/>
  <c r="A25" i="21"/>
  <c r="CC30" i="13"/>
  <c r="AM29"/>
  <c r="A24" i="21"/>
  <c r="CC29" i="13"/>
  <c r="AQ30"/>
  <c r="A25" i="6"/>
  <c r="AO35" i="13"/>
  <c r="AM35"/>
  <c r="A30" i="21"/>
  <c r="CC32" i="13"/>
  <c r="CB32"/>
  <c r="AO36"/>
  <c r="AM36"/>
  <c r="A31" i="21"/>
  <c r="CB33" i="13"/>
  <c r="CC33"/>
  <c r="AQ31"/>
  <c r="CC31"/>
  <c r="CB31"/>
  <c r="AO34"/>
  <c r="AM34"/>
  <c r="A29" i="21"/>
  <c r="Q31" i="6"/>
  <c r="Q23"/>
  <c r="AR31" i="13"/>
  <c r="Q24" i="6"/>
  <c r="AR32" i="13"/>
  <c r="Q27" i="6"/>
  <c r="Q28"/>
  <c r="AQ32" i="13"/>
  <c r="C27" i="21"/>
  <c r="A27" i="23" s="1"/>
  <c r="AR33" i="13"/>
  <c r="Q29" i="6"/>
  <c r="Q25"/>
  <c r="AQ33" i="13"/>
  <c r="C28" i="21"/>
  <c r="A28" i="23" s="1"/>
  <c r="Q30" i="6"/>
  <c r="Q26"/>
  <c r="AN28" i="13"/>
  <c r="M5" i="14"/>
  <c r="L5"/>
  <c r="F982"/>
  <c r="F981"/>
  <c r="F980"/>
  <c r="M4"/>
  <c r="F907"/>
  <c r="M3"/>
  <c r="F709"/>
  <c r="F708"/>
  <c r="L4"/>
  <c r="F906"/>
  <c r="F905"/>
  <c r="L3"/>
  <c r="F707"/>
  <c r="G17" i="6"/>
  <c r="G18"/>
  <c r="G19"/>
  <c r="G20"/>
  <c r="G21"/>
  <c r="G22"/>
  <c r="BW22" i="13"/>
  <c r="BW23"/>
  <c r="BW24"/>
  <c r="BW25"/>
  <c r="BW26"/>
  <c r="BW27"/>
  <c r="BP22"/>
  <c r="BP23"/>
  <c r="Z62"/>
  <c r="Z57"/>
  <c r="BH28"/>
  <c r="BJ28"/>
  <c r="BU28"/>
  <c r="Z48"/>
  <c r="Z43"/>
  <c r="Z35"/>
  <c r="Z30"/>
  <c r="N42"/>
  <c r="N30"/>
  <c r="AO23"/>
  <c r="AO25"/>
  <c r="AM25"/>
  <c r="A20" i="21"/>
  <c r="AO22" i="13"/>
  <c r="AM22"/>
  <c r="A17" i="21"/>
  <c r="AN23" i="13"/>
  <c r="AN24"/>
  <c r="AN25"/>
  <c r="AN26"/>
  <c r="AN27"/>
  <c r="AN22"/>
  <c r="BW14"/>
  <c r="BW15"/>
  <c r="BW16"/>
  <c r="BW17"/>
  <c r="BW18"/>
  <c r="BW19"/>
  <c r="BW20"/>
  <c r="BW21"/>
  <c r="BW13"/>
  <c r="G9" i="6"/>
  <c r="G10"/>
  <c r="G11"/>
  <c r="G12"/>
  <c r="G13"/>
  <c r="G14"/>
  <c r="G15"/>
  <c r="G16"/>
  <c r="G8"/>
  <c r="AT29" i="13"/>
  <c r="D24" i="21"/>
  <c r="B24" i="23" s="1"/>
  <c r="BH29" i="13"/>
  <c r="BJ29"/>
  <c r="BU29"/>
  <c r="J24" i="6"/>
  <c r="AW30" i="13"/>
  <c r="AZ30"/>
  <c r="AQ36"/>
  <c r="C31" i="21"/>
  <c r="A31" i="23" s="1"/>
  <c r="CH33" i="13"/>
  <c r="CH32"/>
  <c r="CH28"/>
  <c r="CI28" s="1"/>
  <c r="CH29"/>
  <c r="CI29"/>
  <c r="CH31"/>
  <c r="CH30"/>
  <c r="AT30"/>
  <c r="D25" i="21"/>
  <c r="B25" i="23" s="1"/>
  <c r="Q14" i="17"/>
  <c r="Q14" i="23"/>
  <c r="S14" i="21"/>
  <c r="Q16" i="17"/>
  <c r="S16" i="21"/>
  <c r="Q16" i="23"/>
  <c r="Q12" i="17"/>
  <c r="Q12" i="23"/>
  <c r="S12" i="21"/>
  <c r="Q20" i="17"/>
  <c r="S20" i="21"/>
  <c r="Q20" i="23"/>
  <c r="Q8" i="17"/>
  <c r="Q8" i="23"/>
  <c r="S8" i="21"/>
  <c r="Q13" i="17"/>
  <c r="S13" i="21"/>
  <c r="Q13" i="23"/>
  <c r="Q9" i="17"/>
  <c r="Q9" i="23"/>
  <c r="S9" i="21"/>
  <c r="Q21" i="17"/>
  <c r="S21" i="21"/>
  <c r="Q21" i="23"/>
  <c r="Q17" i="17"/>
  <c r="S17" i="21"/>
  <c r="Q17" i="23"/>
  <c r="L24" i="21"/>
  <c r="J24" i="23" s="1"/>
  <c r="A26" i="17"/>
  <c r="C26" i="21"/>
  <c r="A26" i="23" s="1"/>
  <c r="A24" i="17"/>
  <c r="C24" i="21"/>
  <c r="A24" i="23" s="1"/>
  <c r="J23" i="6"/>
  <c r="L23" i="21"/>
  <c r="J23" i="23" s="1"/>
  <c r="Q22" i="17"/>
  <c r="S22" i="21"/>
  <c r="Q22" i="23"/>
  <c r="Q18" i="17"/>
  <c r="S18" i="21"/>
  <c r="Q18" i="23"/>
  <c r="A25" i="17"/>
  <c r="C25" i="21"/>
  <c r="A25" i="23" s="1"/>
  <c r="J25" i="6"/>
  <c r="L25" i="21"/>
  <c r="J25" i="23" s="1"/>
  <c r="Q10" i="17"/>
  <c r="Q10" i="23"/>
  <c r="S10" i="21"/>
  <c r="Q15" i="17"/>
  <c r="Q15" i="23"/>
  <c r="S15" i="21"/>
  <c r="Q11" i="17"/>
  <c r="Q11" i="23"/>
  <c r="S11" i="21"/>
  <c r="Q19" i="17"/>
  <c r="Q19" i="23"/>
  <c r="S19" i="21"/>
  <c r="A26" i="6"/>
  <c r="CB23" i="13"/>
  <c r="AR23"/>
  <c r="BH23"/>
  <c r="BJ23"/>
  <c r="BU23"/>
  <c r="AM23"/>
  <c r="A18" i="21"/>
  <c r="CC23" i="13"/>
  <c r="CB28"/>
  <c r="AQ28"/>
  <c r="C23" i="21"/>
  <c r="A23" i="23"/>
  <c r="CB25" i="13"/>
  <c r="AQ35"/>
  <c r="A30" i="6"/>
  <c r="AR35" i="13"/>
  <c r="CC35"/>
  <c r="CB35"/>
  <c r="AR22"/>
  <c r="BH22"/>
  <c r="BJ22"/>
  <c r="BU22"/>
  <c r="CC22"/>
  <c r="AR34"/>
  <c r="BH34"/>
  <c r="BJ34"/>
  <c r="BU34"/>
  <c r="CB34"/>
  <c r="CC34"/>
  <c r="AR25"/>
  <c r="BH25"/>
  <c r="BJ25"/>
  <c r="CC25"/>
  <c r="AR36"/>
  <c r="CC36"/>
  <c r="CB36"/>
  <c r="CB22"/>
  <c r="AQ22"/>
  <c r="AO24"/>
  <c r="BH31"/>
  <c r="BJ31"/>
  <c r="AQ25"/>
  <c r="AW32"/>
  <c r="AZ32"/>
  <c r="AQ34"/>
  <c r="BH32"/>
  <c r="BJ32"/>
  <c r="BU32"/>
  <c r="AT32"/>
  <c r="D27" i="21"/>
  <c r="B27" i="23" s="1"/>
  <c r="AO27" i="13"/>
  <c r="A28" i="17"/>
  <c r="A28" i="6"/>
  <c r="AT33" i="13"/>
  <c r="D28" i="21"/>
  <c r="B28" i="23" s="1"/>
  <c r="AW33" i="13"/>
  <c r="AZ33"/>
  <c r="BH33"/>
  <c r="BJ33"/>
  <c r="BU33"/>
  <c r="Q11" i="6"/>
  <c r="Q9"/>
  <c r="Q20"/>
  <c r="B24" i="17"/>
  <c r="Q15" i="6"/>
  <c r="Q22"/>
  <c r="Q18"/>
  <c r="Q16"/>
  <c r="Q12"/>
  <c r="Q13"/>
  <c r="Q8"/>
  <c r="Q14"/>
  <c r="Q10"/>
  <c r="Q21"/>
  <c r="Q17"/>
  <c r="A27" i="17"/>
  <c r="A27" i="6"/>
  <c r="Q19"/>
  <c r="AQ23" i="13"/>
  <c r="C18" i="21"/>
  <c r="A18" i="23" s="1"/>
  <c r="A31" i="17"/>
  <c r="B24" i="6"/>
  <c r="A31"/>
  <c r="B25"/>
  <c r="CH25" i="13"/>
  <c r="CH35"/>
  <c r="CH36"/>
  <c r="CH34"/>
  <c r="CH23"/>
  <c r="CH22"/>
  <c r="B25" i="17"/>
  <c r="BU31" i="13"/>
  <c r="J26" i="6"/>
  <c r="CT31" i="13"/>
  <c r="CT32"/>
  <c r="BU25"/>
  <c r="L20" i="21"/>
  <c r="J20" i="23" s="1"/>
  <c r="CT25" i="13"/>
  <c r="A29" i="17"/>
  <c r="C29" i="21"/>
  <c r="A29" i="23" s="1"/>
  <c r="J28" i="6"/>
  <c r="L28" i="21"/>
  <c r="J28" i="23" s="1"/>
  <c r="J18" i="6"/>
  <c r="L18" i="21"/>
  <c r="J18" i="23" s="1"/>
  <c r="J27" i="6"/>
  <c r="L27" i="21"/>
  <c r="J27" i="23"/>
  <c r="A20" i="17"/>
  <c r="C20" i="21"/>
  <c r="A20" i="23" s="1"/>
  <c r="A17" i="17"/>
  <c r="C17" i="21"/>
  <c r="A17" i="23" s="1"/>
  <c r="J17" i="6"/>
  <c r="L17" i="21"/>
  <c r="J17" i="23" s="1"/>
  <c r="A30" i="17"/>
  <c r="C30" i="21"/>
  <c r="A30" i="23" s="1"/>
  <c r="J29" i="6"/>
  <c r="L29" i="21"/>
  <c r="J29" i="23" s="1"/>
  <c r="A20" i="6"/>
  <c r="A29"/>
  <c r="A17"/>
  <c r="CB24" i="13"/>
  <c r="AM24"/>
  <c r="A19" i="21"/>
  <c r="CB27" i="13"/>
  <c r="AM27"/>
  <c r="A22" i="21"/>
  <c r="A23" i="17"/>
  <c r="A23" i="6"/>
  <c r="AR24" i="13"/>
  <c r="BH24"/>
  <c r="BJ24"/>
  <c r="BH36"/>
  <c r="BJ36"/>
  <c r="BU36"/>
  <c r="AW36"/>
  <c r="AZ36"/>
  <c r="AT36"/>
  <c r="D31" i="21"/>
  <c r="B31" i="23" s="1"/>
  <c r="AT35" i="13"/>
  <c r="D30" i="21"/>
  <c r="B30" i="23"/>
  <c r="BH35" i="13"/>
  <c r="BJ35"/>
  <c r="BU35"/>
  <c r="AW35"/>
  <c r="AZ35"/>
  <c r="AO26"/>
  <c r="AM26"/>
  <c r="A21" i="21"/>
  <c r="CC24" i="13"/>
  <c r="AR27"/>
  <c r="CC27"/>
  <c r="AQ24"/>
  <c r="AQ27"/>
  <c r="B27" i="17"/>
  <c r="B27" i="6"/>
  <c r="A18"/>
  <c r="A18" i="17"/>
  <c r="B28"/>
  <c r="B28" i="6"/>
  <c r="K4" i="14"/>
  <c r="K5"/>
  <c r="K6"/>
  <c r="K7"/>
  <c r="K8"/>
  <c r="K3"/>
  <c r="J20" i="6"/>
  <c r="L26" i="21"/>
  <c r="J26" i="23"/>
  <c r="CH24" i="13"/>
  <c r="CH27"/>
  <c r="CI27" s="1"/>
  <c r="BU24"/>
  <c r="L19" i="21"/>
  <c r="J19" i="23" s="1"/>
  <c r="CT24" i="13"/>
  <c r="J30" i="6"/>
  <c r="L30" i="21"/>
  <c r="J30" i="23" s="1"/>
  <c r="J31" i="6"/>
  <c r="L31" i="21"/>
  <c r="J31" i="23" s="1"/>
  <c r="A19" i="17"/>
  <c r="C19" i="21"/>
  <c r="A19" i="23" s="1"/>
  <c r="A22" i="17"/>
  <c r="C22" i="21"/>
  <c r="A22" i="23" s="1"/>
  <c r="A22" i="6"/>
  <c r="AQ26" i="13"/>
  <c r="C21" i="21"/>
  <c r="A21" i="23" s="1"/>
  <c r="CC26" i="13"/>
  <c r="CB26"/>
  <c r="AR26"/>
  <c r="BH26"/>
  <c r="BJ26"/>
  <c r="BU26"/>
  <c r="B30" i="6"/>
  <c r="B30" i="17"/>
  <c r="BH27" i="13"/>
  <c r="BJ27"/>
  <c r="BU27"/>
  <c r="B31" i="6"/>
  <c r="B31" i="17"/>
  <c r="A19" i="6"/>
  <c r="BP14" i="13"/>
  <c r="BP15"/>
  <c r="BP13"/>
  <c r="BN5"/>
  <c r="BO21"/>
  <c r="BP21"/>
  <c r="AN16"/>
  <c r="AN17"/>
  <c r="AN18"/>
  <c r="AN19"/>
  <c r="AN20"/>
  <c r="AN21"/>
  <c r="CH26"/>
  <c r="CI26" s="1"/>
  <c r="J19" i="6"/>
  <c r="J21"/>
  <c r="L21" i="21"/>
  <c r="J21" i="23" s="1"/>
  <c r="J22" i="6"/>
  <c r="L22" i="21"/>
  <c r="J22" i="23" s="1"/>
  <c r="BO15" i="13"/>
  <c r="BN14"/>
  <c r="BS14"/>
  <c r="BN13"/>
  <c r="BS13"/>
  <c r="BN16"/>
  <c r="BS16"/>
  <c r="BN18"/>
  <c r="BS18"/>
  <c r="BO19"/>
  <c r="BP19"/>
  <c r="BN20"/>
  <c r="BS20"/>
  <c r="BO16"/>
  <c r="BP16"/>
  <c r="BO24"/>
  <c r="BN22"/>
  <c r="BS22"/>
  <c r="BN26"/>
  <c r="BS26"/>
  <c r="BO23"/>
  <c r="BO27"/>
  <c r="BP27"/>
  <c r="BN25"/>
  <c r="BS25"/>
  <c r="BO22"/>
  <c r="BN24"/>
  <c r="BS24"/>
  <c r="BO26"/>
  <c r="BP26"/>
  <c r="BO25"/>
  <c r="BP25"/>
  <c r="BN23"/>
  <c r="BS23"/>
  <c r="BN27"/>
  <c r="BS27"/>
  <c r="BO17"/>
  <c r="A21" i="17"/>
  <c r="A21" i="6"/>
  <c r="BN21" i="13"/>
  <c r="BS21"/>
  <c r="BN17"/>
  <c r="BS17"/>
  <c r="BO13"/>
  <c r="BO18"/>
  <c r="BO14"/>
  <c r="BN19"/>
  <c r="BS19"/>
  <c r="BN15"/>
  <c r="BS15"/>
  <c r="BO20"/>
  <c r="BP20"/>
  <c r="AS14"/>
  <c r="AS15"/>
  <c r="AS13"/>
  <c r="AO14"/>
  <c r="AM14"/>
  <c r="A9" i="21"/>
  <c r="AO15" i="13"/>
  <c r="AM15"/>
  <c r="A10" i="21"/>
  <c r="AO13" i="13"/>
  <c r="AM13"/>
  <c r="A8" i="21"/>
  <c r="BP18" i="13"/>
  <c r="BP17"/>
  <c r="BP24"/>
  <c r="AR13"/>
  <c r="AW13"/>
  <c r="CC13"/>
  <c r="AR14"/>
  <c r="BE14"/>
  <c r="CC14"/>
  <c r="AR15"/>
  <c r="BE15"/>
  <c r="CC15"/>
  <c r="N27" i="14"/>
  <c r="N26"/>
  <c r="N28"/>
  <c r="AV13" i="13"/>
  <c r="BI13"/>
  <c r="BK13" s="1"/>
  <c r="AS16"/>
  <c r="BI15"/>
  <c r="BK15" s="1"/>
  <c r="AV15"/>
  <c r="AS18"/>
  <c r="AV14"/>
  <c r="AS17"/>
  <c r="BI14"/>
  <c r="BK14" s="1"/>
  <c r="AO16"/>
  <c r="AM16"/>
  <c r="A11" i="21"/>
  <c r="AO18" i="13"/>
  <c r="AM18"/>
  <c r="A13" i="21"/>
  <c r="AO17" i="13"/>
  <c r="AM17"/>
  <c r="A12" i="21"/>
  <c r="AN14" i="13"/>
  <c r="AN15"/>
  <c r="AQ15"/>
  <c r="C10" i="21"/>
  <c r="A10" i="23" s="1"/>
  <c r="AN13" i="13"/>
  <c r="CH15"/>
  <c r="CI15"/>
  <c r="CH13"/>
  <c r="CI13" s="1"/>
  <c r="CH14"/>
  <c r="CI14" s="1"/>
  <c r="AT14"/>
  <c r="D9" i="21"/>
  <c r="B9" i="23" s="1"/>
  <c r="BC14" i="13"/>
  <c r="BR14"/>
  <c r="BT14"/>
  <c r="I9" i="6"/>
  <c r="BC13" i="13"/>
  <c r="BR13"/>
  <c r="BT13"/>
  <c r="I8" i="6"/>
  <c r="AW14" i="13"/>
  <c r="AZ14"/>
  <c r="AW15"/>
  <c r="BH14"/>
  <c r="BJ14"/>
  <c r="BU14"/>
  <c r="BC15"/>
  <c r="BR15"/>
  <c r="BT15"/>
  <c r="I10" i="6"/>
  <c r="BH13" i="13"/>
  <c r="BJ13"/>
  <c r="BU13"/>
  <c r="AT13"/>
  <c r="D8" i="21"/>
  <c r="B8" i="23" s="1"/>
  <c r="CB13" i="13"/>
  <c r="BH15"/>
  <c r="BJ15"/>
  <c r="BU15"/>
  <c r="CB15"/>
  <c r="CB14"/>
  <c r="AR16"/>
  <c r="BH16"/>
  <c r="BJ16"/>
  <c r="CC16"/>
  <c r="CB16"/>
  <c r="AR17"/>
  <c r="BC17"/>
  <c r="BR17"/>
  <c r="BT17"/>
  <c r="I12" i="6"/>
  <c r="CB17" i="13"/>
  <c r="CC17"/>
  <c r="AR18"/>
  <c r="AW18"/>
  <c r="CB18"/>
  <c r="CC18"/>
  <c r="A10" i="6"/>
  <c r="A10" i="17"/>
  <c r="AQ13" i="13"/>
  <c r="C8" i="21"/>
  <c r="A8" i="23" s="1"/>
  <c r="BC18" i="13"/>
  <c r="BR18"/>
  <c r="BT18"/>
  <c r="I13" i="6"/>
  <c r="AV17" i="13"/>
  <c r="AS20"/>
  <c r="BI17"/>
  <c r="BK17" s="1"/>
  <c r="AZ15"/>
  <c r="AV18"/>
  <c r="AS21"/>
  <c r="BI18"/>
  <c r="BK18" s="1"/>
  <c r="D13" i="17" s="1"/>
  <c r="AZ13" i="13"/>
  <c r="AS19"/>
  <c r="BI16"/>
  <c r="BK16" s="1"/>
  <c r="D11" i="17" s="1"/>
  <c r="AV16" i="13"/>
  <c r="AT15"/>
  <c r="D10" i="21"/>
  <c r="B10" i="23" s="1"/>
  <c r="AQ14" i="13"/>
  <c r="C9" i="21"/>
  <c r="A9" i="23" s="1"/>
  <c r="AO20" i="13"/>
  <c r="AM20"/>
  <c r="A15" i="21"/>
  <c r="AQ17" i="13"/>
  <c r="C12" i="21"/>
  <c r="A12" i="23" s="1"/>
  <c r="AQ18" i="13"/>
  <c r="C13" i="21"/>
  <c r="A13" i="23" s="1"/>
  <c r="AO21" i="13"/>
  <c r="AM21"/>
  <c r="A16" i="21"/>
  <c r="AO19" i="13"/>
  <c r="AM19"/>
  <c r="AQ16"/>
  <c r="C11" i="21"/>
  <c r="A11" i="23" s="1"/>
  <c r="AG65" i="13"/>
  <c r="AT18"/>
  <c r="D13" i="21"/>
  <c r="B13" i="23" s="1"/>
  <c r="C71" i="2"/>
  <c r="C69"/>
  <c r="C70"/>
  <c r="C81"/>
  <c r="C80"/>
  <c r="C82"/>
  <c r="CH18" i="13"/>
  <c r="CH17"/>
  <c r="C83" i="2"/>
  <c r="C67"/>
  <c r="CH16" i="13"/>
  <c r="CI16" s="1"/>
  <c r="C84" i="2"/>
  <c r="C68"/>
  <c r="BU16" i="13"/>
  <c r="J11" i="6"/>
  <c r="CT16" i="13"/>
  <c r="B9" i="6"/>
  <c r="B9" i="17"/>
  <c r="J9" i="6"/>
  <c r="L9" i="21"/>
  <c r="J9" i="23" s="1"/>
  <c r="J10" i="6"/>
  <c r="L10" i="21"/>
  <c r="J10" i="23" s="1"/>
  <c r="B8" i="6"/>
  <c r="A14" i="21"/>
  <c r="J8" i="6"/>
  <c r="L8" i="21"/>
  <c r="J8" i="23" s="1"/>
  <c r="B8" i="17"/>
  <c r="BH18" i="13"/>
  <c r="BJ18"/>
  <c r="AT17"/>
  <c r="D12" i="21"/>
  <c r="B12" i="23" s="1"/>
  <c r="BE18" i="13"/>
  <c r="AW17"/>
  <c r="AZ17"/>
  <c r="BH17"/>
  <c r="BJ17"/>
  <c r="AT16"/>
  <c r="D11" i="21"/>
  <c r="B11" i="23" s="1"/>
  <c r="BE17" i="13"/>
  <c r="BE16"/>
  <c r="BC16"/>
  <c r="BR16"/>
  <c r="BT16"/>
  <c r="I11" i="6"/>
  <c r="BC29" i="13"/>
  <c r="BR29"/>
  <c r="BT29"/>
  <c r="I24" i="6"/>
  <c r="BC32" i="13"/>
  <c r="BR32"/>
  <c r="BT32"/>
  <c r="I27" i="6"/>
  <c r="BC35" i="13"/>
  <c r="BR35"/>
  <c r="BT35"/>
  <c r="I30" i="6"/>
  <c r="AW16" i="13"/>
  <c r="AZ16"/>
  <c r="CC20"/>
  <c r="CB20"/>
  <c r="CB21"/>
  <c r="CC21"/>
  <c r="CC19"/>
  <c r="CB19"/>
  <c r="AQ19"/>
  <c r="C14" i="21"/>
  <c r="A14" i="23" s="1"/>
  <c r="AR19" i="13"/>
  <c r="BC19"/>
  <c r="BR19"/>
  <c r="BT19"/>
  <c r="I14" i="6"/>
  <c r="A9"/>
  <c r="A9" i="17"/>
  <c r="A11" i="6"/>
  <c r="A11" i="17"/>
  <c r="A13" i="6"/>
  <c r="A13" i="17"/>
  <c r="AQ20" i="13"/>
  <c r="C15" i="21"/>
  <c r="A15" i="23" s="1"/>
  <c r="AR20" i="13"/>
  <c r="BE20"/>
  <c r="A8" i="6"/>
  <c r="A8" i="17"/>
  <c r="AQ21" i="13"/>
  <c r="C16" i="21"/>
  <c r="A16" i="23" s="1"/>
  <c r="AR21" i="13"/>
  <c r="BH21"/>
  <c r="BJ21"/>
  <c r="BU21"/>
  <c r="A12" i="6"/>
  <c r="A12" i="17"/>
  <c r="B10" i="6"/>
  <c r="B10" i="17"/>
  <c r="BI20" i="13"/>
  <c r="BK20" s="1"/>
  <c r="F15" i="21" s="1"/>
  <c r="D15" i="23" s="1"/>
  <c r="AV20" i="13"/>
  <c r="AV21"/>
  <c r="BI21"/>
  <c r="BK21" s="1"/>
  <c r="F16" i="21" s="1"/>
  <c r="D16" i="23" s="1"/>
  <c r="BI19" i="13"/>
  <c r="BK19" s="1"/>
  <c r="AV19"/>
  <c r="AZ18"/>
  <c r="T3"/>
  <c r="T67" s="1"/>
  <c r="B13" i="6"/>
  <c r="B13" i="17"/>
  <c r="L11" i="21"/>
  <c r="J11" i="23" s="1"/>
  <c r="CH21" i="13"/>
  <c r="CH19"/>
  <c r="CH20"/>
  <c r="C64" i="2"/>
  <c r="C77"/>
  <c r="BU17" i="13"/>
  <c r="L12" i="21"/>
  <c r="J12" i="23" s="1"/>
  <c r="CT17" i="13"/>
  <c r="BU18"/>
  <c r="J13" i="6"/>
  <c r="CT18" i="13"/>
  <c r="BC20"/>
  <c r="BR20"/>
  <c r="BT20"/>
  <c r="I15" i="6"/>
  <c r="B12" i="17"/>
  <c r="B11" i="6"/>
  <c r="L13" i="21"/>
  <c r="J13" i="23" s="1"/>
  <c r="J16" i="6"/>
  <c r="L16" i="21"/>
  <c r="J16" i="23" s="1"/>
  <c r="B11" i="17"/>
  <c r="B12" i="6"/>
  <c r="AW20" i="13"/>
  <c r="AZ20"/>
  <c r="AT20"/>
  <c r="B15" i="6"/>
  <c r="BC21" i="13"/>
  <c r="BR21"/>
  <c r="BT21"/>
  <c r="I16" i="6"/>
  <c r="BE21" i="13"/>
  <c r="BH19"/>
  <c r="BJ19"/>
  <c r="BU19"/>
  <c r="AT21"/>
  <c r="AW21"/>
  <c r="AZ21"/>
  <c r="BH20"/>
  <c r="BJ20"/>
  <c r="BU20"/>
  <c r="A14" i="6"/>
  <c r="A14" i="17"/>
  <c r="BE19" i="13"/>
  <c r="AW19"/>
  <c r="AZ19"/>
  <c r="AT19"/>
  <c r="D14" i="21"/>
  <c r="B14" i="23" s="1"/>
  <c r="A16" i="6"/>
  <c r="A16" i="17"/>
  <c r="A15" i="6"/>
  <c r="A15" i="17"/>
  <c r="O67" i="13"/>
  <c r="C65" i="2"/>
  <c r="C78"/>
  <c r="C66"/>
  <c r="C79"/>
  <c r="J12" i="6"/>
  <c r="J14"/>
  <c r="L14" i="21"/>
  <c r="J14" i="23" s="1"/>
  <c r="B16" i="17"/>
  <c r="D16" i="21"/>
  <c r="B16" i="23" s="1"/>
  <c r="B15" i="17"/>
  <c r="D15" i="21"/>
  <c r="B15" i="23" s="1"/>
  <c r="J15" i="6"/>
  <c r="L15" i="21"/>
  <c r="J15" i="23" s="1"/>
  <c r="B16" i="6"/>
  <c r="B14"/>
  <c r="B14" i="17"/>
  <c r="R67" i="13"/>
  <c r="Q67"/>
  <c r="Q15"/>
  <c r="Q16"/>
  <c r="Q14"/>
  <c r="O15"/>
  <c r="O16"/>
  <c r="O14"/>
  <c r="L15"/>
  <c r="L16"/>
  <c r="L14"/>
  <c r="AH48"/>
  <c r="AB42"/>
  <c r="AB38"/>
  <c r="AB30"/>
  <c r="AB57"/>
  <c r="AA56"/>
  <c r="AB62"/>
  <c r="AW34"/>
  <c r="AZ34"/>
  <c r="AW28"/>
  <c r="AZ28"/>
  <c r="AW31"/>
  <c r="AZ31"/>
  <c r="AB43"/>
  <c r="AB35"/>
  <c r="AW22"/>
  <c r="AZ22"/>
  <c r="AW24"/>
  <c r="AZ24"/>
  <c r="AW26"/>
  <c r="AZ26"/>
  <c r="T2"/>
  <c r="O61"/>
  <c r="O62"/>
  <c r="L61"/>
  <c r="S5"/>
  <c r="S62" s="1"/>
  <c r="AB48"/>
  <c r="AW23"/>
  <c r="AZ23"/>
  <c r="AW25"/>
  <c r="AZ25"/>
  <c r="AW27"/>
  <c r="AZ27"/>
  <c r="L62"/>
  <c r="K57"/>
  <c r="O57"/>
  <c r="L57"/>
  <c r="O56"/>
  <c r="L56"/>
  <c r="O55"/>
  <c r="L55"/>
  <c r="O54"/>
  <c r="L54"/>
  <c r="O53"/>
  <c r="L53"/>
  <c r="O52"/>
  <c r="L52"/>
  <c r="O41"/>
  <c r="L41"/>
  <c r="O40"/>
  <c r="L40"/>
  <c r="O39"/>
  <c r="L39"/>
  <c r="L38"/>
  <c r="O38"/>
  <c r="S4"/>
  <c r="S15" s="1"/>
  <c r="T1"/>
  <c r="T26" s="1"/>
  <c r="Q8"/>
  <c r="M15" i="14"/>
  <c r="M17"/>
  <c r="M19"/>
  <c r="K18"/>
  <c r="M14"/>
  <c r="K14"/>
  <c r="L15"/>
  <c r="L17"/>
  <c r="L19"/>
  <c r="K17"/>
  <c r="M18"/>
  <c r="L14"/>
  <c r="L16"/>
  <c r="L18"/>
  <c r="K15"/>
  <c r="K19"/>
  <c r="M16"/>
  <c r="K16"/>
  <c r="AG66" i="13"/>
  <c r="AG60"/>
  <c r="AG47"/>
  <c r="AG59"/>
  <c r="AG46"/>
  <c r="AG34"/>
  <c r="AG29"/>
  <c r="AG53"/>
  <c r="AG40"/>
  <c r="AG52"/>
  <c r="AG61"/>
  <c r="AG32"/>
  <c r="AG56"/>
  <c r="AG55"/>
  <c r="AG38"/>
  <c r="AG54"/>
  <c r="AG39"/>
  <c r="AG45"/>
  <c r="AG33"/>
  <c r="AG42"/>
  <c r="AG41"/>
  <c r="AG26"/>
  <c r="AG28"/>
  <c r="AG27"/>
  <c r="AG25"/>
  <c r="R62"/>
  <c r="R61"/>
  <c r="Q61"/>
  <c r="Q62"/>
  <c r="Q57"/>
  <c r="R57"/>
  <c r="R54"/>
  <c r="Q56"/>
  <c r="Q53"/>
  <c r="R56"/>
  <c r="R55"/>
  <c r="R53"/>
  <c r="R52"/>
  <c r="Q55"/>
  <c r="Q54"/>
  <c r="Q52"/>
  <c r="Q41"/>
  <c r="Q40"/>
  <c r="Q39"/>
  <c r="R28"/>
  <c r="Q27"/>
  <c r="Q38"/>
  <c r="R25"/>
  <c r="R27"/>
  <c r="R41"/>
  <c r="R40"/>
  <c r="R39"/>
  <c r="R38"/>
  <c r="R29"/>
  <c r="Q28"/>
  <c r="R26"/>
  <c r="Q29"/>
  <c r="Q26"/>
  <c r="Q25"/>
  <c r="L26"/>
  <c r="L27"/>
  <c r="L28"/>
  <c r="L29"/>
  <c r="L25"/>
  <c r="O29"/>
  <c r="O28"/>
  <c r="O27"/>
  <c r="O26"/>
  <c r="R42"/>
  <c r="BC30"/>
  <c r="BR30"/>
  <c r="BT30"/>
  <c r="I25" i="6"/>
  <c r="BC33" i="13"/>
  <c r="BR33"/>
  <c r="BT33"/>
  <c r="I28" i="6"/>
  <c r="BC36" i="13"/>
  <c r="BR36"/>
  <c r="BT36"/>
  <c r="I31" i="6"/>
  <c r="R30" i="13"/>
  <c r="N24" i="14"/>
  <c r="AG35" i="13"/>
  <c r="AG43"/>
  <c r="AG62"/>
  <c r="AG48"/>
  <c r="AG57"/>
  <c r="AG30"/>
  <c r="O25"/>
  <c r="BC34"/>
  <c r="BR34"/>
  <c r="BT34"/>
  <c r="I29" i="6"/>
  <c r="BC31" i="13"/>
  <c r="BR31"/>
  <c r="BT31"/>
  <c r="I26" i="6"/>
  <c r="BC28" i="13"/>
  <c r="BR28"/>
  <c r="BT28"/>
  <c r="I23" i="6"/>
  <c r="BE31" i="13"/>
  <c r="BE28"/>
  <c r="BE34"/>
  <c r="BE23"/>
  <c r="BE25"/>
  <c r="BE27"/>
  <c r="BC23"/>
  <c r="BR23"/>
  <c r="BT23"/>
  <c r="I18" i="6"/>
  <c r="BC25" i="13"/>
  <c r="BR25"/>
  <c r="BT25"/>
  <c r="I20" i="6"/>
  <c r="BC27" i="13"/>
  <c r="BR27"/>
  <c r="BT27"/>
  <c r="I22" i="6"/>
  <c r="BE22" i="13"/>
  <c r="BE26"/>
  <c r="BE24"/>
  <c r="BC22"/>
  <c r="BR22"/>
  <c r="BT22"/>
  <c r="I17" i="6"/>
  <c r="BC24" i="13"/>
  <c r="BR24"/>
  <c r="BT24"/>
  <c r="I19" i="6"/>
  <c r="BC26" i="13"/>
  <c r="BR26"/>
  <c r="BT26"/>
  <c r="I21" i="6"/>
  <c r="AA55" i="13"/>
  <c r="AA54"/>
  <c r="AA53"/>
  <c r="AA52"/>
  <c r="BE12" i="10"/>
  <c r="BE16"/>
  <c r="BE17"/>
  <c r="BM29"/>
  <c r="BM33"/>
  <c r="BM38"/>
  <c r="E60"/>
  <c r="E59"/>
  <c r="E58"/>
  <c r="E57"/>
  <c r="E56"/>
  <c r="E55"/>
  <c r="E54"/>
  <c r="E53"/>
  <c r="E52"/>
  <c r="E51"/>
  <c r="E50"/>
  <c r="B17" i="8"/>
  <c r="B18"/>
  <c r="B19"/>
  <c r="B20"/>
  <c r="B21"/>
  <c r="B22"/>
  <c r="B23"/>
  <c r="B24"/>
  <c r="B25"/>
  <c r="B26"/>
  <c r="B27"/>
  <c r="B4"/>
  <c r="B5"/>
  <c r="B6"/>
  <c r="B7"/>
  <c r="B8"/>
  <c r="B9"/>
  <c r="B10"/>
  <c r="B11"/>
  <c r="B12"/>
  <c r="B13"/>
  <c r="B14"/>
  <c r="B15"/>
  <c r="B16"/>
  <c r="B3"/>
  <c r="B2" i="6"/>
  <c r="S28" i="13" l="1"/>
  <c r="S14"/>
  <c r="BF16" s="1"/>
  <c r="BG16" s="1"/>
  <c r="BQ16" s="1"/>
  <c r="S52"/>
  <c r="S57"/>
  <c r="AU6" i="26"/>
  <c r="AM6"/>
  <c r="AT10"/>
  <c r="G10"/>
  <c r="AV12"/>
  <c r="AO6"/>
  <c r="BC10"/>
  <c r="AQ10"/>
  <c r="AK5"/>
  <c r="BB9"/>
  <c r="H14"/>
  <c r="H12"/>
  <c r="AV14"/>
  <c r="AK12"/>
  <c r="AZ11"/>
  <c r="AQ11"/>
  <c r="AI11"/>
  <c r="G9"/>
  <c r="AZ7"/>
  <c r="AX7"/>
  <c r="AG7"/>
  <c r="AH7"/>
  <c r="BA7"/>
  <c r="AX6"/>
  <c r="AF6"/>
  <c r="AH10"/>
  <c r="AI5"/>
  <c r="AP9"/>
  <c r="AJ9"/>
  <c r="BD3"/>
  <c r="AX16"/>
  <c r="AO16"/>
  <c r="AG16"/>
  <c r="BB13"/>
  <c r="AW13"/>
  <c r="AQ13"/>
  <c r="AK13"/>
  <c r="AF13"/>
  <c r="AP12"/>
  <c r="BC11"/>
  <c r="AU11"/>
  <c r="AL11"/>
  <c r="S55" i="13"/>
  <c r="CI31"/>
  <c r="CI21"/>
  <c r="AZ5" i="26"/>
  <c r="AH5"/>
  <c r="AY9"/>
  <c r="AQ9"/>
  <c r="CI18" i="13"/>
  <c r="CI20"/>
  <c r="CI32"/>
  <c r="F5" i="26"/>
  <c r="F10"/>
  <c r="AZ6"/>
  <c r="AG6"/>
  <c r="AW6"/>
  <c r="AL10"/>
  <c r="AK10"/>
  <c r="BA10"/>
  <c r="AU5"/>
  <c r="BB5"/>
  <c r="AG5"/>
  <c r="AM5"/>
  <c r="AJ5"/>
  <c r="AH9"/>
  <c r="AT9"/>
  <c r="AU9"/>
  <c r="BA9"/>
  <c r="F9"/>
  <c r="G12"/>
  <c r="AQ18"/>
  <c r="AQ14"/>
  <c r="AZ12"/>
  <c r="AU12"/>
  <c r="AO12"/>
  <c r="AI12"/>
  <c r="AV18"/>
  <c r="CI17" i="13"/>
  <c r="CI34"/>
  <c r="H9" i="26"/>
  <c r="AO5"/>
  <c r="AW5"/>
  <c r="AM9"/>
  <c r="AK9"/>
  <c r="AN9"/>
  <c r="AZ18"/>
  <c r="AI18"/>
  <c r="AZ14"/>
  <c r="AI14"/>
  <c r="BC12"/>
  <c r="AX12"/>
  <c r="AQ12"/>
  <c r="AL12"/>
  <c r="AG12"/>
  <c r="CI19" i="13"/>
  <c r="CI24"/>
  <c r="CI33"/>
  <c r="AI6" i="26"/>
  <c r="AP6"/>
  <c r="AN6"/>
  <c r="AV10"/>
  <c r="AY10"/>
  <c r="AS10"/>
  <c r="AL5"/>
  <c r="AX5"/>
  <c r="AP5"/>
  <c r="BA5"/>
  <c r="AF5"/>
  <c r="AV9"/>
  <c r="AO9"/>
  <c r="AL9"/>
  <c r="AS9"/>
  <c r="AU4"/>
  <c r="AI4"/>
  <c r="AT8"/>
  <c r="G8"/>
  <c r="H18"/>
  <c r="G15"/>
  <c r="F12"/>
  <c r="BD18"/>
  <c r="AM18"/>
  <c r="BC17"/>
  <c r="AY17"/>
  <c r="AU17"/>
  <c r="AP17"/>
  <c r="AL17"/>
  <c r="AZ15"/>
  <c r="AU15"/>
  <c r="AN15"/>
  <c r="AI15"/>
  <c r="BD14"/>
  <c r="AM14"/>
  <c r="BC13"/>
  <c r="AY13"/>
  <c r="AU13"/>
  <c r="AP13"/>
  <c r="AL13"/>
  <c r="BD12"/>
  <c r="AY12"/>
  <c r="AT12"/>
  <c r="AM12"/>
  <c r="AH12"/>
  <c r="B127" i="2"/>
  <c r="B73" i="1"/>
  <c r="E63"/>
  <c r="E78" s="1"/>
  <c r="E115" s="1"/>
  <c r="C88" i="2"/>
  <c r="E14" i="5" s="1"/>
  <c r="E89" i="2"/>
  <c r="D48" i="1"/>
  <c r="E49"/>
  <c r="T40" i="13"/>
  <c r="C11" i="2"/>
  <c r="T28" i="13"/>
  <c r="C37" i="1"/>
  <c r="CI23" i="13"/>
  <c r="CI36"/>
  <c r="CI25"/>
  <c r="CQ20"/>
  <c r="CQ17"/>
  <c r="CQ21"/>
  <c r="CQ34"/>
  <c r="CQ32"/>
  <c r="CQ35"/>
  <c r="CQ30"/>
  <c r="F8" i="26"/>
  <c r="H6"/>
  <c r="G6"/>
  <c r="BC6"/>
  <c r="AQ6"/>
  <c r="AT6"/>
  <c r="AY6"/>
  <c r="AV6"/>
  <c r="AS6"/>
  <c r="F6"/>
  <c r="BD10"/>
  <c r="AX10"/>
  <c r="AG10"/>
  <c r="AZ10"/>
  <c r="AW10"/>
  <c r="AF10"/>
  <c r="BC4"/>
  <c r="AZ4"/>
  <c r="AT4"/>
  <c r="AY4"/>
  <c r="AM4"/>
  <c r="AS4"/>
  <c r="H4"/>
  <c r="BD8"/>
  <c r="AX8"/>
  <c r="AG8"/>
  <c r="AZ8"/>
  <c r="AW8"/>
  <c r="AF8"/>
  <c r="AY3"/>
  <c r="AH3"/>
  <c r="AZ3"/>
  <c r="BC3"/>
  <c r="AI3"/>
  <c r="BA3"/>
  <c r="BA18"/>
  <c r="AW18"/>
  <c r="AS18"/>
  <c r="AN18"/>
  <c r="AJ18"/>
  <c r="AF18"/>
  <c r="BC16"/>
  <c r="AY16"/>
  <c r="AU16"/>
  <c r="AP16"/>
  <c r="AL16"/>
  <c r="AH16"/>
  <c r="BA14"/>
  <c r="AW14"/>
  <c r="AS14"/>
  <c r="AN14"/>
  <c r="AJ14"/>
  <c r="AF14"/>
  <c r="H8"/>
  <c r="H3"/>
  <c r="AH4"/>
  <c r="AX4"/>
  <c r="AG4"/>
  <c r="AV4"/>
  <c r="AW4"/>
  <c r="AF4"/>
  <c r="AH8"/>
  <c r="BB8"/>
  <c r="AK8"/>
  <c r="AL8"/>
  <c r="BA8"/>
  <c r="AJ8"/>
  <c r="AO3"/>
  <c r="AX3"/>
  <c r="AV3"/>
  <c r="AU3"/>
  <c r="BB3"/>
  <c r="AW3"/>
  <c r="F18"/>
  <c r="F14"/>
  <c r="BB18"/>
  <c r="AX18"/>
  <c r="AT18"/>
  <c r="AO18"/>
  <c r="AK18"/>
  <c r="AG18"/>
  <c r="BB14"/>
  <c r="AX14"/>
  <c r="AT14"/>
  <c r="AO14"/>
  <c r="AK14"/>
  <c r="AG14"/>
  <c r="BA11"/>
  <c r="AW11"/>
  <c r="AS11"/>
  <c r="AN11"/>
  <c r="AJ11"/>
  <c r="AF11"/>
  <c r="CI22" i="13"/>
  <c r="G4" i="26"/>
  <c r="F4"/>
  <c r="H10"/>
  <c r="AL6"/>
  <c r="BB6"/>
  <c r="AK6"/>
  <c r="AH6"/>
  <c r="BA6"/>
  <c r="AU10"/>
  <c r="AM10"/>
  <c r="AO10"/>
  <c r="AP10"/>
  <c r="AI10"/>
  <c r="BC5"/>
  <c r="AQ5"/>
  <c r="AT5"/>
  <c r="AY5"/>
  <c r="AV5"/>
  <c r="AS5"/>
  <c r="BD9"/>
  <c r="AX9"/>
  <c r="AG9"/>
  <c r="AZ9"/>
  <c r="AW9"/>
  <c r="AP4"/>
  <c r="BB4"/>
  <c r="AK4"/>
  <c r="BD4"/>
  <c r="BA4"/>
  <c r="AP8"/>
  <c r="AI8"/>
  <c r="AO8"/>
  <c r="AU8"/>
  <c r="AM8"/>
  <c r="AG3"/>
  <c r="AN3"/>
  <c r="AP3"/>
  <c r="AK3"/>
  <c r="AS3"/>
  <c r="AQ3"/>
  <c r="G3"/>
  <c r="G18"/>
  <c r="G14"/>
  <c r="BC18"/>
  <c r="AY18"/>
  <c r="AU18"/>
  <c r="AP18"/>
  <c r="AL18"/>
  <c r="BA16"/>
  <c r="AW16"/>
  <c r="AS16"/>
  <c r="AN16"/>
  <c r="AJ16"/>
  <c r="BB15"/>
  <c r="AX15"/>
  <c r="AT15"/>
  <c r="AO15"/>
  <c r="AK15"/>
  <c r="BC14"/>
  <c r="AY14"/>
  <c r="AU14"/>
  <c r="AP14"/>
  <c r="AL14"/>
  <c r="BA12"/>
  <c r="AW12"/>
  <c r="AS12"/>
  <c r="AN12"/>
  <c r="AJ12"/>
  <c r="BB11"/>
  <c r="AX11"/>
  <c r="AT11"/>
  <c r="AO11"/>
  <c r="AK11"/>
  <c r="BF14" i="13"/>
  <c r="BG14" s="1"/>
  <c r="BQ14" s="1"/>
  <c r="E9" i="6" s="1"/>
  <c r="BF20" i="13"/>
  <c r="BG20" s="1"/>
  <c r="BQ20" s="1"/>
  <c r="E15" i="17" s="1"/>
  <c r="BF17" i="13"/>
  <c r="BG17" s="1"/>
  <c r="BQ17" s="1"/>
  <c r="BY17" s="1"/>
  <c r="S38"/>
  <c r="S39"/>
  <c r="S41"/>
  <c r="BF19"/>
  <c r="BG19" s="1"/>
  <c r="BQ19" s="1"/>
  <c r="BY19" s="1"/>
  <c r="S16"/>
  <c r="S25"/>
  <c r="S26"/>
  <c r="S40"/>
  <c r="S27"/>
  <c r="S29"/>
  <c r="S53"/>
  <c r="S56"/>
  <c r="S54"/>
  <c r="E62" i="1"/>
  <c r="E156"/>
  <c r="E36"/>
  <c r="E77"/>
  <c r="E114" s="1"/>
  <c r="F11"/>
  <c r="F156" s="1"/>
  <c r="BF13" i="13"/>
  <c r="BG13" s="1"/>
  <c r="BQ13" s="1"/>
  <c r="E8" i="17" s="1"/>
  <c r="F14" i="21"/>
  <c r="D14" i="23" s="1"/>
  <c r="D14" i="6"/>
  <c r="D14" i="17"/>
  <c r="F12" i="21"/>
  <c r="D12" i="23" s="1"/>
  <c r="D12" i="6"/>
  <c r="D12" i="17"/>
  <c r="D15" i="6"/>
  <c r="D16"/>
  <c r="D15" i="17"/>
  <c r="D16"/>
  <c r="D168" i="2"/>
  <c r="BF21" i="13"/>
  <c r="BG21" s="1"/>
  <c r="BQ21" s="1"/>
  <c r="BF18"/>
  <c r="BG18" s="1"/>
  <c r="BQ18" s="1"/>
  <c r="BF15"/>
  <c r="BG15" s="1"/>
  <c r="BQ15" s="1"/>
  <c r="E11" i="17"/>
  <c r="BY16" i="13"/>
  <c r="E11" i="6"/>
  <c r="T15" i="13"/>
  <c r="T52"/>
  <c r="T54"/>
  <c r="T39"/>
  <c r="T27"/>
  <c r="T29"/>
  <c r="T14"/>
  <c r="T55"/>
  <c r="T56"/>
  <c r="T53"/>
  <c r="T16"/>
  <c r="T61"/>
  <c r="T41"/>
  <c r="T62"/>
  <c r="T38"/>
  <c r="T25"/>
  <c r="S61"/>
  <c r="S67"/>
  <c r="T57"/>
  <c r="E14" i="6"/>
  <c r="F10" i="21"/>
  <c r="D10" i="23" s="1"/>
  <c r="D10" i="17"/>
  <c r="D10" i="6"/>
  <c r="F11" i="21"/>
  <c r="D11" i="23" s="1"/>
  <c r="D11" i="6"/>
  <c r="F9" i="21"/>
  <c r="D9" i="23" s="1"/>
  <c r="D9" i="17"/>
  <c r="D9" i="6"/>
  <c r="F13" i="21"/>
  <c r="D13" i="23" s="1"/>
  <c r="D13" i="6"/>
  <c r="D8"/>
  <c r="F8" i="21"/>
  <c r="D8" i="23" s="1"/>
  <c r="D8" i="17"/>
  <c r="E168" i="2"/>
  <c r="E35"/>
  <c r="E132"/>
  <c r="E76"/>
  <c r="E117"/>
  <c r="E131"/>
  <c r="E169"/>
  <c r="F11"/>
  <c r="F89" s="1"/>
  <c r="E116"/>
  <c r="E63"/>
  <c r="E12"/>
  <c r="E12" i="6" l="1"/>
  <c r="E14" i="17"/>
  <c r="E12"/>
  <c r="F77" i="1"/>
  <c r="F114" s="1"/>
  <c r="F36"/>
  <c r="F63"/>
  <c r="F78" s="1"/>
  <c r="F115" s="1"/>
  <c r="F49"/>
  <c r="D63" i="2"/>
  <c r="E9" i="17"/>
  <c r="T42" i="13"/>
  <c r="AS23" s="1"/>
  <c r="BY20"/>
  <c r="S30"/>
  <c r="S42"/>
  <c r="D76" i="2"/>
  <c r="E15" i="6"/>
  <c r="S58" i="13"/>
  <c r="S63" s="1"/>
  <c r="S65" s="1"/>
  <c r="BY14"/>
  <c r="F12" i="1"/>
  <c r="G11"/>
  <c r="G49" s="1"/>
  <c r="F62"/>
  <c r="E8" i="6"/>
  <c r="BY13" i="13"/>
  <c r="E13" i="17"/>
  <c r="BY18" i="13"/>
  <c r="E13" i="6"/>
  <c r="F131" i="2"/>
  <c r="F35"/>
  <c r="F169"/>
  <c r="F12"/>
  <c r="F116"/>
  <c r="F132"/>
  <c r="F168"/>
  <c r="F76"/>
  <c r="F63"/>
  <c r="F117"/>
  <c r="G11"/>
  <c r="G89" s="1"/>
  <c r="BY15" i="13"/>
  <c r="E10" i="6"/>
  <c r="E10" i="17"/>
  <c r="T58" i="13"/>
  <c r="T30"/>
  <c r="E16" i="17"/>
  <c r="BY21" i="13"/>
  <c r="E16" i="6"/>
  <c r="AX18" i="13"/>
  <c r="BX18" s="1"/>
  <c r="AX15"/>
  <c r="AX21"/>
  <c r="AX13"/>
  <c r="AX19"/>
  <c r="AX16"/>
  <c r="AX14"/>
  <c r="AX20"/>
  <c r="AX17"/>
  <c r="J42" l="1"/>
  <c r="BI23" s="1"/>
  <c r="BK23" s="1"/>
  <c r="G12" i="1"/>
  <c r="G156"/>
  <c r="H11"/>
  <c r="H49" s="1"/>
  <c r="G63"/>
  <c r="G78" s="1"/>
  <c r="G115" s="1"/>
  <c r="G77"/>
  <c r="G114" s="1"/>
  <c r="G62"/>
  <c r="G36"/>
  <c r="AY20" i="13"/>
  <c r="CA20" s="1"/>
  <c r="CJ20" s="1"/>
  <c r="CK20" s="1"/>
  <c r="BZ20"/>
  <c r="BA20"/>
  <c r="BB20" s="1"/>
  <c r="BX20"/>
  <c r="BZ16"/>
  <c r="BA16"/>
  <c r="BB16" s="1"/>
  <c r="AY16"/>
  <c r="CA16" s="1"/>
  <c r="CJ16" s="1"/>
  <c r="CK16" s="1"/>
  <c r="BX16"/>
  <c r="BZ15"/>
  <c r="BA15"/>
  <c r="BB15" s="1"/>
  <c r="AY15"/>
  <c r="CA15" s="1"/>
  <c r="CJ15" s="1"/>
  <c r="CK15" s="1"/>
  <c r="G76" i="2"/>
  <c r="G35"/>
  <c r="G117"/>
  <c r="G131"/>
  <c r="G169"/>
  <c r="G12"/>
  <c r="G116"/>
  <c r="G132"/>
  <c r="G168"/>
  <c r="G63"/>
  <c r="H11"/>
  <c r="H89" s="1"/>
  <c r="AY17" i="13"/>
  <c r="CA17" s="1"/>
  <c r="CJ17" s="1"/>
  <c r="CK17" s="1"/>
  <c r="BA17"/>
  <c r="BB17" s="1"/>
  <c r="BZ17"/>
  <c r="BX17"/>
  <c r="AT23"/>
  <c r="AS25"/>
  <c r="BX13"/>
  <c r="AY13"/>
  <c r="CA13" s="1"/>
  <c r="CJ13" s="1"/>
  <c r="CK13" s="1"/>
  <c r="BZ13"/>
  <c r="BA13"/>
  <c r="BB13" s="1"/>
  <c r="BX15"/>
  <c r="BZ21"/>
  <c r="BA21"/>
  <c r="BB21" s="1"/>
  <c r="AY21"/>
  <c r="CA21" s="1"/>
  <c r="CJ21" s="1"/>
  <c r="CK21" s="1"/>
  <c r="AY14"/>
  <c r="CA14" s="1"/>
  <c r="CJ14" s="1"/>
  <c r="CK14" s="1"/>
  <c r="BZ14"/>
  <c r="BA14"/>
  <c r="BB14" s="1"/>
  <c r="BX14"/>
  <c r="AY19"/>
  <c r="CA19" s="1"/>
  <c r="CJ19" s="1"/>
  <c r="CK19" s="1"/>
  <c r="BZ19"/>
  <c r="BA19"/>
  <c r="BB19" s="1"/>
  <c r="BX19"/>
  <c r="AY18"/>
  <c r="CA18" s="1"/>
  <c r="CJ18" s="1"/>
  <c r="CK18" s="1"/>
  <c r="BA18"/>
  <c r="BB18" s="1"/>
  <c r="BZ18"/>
  <c r="AS22"/>
  <c r="J30"/>
  <c r="T63"/>
  <c r="J63" s="1"/>
  <c r="J58"/>
  <c r="BX21"/>
  <c r="AV23" l="1"/>
  <c r="AX23"/>
  <c r="BA23" s="1"/>
  <c r="BB23" s="1"/>
  <c r="BF23"/>
  <c r="BG23" s="1"/>
  <c r="BQ23" s="1"/>
  <c r="E18" i="17" s="1"/>
  <c r="H63" i="1"/>
  <c r="H78" s="1"/>
  <c r="H115" s="1"/>
  <c r="H36"/>
  <c r="H77"/>
  <c r="H114" s="1"/>
  <c r="H12"/>
  <c r="H62"/>
  <c r="I11"/>
  <c r="I49" s="1"/>
  <c r="H156"/>
  <c r="CL17" i="13"/>
  <c r="CM17" s="1"/>
  <c r="CL14"/>
  <c r="CM14" s="1"/>
  <c r="CL15"/>
  <c r="CP15" s="1"/>
  <c r="CL16"/>
  <c r="CP16" s="1"/>
  <c r="CL21"/>
  <c r="CM21" s="1"/>
  <c r="CL19"/>
  <c r="CP19" s="1"/>
  <c r="CL18"/>
  <c r="CM18" s="1"/>
  <c r="CL13"/>
  <c r="CM13" s="1"/>
  <c r="AS28"/>
  <c r="AV22"/>
  <c r="AS24"/>
  <c r="AT22"/>
  <c r="BF22"/>
  <c r="BG22" s="1"/>
  <c r="BQ22" s="1"/>
  <c r="AX22"/>
  <c r="BI22"/>
  <c r="BK22" s="1"/>
  <c r="C13" i="6"/>
  <c r="C13" i="17"/>
  <c r="CN18" i="13"/>
  <c r="E18" i="6"/>
  <c r="C14"/>
  <c r="C14" i="17"/>
  <c r="CN19" i="13"/>
  <c r="CR14"/>
  <c r="CS14"/>
  <c r="B9" i="21" s="1"/>
  <c r="CO14" i="13"/>
  <c r="C16" i="17"/>
  <c r="C16" i="6"/>
  <c r="CN21" i="13"/>
  <c r="D18" i="21"/>
  <c r="B18" i="23" s="1"/>
  <c r="B18" i="6"/>
  <c r="B18" i="17"/>
  <c r="H131" i="2"/>
  <c r="H169"/>
  <c r="H116"/>
  <c r="H63"/>
  <c r="H12"/>
  <c r="H168"/>
  <c r="H35"/>
  <c r="H132"/>
  <c r="H76"/>
  <c r="H117"/>
  <c r="I11"/>
  <c r="I89" s="1"/>
  <c r="CS18" i="13"/>
  <c r="B13" i="21" s="1"/>
  <c r="E13" s="1"/>
  <c r="C13" i="23" s="1"/>
  <c r="CO18" i="13"/>
  <c r="CW18"/>
  <c r="CR18"/>
  <c r="CS19"/>
  <c r="B14" i="21" s="1"/>
  <c r="E14" s="1"/>
  <c r="C14" i="23" s="1"/>
  <c r="CO19" i="13"/>
  <c r="CR19"/>
  <c r="C9" i="17"/>
  <c r="CN14" i="13"/>
  <c r="C9" i="6"/>
  <c r="C8"/>
  <c r="C8" i="17"/>
  <c r="CN13" i="13"/>
  <c r="BZ23"/>
  <c r="C12" i="6"/>
  <c r="CN17" i="13"/>
  <c r="C12" i="17"/>
  <c r="CO15" i="13"/>
  <c r="CR15"/>
  <c r="CS15"/>
  <c r="B10" i="21" s="1"/>
  <c r="E10" s="1"/>
  <c r="C10" i="23" s="1"/>
  <c r="CR16" i="13"/>
  <c r="CW16"/>
  <c r="CO16"/>
  <c r="CS16"/>
  <c r="B11" i="21" s="1"/>
  <c r="CO20" i="13"/>
  <c r="CR20"/>
  <c r="CS20"/>
  <c r="B15" i="21" s="1"/>
  <c r="E15" s="1"/>
  <c r="C15" i="23" s="1"/>
  <c r="T65" i="13"/>
  <c r="J65" s="1"/>
  <c r="AX30" s="1"/>
  <c r="CO13"/>
  <c r="CR13"/>
  <c r="CS13"/>
  <c r="B8" i="21" s="1"/>
  <c r="C15" i="17"/>
  <c r="C15" i="6"/>
  <c r="CN20" i="13"/>
  <c r="BD34"/>
  <c r="BD31"/>
  <c r="CS21"/>
  <c r="B16" i="21" s="1"/>
  <c r="E16" s="1"/>
  <c r="C16" i="23" s="1"/>
  <c r="CO21" i="13"/>
  <c r="CR21"/>
  <c r="BI25"/>
  <c r="BK25" s="1"/>
  <c r="AT25"/>
  <c r="AS27"/>
  <c r="BF25"/>
  <c r="BG25" s="1"/>
  <c r="BQ25" s="1"/>
  <c r="AV25"/>
  <c r="AX25"/>
  <c r="D18" i="17"/>
  <c r="D18" i="6"/>
  <c r="F18" i="21"/>
  <c r="D18" i="23" s="1"/>
  <c r="CR17" i="13"/>
  <c r="CS17"/>
  <c r="B12" i="21" s="1"/>
  <c r="E12" s="1"/>
  <c r="C12" i="23" s="1"/>
  <c r="CW17" i="13"/>
  <c r="CO17"/>
  <c r="C10" i="17"/>
  <c r="C10" i="6"/>
  <c r="CN15" i="13"/>
  <c r="C11" i="17"/>
  <c r="C11" i="6"/>
  <c r="CN16" i="13"/>
  <c r="CL20"/>
  <c r="AY23" l="1"/>
  <c r="CA23" s="1"/>
  <c r="CJ23" s="1"/>
  <c r="CK23" s="1"/>
  <c r="CO23" s="1"/>
  <c r="BX23"/>
  <c r="BY23"/>
  <c r="I36" i="1"/>
  <c r="I63"/>
  <c r="I78" s="1"/>
  <c r="I115" s="1"/>
  <c r="J11"/>
  <c r="J49" s="1"/>
  <c r="I77"/>
  <c r="I114" s="1"/>
  <c r="I62"/>
  <c r="I156"/>
  <c r="I12"/>
  <c r="CM19" i="13"/>
  <c r="CM15"/>
  <c r="CP17"/>
  <c r="CP14"/>
  <c r="CP21"/>
  <c r="CP13"/>
  <c r="CM16"/>
  <c r="CP18"/>
  <c r="AY30"/>
  <c r="CA30" s="1"/>
  <c r="CJ30" s="1"/>
  <c r="CK30" s="1"/>
  <c r="BZ30"/>
  <c r="BA30"/>
  <c r="BB30" s="1"/>
  <c r="BY25"/>
  <c r="E20" i="6"/>
  <c r="BX25" i="13"/>
  <c r="E20" i="17"/>
  <c r="K11" i="21"/>
  <c r="I11" i="23" s="1"/>
  <c r="G11" i="21"/>
  <c r="E11" i="23" s="1"/>
  <c r="K9" i="21"/>
  <c r="I9" i="23" s="1"/>
  <c r="G9" i="21"/>
  <c r="E9" i="23" s="1"/>
  <c r="B17" i="17"/>
  <c r="B17" i="6"/>
  <c r="D17" i="21"/>
  <c r="B17" i="23" s="1"/>
  <c r="D20" i="6"/>
  <c r="F20" i="21"/>
  <c r="D20" i="23" s="1"/>
  <c r="D20" i="17"/>
  <c r="K16" i="21"/>
  <c r="I16" i="23" s="1"/>
  <c r="G16" i="21"/>
  <c r="E16" i="23" s="1"/>
  <c r="E17" i="6"/>
  <c r="E17" i="17"/>
  <c r="BX22" i="13"/>
  <c r="BY22"/>
  <c r="BI28"/>
  <c r="BK28" s="1"/>
  <c r="BF31"/>
  <c r="BG31" s="1"/>
  <c r="BQ31" s="1"/>
  <c r="AX28"/>
  <c r="BF34"/>
  <c r="BG34" s="1"/>
  <c r="BQ34" s="1"/>
  <c r="AT28"/>
  <c r="AV28"/>
  <c r="BF28"/>
  <c r="BG28" s="1"/>
  <c r="BQ28" s="1"/>
  <c r="B20" i="6"/>
  <c r="D20" i="21"/>
  <c r="B20" i="23" s="1"/>
  <c r="B20" i="17"/>
  <c r="CP20" i="13"/>
  <c r="CM20"/>
  <c r="K12" i="21"/>
  <c r="I12" i="23" s="1"/>
  <c r="G12" i="21"/>
  <c r="E12" i="23" s="1"/>
  <c r="AX27" i="13"/>
  <c r="BF27"/>
  <c r="BG27" s="1"/>
  <c r="BQ27" s="1"/>
  <c r="AT27"/>
  <c r="BI27"/>
  <c r="BK27" s="1"/>
  <c r="AV27"/>
  <c r="K15" i="21"/>
  <c r="I15" i="23" s="1"/>
  <c r="G15" i="21"/>
  <c r="E15" i="23" s="1"/>
  <c r="C18" i="17"/>
  <c r="C18" i="6"/>
  <c r="F17" i="21"/>
  <c r="D17" i="23" s="1"/>
  <c r="D17" i="6"/>
  <c r="D17" i="17"/>
  <c r="BI24" i="13"/>
  <c r="BK24" s="1"/>
  <c r="AV24"/>
  <c r="BF24"/>
  <c r="BG24" s="1"/>
  <c r="BQ24" s="1"/>
  <c r="AX24"/>
  <c r="AS26"/>
  <c r="AT24"/>
  <c r="AV30"/>
  <c r="AX33"/>
  <c r="BD36"/>
  <c r="BG36" s="1"/>
  <c r="BQ36" s="1"/>
  <c r="AV36"/>
  <c r="BI32"/>
  <c r="BK32" s="1"/>
  <c r="AX32"/>
  <c r="AX29"/>
  <c r="E11" i="21"/>
  <c r="C11" i="23" s="1"/>
  <c r="CN23" i="13"/>
  <c r="AV29"/>
  <c r="AV33"/>
  <c r="BD29"/>
  <c r="BG29" s="1"/>
  <c r="BQ29" s="1"/>
  <c r="AV35"/>
  <c r="BI29"/>
  <c r="BK29" s="1"/>
  <c r="AS34"/>
  <c r="AS31"/>
  <c r="K10" i="21"/>
  <c r="I10" i="23" s="1"/>
  <c r="G10" i="21"/>
  <c r="E10" i="23" s="1"/>
  <c r="I116" i="2"/>
  <c r="I35"/>
  <c r="I132"/>
  <c r="I12"/>
  <c r="I168"/>
  <c r="I117"/>
  <c r="I76"/>
  <c r="I169"/>
  <c r="I131"/>
  <c r="I63"/>
  <c r="J11"/>
  <c r="J89" s="1"/>
  <c r="BZ25" i="13"/>
  <c r="BA25"/>
  <c r="BB25" s="1"/>
  <c r="CN25" s="1"/>
  <c r="AY25"/>
  <c r="CA25" s="1"/>
  <c r="CJ25" s="1"/>
  <c r="CK25" s="1"/>
  <c r="K8" i="21"/>
  <c r="I8" i="23" s="1"/>
  <c r="G8" i="21"/>
  <c r="E8" i="23" s="1"/>
  <c r="K14" i="21"/>
  <c r="I14" i="23" s="1"/>
  <c r="G14" i="21"/>
  <c r="E14" i="23" s="1"/>
  <c r="K13" i="21"/>
  <c r="I13" i="23" s="1"/>
  <c r="G13" i="21"/>
  <c r="E13" i="23" s="1"/>
  <c r="AY22" i="13"/>
  <c r="CA22" s="1"/>
  <c r="CJ22" s="1"/>
  <c r="CK22" s="1"/>
  <c r="BA22"/>
  <c r="BB22" s="1"/>
  <c r="CN22" s="1"/>
  <c r="BZ22"/>
  <c r="BI33"/>
  <c r="BK33" s="1"/>
  <c r="BD33"/>
  <c r="BG33" s="1"/>
  <c r="BQ33" s="1"/>
  <c r="AX35"/>
  <c r="BD32"/>
  <c r="BG32" s="1"/>
  <c r="BQ32" s="1"/>
  <c r="AX36"/>
  <c r="E8" i="21"/>
  <c r="C8" i="23" s="1"/>
  <c r="E9" i="21"/>
  <c r="C9" i="23" s="1"/>
  <c r="BI30" i="13"/>
  <c r="BK30" s="1"/>
  <c r="AV32"/>
  <c r="BD35"/>
  <c r="BG35" s="1"/>
  <c r="BQ35" s="1"/>
  <c r="BI35"/>
  <c r="BK35" s="1"/>
  <c r="BI36"/>
  <c r="BK36" s="1"/>
  <c r="BD30"/>
  <c r="BG30" s="1"/>
  <c r="BQ30" s="1"/>
  <c r="CS23" l="1"/>
  <c r="B18" i="21" s="1"/>
  <c r="CR23" i="13"/>
  <c r="CL23"/>
  <c r="CP23" s="1"/>
  <c r="J63" i="1"/>
  <c r="J78" s="1"/>
  <c r="J115" s="1"/>
  <c r="J36"/>
  <c r="J62"/>
  <c r="J12"/>
  <c r="K11"/>
  <c r="K49" s="1"/>
  <c r="J77"/>
  <c r="J114" s="1"/>
  <c r="J156"/>
  <c r="CW25" i="13"/>
  <c r="CO25"/>
  <c r="CR25"/>
  <c r="CS25"/>
  <c r="B20" i="21" s="1"/>
  <c r="E20" s="1"/>
  <c r="C20" i="23" s="1"/>
  <c r="E24" i="6"/>
  <c r="BX29" i="13"/>
  <c r="BY29"/>
  <c r="E24" i="17"/>
  <c r="AY27" i="13"/>
  <c r="CA27" s="1"/>
  <c r="CJ27" s="1"/>
  <c r="CK27" s="1"/>
  <c r="BA27"/>
  <c r="BB27" s="1"/>
  <c r="CN27" s="1"/>
  <c r="BZ27"/>
  <c r="E23" i="6"/>
  <c r="BY28" i="13"/>
  <c r="E23" i="17"/>
  <c r="BX28" i="13"/>
  <c r="BZ28"/>
  <c r="AY28"/>
  <c r="CA28" s="1"/>
  <c r="CJ28" s="1"/>
  <c r="CK28" s="1"/>
  <c r="BA28"/>
  <c r="BB28" s="1"/>
  <c r="BY35"/>
  <c r="E30" i="6"/>
  <c r="E30" i="17"/>
  <c r="BX35" i="13"/>
  <c r="BI31"/>
  <c r="BK31" s="1"/>
  <c r="AV31"/>
  <c r="AX31"/>
  <c r="BX31" s="1"/>
  <c r="AT31"/>
  <c r="BA33"/>
  <c r="BB33" s="1"/>
  <c r="CN33" s="1"/>
  <c r="BZ33"/>
  <c r="AY33"/>
  <c r="CA33" s="1"/>
  <c r="CJ33" s="1"/>
  <c r="CK33" s="1"/>
  <c r="AT26"/>
  <c r="BI26"/>
  <c r="BK26" s="1"/>
  <c r="AX26"/>
  <c r="BF26"/>
  <c r="BG26" s="1"/>
  <c r="BQ26" s="1"/>
  <c r="AV26"/>
  <c r="BX27"/>
  <c r="E22" i="17"/>
  <c r="E22" i="6"/>
  <c r="BY27" i="13"/>
  <c r="BY34"/>
  <c r="E29" i="17"/>
  <c r="E29" i="6"/>
  <c r="K18" i="21"/>
  <c r="I18" i="23" s="1"/>
  <c r="G18" i="21"/>
  <c r="E18" i="23" s="1"/>
  <c r="D24" i="6"/>
  <c r="D24" i="17"/>
  <c r="F24" i="21"/>
  <c r="D24" i="23" s="1"/>
  <c r="E31" i="6"/>
  <c r="BX36" i="13"/>
  <c r="E31" i="17"/>
  <c r="BY36" i="13"/>
  <c r="D19" i="21"/>
  <c r="B19" i="23" s="1"/>
  <c r="B19" i="6"/>
  <c r="B19" i="17"/>
  <c r="D22" i="21"/>
  <c r="B22" i="23" s="1"/>
  <c r="B22" i="6"/>
  <c r="B22" i="17"/>
  <c r="D23" i="21"/>
  <c r="B23" i="23" s="1"/>
  <c r="B23" i="17"/>
  <c r="B23" i="6"/>
  <c r="D23"/>
  <c r="F23" i="21"/>
  <c r="D23" i="23" s="1"/>
  <c r="D23" i="17"/>
  <c r="C25"/>
  <c r="C25" i="6"/>
  <c r="E18" i="21"/>
  <c r="C18" i="23" s="1"/>
  <c r="BX30" i="13"/>
  <c r="CL30" s="1"/>
  <c r="E25" i="6"/>
  <c r="E25" i="17"/>
  <c r="BY30" i="13"/>
  <c r="CN30"/>
  <c r="E28" i="17"/>
  <c r="BY33" i="13"/>
  <c r="E28" i="6"/>
  <c r="BX33" i="13"/>
  <c r="C17" i="6"/>
  <c r="C17" i="17"/>
  <c r="AT34" i="13"/>
  <c r="BI34"/>
  <c r="BK34" s="1"/>
  <c r="AX34"/>
  <c r="BX34" s="1"/>
  <c r="AV34"/>
  <c r="BA29"/>
  <c r="BB29" s="1"/>
  <c r="BZ29"/>
  <c r="AY29"/>
  <c r="CA29" s="1"/>
  <c r="CJ29" s="1"/>
  <c r="CK29" s="1"/>
  <c r="D27" i="17"/>
  <c r="F27" i="21"/>
  <c r="D27" i="23" s="1"/>
  <c r="D27" i="6"/>
  <c r="BA24" i="13"/>
  <c r="BB24" s="1"/>
  <c r="CN24" s="1"/>
  <c r="AY24"/>
  <c r="CA24" s="1"/>
  <c r="CJ24" s="1"/>
  <c r="CK24" s="1"/>
  <c r="BZ24"/>
  <c r="CS30"/>
  <c r="B25" i="21" s="1"/>
  <c r="K25" s="1"/>
  <c r="I25" i="23" s="1"/>
  <c r="CO30" i="13"/>
  <c r="CR30"/>
  <c r="BZ35"/>
  <c r="BA35"/>
  <c r="BB35" s="1"/>
  <c r="AY35"/>
  <c r="CA35" s="1"/>
  <c r="CJ35" s="1"/>
  <c r="CK35" s="1"/>
  <c r="D19" i="6"/>
  <c r="D19" i="17"/>
  <c r="F19" i="21"/>
  <c r="D19" i="23" s="1"/>
  <c r="F30" i="21"/>
  <c r="D30" i="23" s="1"/>
  <c r="D30" i="6"/>
  <c r="D30" i="17"/>
  <c r="BY32" i="13"/>
  <c r="BX32"/>
  <c r="E27" i="17"/>
  <c r="E27" i="6"/>
  <c r="D31"/>
  <c r="D31" i="17"/>
  <c r="F31" i="21"/>
  <c r="D31" i="23" s="1"/>
  <c r="F25" i="21"/>
  <c r="D25" i="23" s="1"/>
  <c r="D25" i="6"/>
  <c r="D25" i="17"/>
  <c r="BZ36" i="13"/>
  <c r="BA36"/>
  <c r="BB36" s="1"/>
  <c r="AY36"/>
  <c r="CA36" s="1"/>
  <c r="CJ36" s="1"/>
  <c r="CK36" s="1"/>
  <c r="D28" i="6"/>
  <c r="F28" i="21"/>
  <c r="D28" i="23" s="1"/>
  <c r="D28" i="17"/>
  <c r="CS22" i="13"/>
  <c r="CO22"/>
  <c r="CR22"/>
  <c r="C20" i="17"/>
  <c r="C20" i="6"/>
  <c r="J168" i="2"/>
  <c r="J132"/>
  <c r="J76"/>
  <c r="J63"/>
  <c r="J131"/>
  <c r="J35"/>
  <c r="J117"/>
  <c r="K11"/>
  <c r="K89" s="1"/>
  <c r="J116"/>
  <c r="J169"/>
  <c r="J12"/>
  <c r="BA32" i="13"/>
  <c r="BB32" s="1"/>
  <c r="BZ32"/>
  <c r="AY32"/>
  <c r="CA32" s="1"/>
  <c r="CJ32" s="1"/>
  <c r="CK32" s="1"/>
  <c r="E19" i="17"/>
  <c r="E19" i="6"/>
  <c r="BY24" i="13"/>
  <c r="BX24"/>
  <c r="F22" i="21"/>
  <c r="D22" i="23" s="1"/>
  <c r="D22" i="6"/>
  <c r="D22" i="17"/>
  <c r="E26" i="6"/>
  <c r="E26" i="17"/>
  <c r="BY31" i="13"/>
  <c r="CL25"/>
  <c r="CL22"/>
  <c r="CM23" l="1"/>
  <c r="CL33"/>
  <c r="CM33" s="1"/>
  <c r="L11" i="1"/>
  <c r="L49" s="1"/>
  <c r="K63"/>
  <c r="K78" s="1"/>
  <c r="K115" s="1"/>
  <c r="K36"/>
  <c r="K77"/>
  <c r="K114" s="1"/>
  <c r="K62"/>
  <c r="K12"/>
  <c r="K156"/>
  <c r="CL24" i="13"/>
  <c r="CM24" s="1"/>
  <c r="CL29"/>
  <c r="CP29" s="1"/>
  <c r="CL28"/>
  <c r="CP28" s="1"/>
  <c r="E25" i="21"/>
  <c r="C25" i="23" s="1"/>
  <c r="G25" i="21"/>
  <c r="E25" i="23" s="1"/>
  <c r="CR32" i="13"/>
  <c r="CW32"/>
  <c r="CO32"/>
  <c r="CS32"/>
  <c r="B27" i="21" s="1"/>
  <c r="E27" s="1"/>
  <c r="C27" i="23" s="1"/>
  <c r="CR35" i="13"/>
  <c r="CO35"/>
  <c r="CS35"/>
  <c r="B30" i="21" s="1"/>
  <c r="E30" s="1"/>
  <c r="C30" i="23" s="1"/>
  <c r="C24" i="6"/>
  <c r="C24" i="17"/>
  <c r="AY26" i="13"/>
  <c r="CA26" s="1"/>
  <c r="CJ26" s="1"/>
  <c r="CK26" s="1"/>
  <c r="BZ26"/>
  <c r="BA26"/>
  <c r="BB26" s="1"/>
  <c r="CN26" s="1"/>
  <c r="C31" i="17"/>
  <c r="C31" i="6"/>
  <c r="BZ34" i="13"/>
  <c r="AY34"/>
  <c r="CA34" s="1"/>
  <c r="CJ34" s="1"/>
  <c r="CK34" s="1"/>
  <c r="BA34"/>
  <c r="BB34" s="1"/>
  <c r="C30" i="17"/>
  <c r="C30" i="6"/>
  <c r="CR24" i="13"/>
  <c r="CS24"/>
  <c r="CW24"/>
  <c r="CO24"/>
  <c r="D29" i="21"/>
  <c r="B29" i="23" s="1"/>
  <c r="B29" i="6"/>
  <c r="B29" i="17"/>
  <c r="F21" i="21"/>
  <c r="D21" i="23" s="1"/>
  <c r="D21" i="6"/>
  <c r="D21" i="17"/>
  <c r="C28"/>
  <c r="C28" i="6"/>
  <c r="B26"/>
  <c r="B26" i="17"/>
  <c r="D26" i="21"/>
  <c r="B26" i="23" s="1"/>
  <c r="CS28" i="13"/>
  <c r="CO28"/>
  <c r="CR28"/>
  <c r="CL32"/>
  <c r="CL36"/>
  <c r="CL27"/>
  <c r="CN35"/>
  <c r="CM22"/>
  <c r="CP22"/>
  <c r="F29" i="21"/>
  <c r="D29" i="23" s="1"/>
  <c r="D29" i="17"/>
  <c r="D29" i="6"/>
  <c r="D26" i="17"/>
  <c r="D26" i="6"/>
  <c r="F26" i="21"/>
  <c r="D26" i="23" s="1"/>
  <c r="C23" i="6"/>
  <c r="C23" i="17"/>
  <c r="CM25" i="13"/>
  <c r="CP25"/>
  <c r="K131" i="2"/>
  <c r="K35"/>
  <c r="K117"/>
  <c r="L11"/>
  <c r="L89" s="1"/>
  <c r="K76"/>
  <c r="K169"/>
  <c r="K116"/>
  <c r="K132"/>
  <c r="K12"/>
  <c r="K168"/>
  <c r="K63"/>
  <c r="E21" i="6"/>
  <c r="BX26" i="13"/>
  <c r="BY26"/>
  <c r="E21" i="17"/>
  <c r="CW33" i="13"/>
  <c r="CR33"/>
  <c r="CO33"/>
  <c r="CS33"/>
  <c r="B28" i="21" s="1"/>
  <c r="CS27" i="13"/>
  <c r="B22" i="21" s="1"/>
  <c r="CR27" i="13"/>
  <c r="CO27"/>
  <c r="CM29"/>
  <c r="C27" i="17"/>
  <c r="C27" i="6"/>
  <c r="B17" i="21"/>
  <c r="B23"/>
  <c r="CS36" i="13"/>
  <c r="B31" i="21" s="1"/>
  <c r="E31" s="1"/>
  <c r="C31" i="23" s="1"/>
  <c r="CO36" i="13"/>
  <c r="CR36"/>
  <c r="C19" i="6"/>
  <c r="C19" i="17"/>
  <c r="CO29" i="13"/>
  <c r="CR29"/>
  <c r="CS29"/>
  <c r="B24" i="21" s="1"/>
  <c r="CP30" i="13"/>
  <c r="CM30"/>
  <c r="B21" i="6"/>
  <c r="D21" i="21"/>
  <c r="B21" i="23" s="1"/>
  <c r="B21" i="17"/>
  <c r="BZ31" i="13"/>
  <c r="AY31"/>
  <c r="CA31" s="1"/>
  <c r="CJ31" s="1"/>
  <c r="CK31" s="1"/>
  <c r="BA31"/>
  <c r="BB31" s="1"/>
  <c r="C22" i="17"/>
  <c r="C22" i="6"/>
  <c r="K20" i="21"/>
  <c r="I20" i="23" s="1"/>
  <c r="G20" i="21"/>
  <c r="E20" i="23" s="1"/>
  <c r="CN28" i="13"/>
  <c r="CN29"/>
  <c r="CL35"/>
  <c r="CN32"/>
  <c r="CN36"/>
  <c r="CL34" l="1"/>
  <c r="CP34" s="1"/>
  <c r="CP24"/>
  <c r="CP33"/>
  <c r="CL31"/>
  <c r="CM31" s="1"/>
  <c r="CM28"/>
  <c r="L36" i="1"/>
  <c r="L63"/>
  <c r="L78" s="1"/>
  <c r="L115" s="1"/>
  <c r="L62"/>
  <c r="M11"/>
  <c r="M49" s="1"/>
  <c r="L12"/>
  <c r="L77"/>
  <c r="L114" s="1"/>
  <c r="L156"/>
  <c r="CM34" i="13"/>
  <c r="K24" i="21"/>
  <c r="I24" i="23" s="1"/>
  <c r="G24" i="21"/>
  <c r="E24" i="23" s="1"/>
  <c r="K17" i="21"/>
  <c r="I17" i="23" s="1"/>
  <c r="G17" i="21"/>
  <c r="E17" i="23" s="1"/>
  <c r="E17" i="21"/>
  <c r="C17" i="23" s="1"/>
  <c r="L131" i="2"/>
  <c r="L169"/>
  <c r="L116"/>
  <c r="L63"/>
  <c r="L12"/>
  <c r="L168"/>
  <c r="L35"/>
  <c r="L132"/>
  <c r="L76"/>
  <c r="L117"/>
  <c r="M11"/>
  <c r="M89" s="1"/>
  <c r="K23" i="21"/>
  <c r="I23" i="23" s="1"/>
  <c r="G23" i="21"/>
  <c r="E23" i="23" s="1"/>
  <c r="K28" i="21"/>
  <c r="I28" i="23" s="1"/>
  <c r="G28" i="21"/>
  <c r="E28" i="23" s="1"/>
  <c r="K31" i="21"/>
  <c r="I31" i="23" s="1"/>
  <c r="G31" i="21"/>
  <c r="E31" i="23" s="1"/>
  <c r="CP36" i="13"/>
  <c r="CM36"/>
  <c r="B26" i="21"/>
  <c r="B19"/>
  <c r="CR34" i="13"/>
  <c r="CS34"/>
  <c r="CO34"/>
  <c r="CL26"/>
  <c r="E23" i="21"/>
  <c r="C23" i="23" s="1"/>
  <c r="CM35" i="13"/>
  <c r="CP35"/>
  <c r="C26" i="6"/>
  <c r="C26" i="17"/>
  <c r="CN31" i="13"/>
  <c r="K22" i="21"/>
  <c r="I22" i="23" s="1"/>
  <c r="G22" i="21"/>
  <c r="E22" i="23" s="1"/>
  <c r="CR26" i="13"/>
  <c r="CS26"/>
  <c r="CO26"/>
  <c r="K30" i="21"/>
  <c r="I30" i="23" s="1"/>
  <c r="G30" i="21"/>
  <c r="E30" i="23" s="1"/>
  <c r="CS31" i="13"/>
  <c r="CW31"/>
  <c r="CO31"/>
  <c r="CR31"/>
  <c r="CM27"/>
  <c r="CP27"/>
  <c r="CM32"/>
  <c r="CP32"/>
  <c r="C29" i="17"/>
  <c r="C29" i="6"/>
  <c r="CN34" i="13"/>
  <c r="C21" i="6"/>
  <c r="C21" i="17"/>
  <c r="K27" i="21"/>
  <c r="I27" i="23" s="1"/>
  <c r="G27" i="21"/>
  <c r="E27" i="23" s="1"/>
  <c r="E22" i="21"/>
  <c r="C22" i="23" s="1"/>
  <c r="E28" i="21"/>
  <c r="C28" i="23" s="1"/>
  <c r="E24" i="21"/>
  <c r="C24" i="23" s="1"/>
  <c r="CP31" i="13" l="1"/>
  <c r="M12" i="1"/>
  <c r="M156"/>
  <c r="M77"/>
  <c r="M114" s="1"/>
  <c r="M36"/>
  <c r="M63"/>
  <c r="M78" s="1"/>
  <c r="M115" s="1"/>
  <c r="N11"/>
  <c r="N49" s="1"/>
  <c r="M62"/>
  <c r="CM26" i="13"/>
  <c r="CP26"/>
  <c r="K26" i="21"/>
  <c r="I26" i="23" s="1"/>
  <c r="G26" i="21"/>
  <c r="E26" i="23" s="1"/>
  <c r="E26" i="21"/>
  <c r="C26" i="23" s="1"/>
  <c r="M76" i="2"/>
  <c r="M35"/>
  <c r="M132"/>
  <c r="M116"/>
  <c r="M117"/>
  <c r="M131"/>
  <c r="M169"/>
  <c r="N11"/>
  <c r="N89" s="1"/>
  <c r="M168"/>
  <c r="M63"/>
  <c r="M12"/>
  <c r="B29" i="21"/>
  <c r="B21"/>
  <c r="K19"/>
  <c r="I19" i="23" s="1"/>
  <c r="G19" i="21"/>
  <c r="E19" i="23" s="1"/>
  <c r="E19" i="21"/>
  <c r="C19" i="23" s="1"/>
  <c r="N156" i="1" l="1"/>
  <c r="N36"/>
  <c r="N62"/>
  <c r="O11"/>
  <c r="O49" s="1"/>
  <c r="N77"/>
  <c r="N114" s="1"/>
  <c r="N12"/>
  <c r="N63"/>
  <c r="N78" s="1"/>
  <c r="N115" s="1"/>
  <c r="K21" i="21"/>
  <c r="I21" i="23" s="1"/>
  <c r="G21" i="21"/>
  <c r="E21" i="23" s="1"/>
  <c r="E21" i="21"/>
  <c r="C21" i="23" s="1"/>
  <c r="N168" i="2"/>
  <c r="N132"/>
  <c r="O11"/>
  <c r="O89" s="1"/>
  <c r="N76"/>
  <c r="N63"/>
  <c r="N12"/>
  <c r="N131"/>
  <c r="N35"/>
  <c r="N117"/>
  <c r="N116"/>
  <c r="N169"/>
  <c r="K29" i="21"/>
  <c r="I29" i="23" s="1"/>
  <c r="G29" i="21"/>
  <c r="E29" i="23" s="1"/>
  <c r="E29" i="21"/>
  <c r="C29" i="23" s="1"/>
  <c r="O63" i="1" l="1"/>
  <c r="O78" s="1"/>
  <c r="O115" s="1"/>
  <c r="O36"/>
  <c r="O77"/>
  <c r="O114" s="1"/>
  <c r="P11"/>
  <c r="P49" s="1"/>
  <c r="O62"/>
  <c r="O12"/>
  <c r="O156"/>
  <c r="O168" i="2"/>
  <c r="O35"/>
  <c r="O117"/>
  <c r="P11"/>
  <c r="P89" s="1"/>
  <c r="O76"/>
  <c r="O169"/>
  <c r="O12"/>
  <c r="O131"/>
  <c r="O132"/>
  <c r="O116"/>
  <c r="O63"/>
  <c r="P12" i="1" l="1"/>
  <c r="P62"/>
  <c r="P36"/>
  <c r="P63"/>
  <c r="P78" s="1"/>
  <c r="P115" s="1"/>
  <c r="P77"/>
  <c r="P114" s="1"/>
  <c r="Q11"/>
  <c r="Q49" s="1"/>
  <c r="P156"/>
  <c r="P131" i="2"/>
  <c r="P169"/>
  <c r="P116"/>
  <c r="P63"/>
  <c r="Q11"/>
  <c r="Q89" s="1"/>
  <c r="P168"/>
  <c r="P35"/>
  <c r="P132"/>
  <c r="P76"/>
  <c r="P117"/>
  <c r="P12"/>
  <c r="R11" i="1" l="1"/>
  <c r="R49" s="1"/>
  <c r="Q62"/>
  <c r="Q77"/>
  <c r="Q114" s="1"/>
  <c r="Q36"/>
  <c r="Q63"/>
  <c r="Q78" s="1"/>
  <c r="Q115" s="1"/>
  <c r="Q12"/>
  <c r="Q156"/>
  <c r="Q116" i="2"/>
  <c r="Q35"/>
  <c r="Q132"/>
  <c r="R11"/>
  <c r="R89" s="1"/>
  <c r="Q168"/>
  <c r="Q117"/>
  <c r="Q12"/>
  <c r="Q76"/>
  <c r="Q169"/>
  <c r="Q131"/>
  <c r="Q63"/>
  <c r="R62" i="1" l="1"/>
  <c r="R63"/>
  <c r="R78" s="1"/>
  <c r="R115" s="1"/>
  <c r="S11"/>
  <c r="S49" s="1"/>
  <c r="R12"/>
  <c r="R156"/>
  <c r="R36"/>
  <c r="R77"/>
  <c r="R114" s="1"/>
  <c r="R168" i="2"/>
  <c r="R132"/>
  <c r="R76"/>
  <c r="R63"/>
  <c r="S11"/>
  <c r="S89" s="1"/>
  <c r="R131"/>
  <c r="R35"/>
  <c r="R117"/>
  <c r="R12"/>
  <c r="R116"/>
  <c r="R169"/>
  <c r="S62" i="1" l="1"/>
  <c r="S36"/>
  <c r="S77"/>
  <c r="S114" s="1"/>
  <c r="S12"/>
  <c r="S156"/>
  <c r="T11"/>
  <c r="T49" s="1"/>
  <c r="S63"/>
  <c r="S78" s="1"/>
  <c r="S115" s="1"/>
  <c r="S116" i="2"/>
  <c r="S35"/>
  <c r="S117"/>
  <c r="T11"/>
  <c r="T89" s="1"/>
  <c r="S168"/>
  <c r="S169"/>
  <c r="S76"/>
  <c r="S132"/>
  <c r="S12"/>
  <c r="S131"/>
  <c r="S63"/>
  <c r="T36" i="1" l="1"/>
  <c r="U11"/>
  <c r="U49" s="1"/>
  <c r="T12"/>
  <c r="T77"/>
  <c r="T114" s="1"/>
  <c r="T63"/>
  <c r="T78" s="1"/>
  <c r="T115" s="1"/>
  <c r="T62"/>
  <c r="T156"/>
  <c r="T76" i="2"/>
  <c r="T169"/>
  <c r="T116"/>
  <c r="T63"/>
  <c r="T12"/>
  <c r="T168"/>
  <c r="T35"/>
  <c r="T132"/>
  <c r="T131"/>
  <c r="T117"/>
  <c r="U11"/>
  <c r="U89" s="1"/>
  <c r="U63" i="1" l="1"/>
  <c r="U78" s="1"/>
  <c r="U115" s="1"/>
  <c r="U156"/>
  <c r="U62"/>
  <c r="U12"/>
  <c r="U36"/>
  <c r="U77"/>
  <c r="U114" s="1"/>
  <c r="V11"/>
  <c r="V49" s="1"/>
  <c r="U76" i="2"/>
  <c r="U35"/>
  <c r="U132"/>
  <c r="U12"/>
  <c r="U116"/>
  <c r="U117"/>
  <c r="U131"/>
  <c r="U169"/>
  <c r="U168"/>
  <c r="U63"/>
  <c r="V11"/>
  <c r="V89" s="1"/>
  <c r="V63" i="1" l="1"/>
  <c r="V78" s="1"/>
  <c r="V115" s="1"/>
  <c r="V156"/>
  <c r="V62"/>
  <c r="V12"/>
  <c r="V36"/>
  <c r="V77"/>
  <c r="V114" s="1"/>
  <c r="W11"/>
  <c r="W49" s="1"/>
  <c r="V168" i="2"/>
  <c r="V132"/>
  <c r="V131"/>
  <c r="V63"/>
  <c r="W11"/>
  <c r="W89" s="1"/>
  <c r="V35"/>
  <c r="V117"/>
  <c r="V12"/>
  <c r="V76"/>
  <c r="V116"/>
  <c r="V169"/>
  <c r="W36" i="1" l="1"/>
  <c r="W77"/>
  <c r="W114" s="1"/>
  <c r="W12"/>
  <c r="W63"/>
  <c r="W78" s="1"/>
  <c r="W115" s="1"/>
  <c r="X11"/>
  <c r="X49" s="1"/>
  <c r="W156"/>
  <c r="W62"/>
  <c r="W76" i="2"/>
  <c r="W35"/>
  <c r="W117"/>
  <c r="X11"/>
  <c r="X89" s="1"/>
  <c r="W131"/>
  <c r="W169"/>
  <c r="W116"/>
  <c r="W132"/>
  <c r="W168"/>
  <c r="W63"/>
  <c r="W12"/>
  <c r="X36" i="1" l="1"/>
  <c r="X12"/>
  <c r="X63"/>
  <c r="X78" s="1"/>
  <c r="X115" s="1"/>
  <c r="X62"/>
  <c r="X77"/>
  <c r="X114" s="1"/>
  <c r="X156"/>
  <c r="X168" i="2"/>
  <c r="X169"/>
  <c r="X76"/>
  <c r="X12"/>
  <c r="X131"/>
  <c r="X63"/>
  <c r="X132"/>
  <c r="X116"/>
  <c r="X35"/>
  <c r="X117"/>
  <c r="E13" i="1" l="1"/>
  <c r="U30" i="2" l="1"/>
  <c r="J20" i="1"/>
  <c r="G23"/>
  <c r="N24"/>
  <c r="O25" i="2"/>
  <c r="J29" i="1"/>
  <c r="E17"/>
  <c r="G18" i="2"/>
  <c r="L20"/>
  <c r="E26" i="1"/>
  <c r="O28"/>
  <c r="M22" i="2"/>
  <c r="W28" i="1"/>
  <c r="O16"/>
  <c r="U15"/>
  <c r="F26" i="2"/>
  <c r="P26"/>
  <c r="G26" i="1"/>
  <c r="O14"/>
  <c r="R13"/>
  <c r="P25" i="2"/>
  <c r="U26"/>
  <c r="J22"/>
  <c r="X16" i="1"/>
  <c r="K24"/>
  <c r="J15"/>
  <c r="J26"/>
  <c r="E19"/>
  <c r="E27"/>
  <c r="J24" i="2"/>
  <c r="Q23" i="1"/>
  <c r="E23"/>
  <c r="P30" i="2"/>
  <c r="K17"/>
  <c r="R24"/>
  <c r="E24" i="1"/>
  <c r="K23" i="2"/>
  <c r="W24"/>
  <c r="S30" i="1"/>
  <c r="L29"/>
  <c r="E21" i="2"/>
  <c r="J29"/>
  <c r="L18" i="1"/>
  <c r="Q21" i="2"/>
  <c r="F30" i="1"/>
  <c r="F14" i="2"/>
  <c r="O17"/>
  <c r="H23" i="1"/>
  <c r="P18"/>
  <c r="T26" i="2"/>
  <c r="T24" i="1"/>
  <c r="J16"/>
  <c r="I26" i="2"/>
  <c r="O21"/>
  <c r="L19"/>
  <c r="R25" i="1"/>
  <c r="L26"/>
  <c r="M20" i="2"/>
  <c r="S21"/>
  <c r="T13" i="1"/>
  <c r="K25"/>
  <c r="Q19" i="2"/>
  <c r="F15" i="1"/>
  <c r="M22"/>
  <c r="H29" i="2"/>
  <c r="H19"/>
  <c r="G13"/>
  <c r="H28" i="1"/>
  <c r="R18"/>
  <c r="F20" i="2"/>
  <c r="X13" i="1"/>
  <c r="H30"/>
  <c r="F23" i="2"/>
  <c r="N18"/>
  <c r="T16" i="1"/>
  <c r="J14" i="2"/>
  <c r="L28" i="1"/>
  <c r="W18"/>
  <c r="I18" i="2"/>
  <c r="R27"/>
  <c r="I24"/>
  <c r="K20"/>
  <c r="V29"/>
  <c r="W30" i="1"/>
  <c r="E23" i="2"/>
  <c r="I20" i="1"/>
  <c r="J28"/>
  <c r="G26" i="2"/>
  <c r="J22" i="1"/>
  <c r="S25" i="2"/>
  <c r="Q14" i="1"/>
  <c r="N16"/>
  <c r="P17" i="2"/>
  <c r="M13" i="1"/>
  <c r="U21"/>
  <c r="H27" i="2"/>
  <c r="V22" i="1"/>
  <c r="X23" i="2"/>
  <c r="J27" i="1"/>
  <c r="H25" i="2"/>
  <c r="N25" i="1"/>
  <c r="Q28" i="2"/>
  <c r="R17" i="1"/>
  <c r="U25"/>
  <c r="K21"/>
  <c r="H20"/>
  <c r="U28" i="2"/>
  <c r="O16"/>
  <c r="M28"/>
  <c r="R13"/>
  <c r="T18" i="1"/>
  <c r="X29"/>
  <c r="K29" i="2"/>
  <c r="Q20"/>
  <c r="G30"/>
  <c r="G29" i="1"/>
  <c r="O27" i="2"/>
  <c r="X28" i="1"/>
  <c r="G21"/>
  <c r="G15" i="2"/>
  <c r="T21" i="1"/>
  <c r="S29"/>
  <c r="U13" i="2"/>
  <c r="F19"/>
  <c r="Q15" i="1"/>
  <c r="Q17"/>
  <c r="M14" i="2"/>
  <c r="S23" i="1"/>
  <c r="S28" i="2"/>
  <c r="R23" i="1"/>
  <c r="U23"/>
  <c r="L14" i="2"/>
  <c r="U29" i="1"/>
  <c r="N28"/>
  <c r="Q18" i="2"/>
  <c r="M20" i="1"/>
  <c r="Q26"/>
  <c r="H17"/>
  <c r="F16" i="2"/>
  <c r="P24" i="1"/>
  <c r="J13"/>
  <c r="O22" i="2"/>
  <c r="M24"/>
  <c r="M29" i="1"/>
  <c r="N20"/>
  <c r="L17" i="2"/>
  <c r="V20"/>
  <c r="K16" i="1"/>
  <c r="I19" i="2"/>
  <c r="K28" i="1"/>
  <c r="H24" i="2"/>
  <c r="K26"/>
  <c r="P26" i="1"/>
  <c r="X16" i="2"/>
  <c r="S20" i="1"/>
  <c r="Q20"/>
  <c r="H18" i="2"/>
  <c r="L27" i="1"/>
  <c r="H21" i="2"/>
  <c r="L15" i="1"/>
  <c r="Q29" i="2"/>
  <c r="L22"/>
  <c r="V14"/>
  <c r="V19"/>
  <c r="S16"/>
  <c r="V15" i="1"/>
  <c r="O20" i="2"/>
  <c r="P22" i="1"/>
  <c r="Q16"/>
  <c r="E28"/>
  <c r="G24"/>
  <c r="L17"/>
  <c r="L19"/>
  <c r="M15"/>
  <c r="K15" i="2"/>
  <c r="P20"/>
  <c r="P19"/>
  <c r="M24" i="1"/>
  <c r="M30" i="2"/>
  <c r="K19" i="1"/>
  <c r="E22" i="2"/>
  <c r="R25"/>
  <c r="J25"/>
  <c r="V25"/>
  <c r="E26"/>
  <c r="E27"/>
  <c r="J17"/>
  <c r="S29"/>
  <c r="W14"/>
  <c r="Q26"/>
  <c r="O20" i="1"/>
  <c r="S15"/>
  <c r="P13"/>
  <c r="X26"/>
  <c r="W20" i="2"/>
  <c r="I23" i="1"/>
  <c r="X24"/>
  <c r="L30" i="2"/>
  <c r="O24"/>
  <c r="O18"/>
  <c r="V26" i="1"/>
  <c r="K13"/>
  <c r="X25" i="2"/>
  <c r="J26"/>
  <c r="M27" i="1"/>
  <c r="V27"/>
  <c r="G14" i="2"/>
  <c r="I27"/>
  <c r="H25" i="1"/>
  <c r="S19" i="2"/>
  <c r="R19" i="1"/>
  <c r="P18" i="2"/>
  <c r="T23"/>
  <c r="M21"/>
  <c r="R19"/>
  <c r="H22" i="1"/>
  <c r="R18" i="2"/>
  <c r="S26" i="1"/>
  <c r="H16" i="2"/>
  <c r="H14" i="1"/>
  <c r="F21"/>
  <c r="R24"/>
  <c r="Q17" i="2"/>
  <c r="U29"/>
  <c r="N13" i="1"/>
  <c r="E29"/>
  <c r="I26"/>
  <c r="T25"/>
  <c r="F17"/>
  <c r="W26" i="2"/>
  <c r="F27"/>
  <c r="M27"/>
  <c r="N21" i="1"/>
  <c r="E15" i="2"/>
  <c r="K27"/>
  <c r="F13"/>
  <c r="O19" i="1"/>
  <c r="H23" i="2"/>
  <c r="X19" i="1"/>
  <c r="V17" i="2"/>
  <c r="U19"/>
  <c r="R28" i="1"/>
  <c r="K20"/>
  <c r="I29" i="2"/>
  <c r="W14" i="1"/>
  <c r="U27"/>
  <c r="L13" i="2"/>
  <c r="H13"/>
  <c r="R30" i="1"/>
  <c r="V28"/>
  <c r="S22"/>
  <c r="R21"/>
  <c r="G22"/>
  <c r="W27" i="2"/>
  <c r="H22"/>
  <c r="O24" i="1"/>
  <c r="V14"/>
  <c r="W15" i="2"/>
  <c r="V15"/>
  <c r="X21" i="1"/>
  <c r="M25"/>
  <c r="V20"/>
  <c r="G17"/>
  <c r="R26"/>
  <c r="U25" i="2"/>
  <c r="O30" i="1"/>
  <c r="E17" i="2"/>
  <c r="E13"/>
  <c r="L15"/>
  <c r="Q13" i="1"/>
  <c r="L20"/>
  <c r="N22"/>
  <c r="I13" i="2"/>
  <c r="R22"/>
  <c r="P19" i="1"/>
  <c r="E30"/>
  <c r="H28" i="2"/>
  <c r="U23"/>
  <c r="V27"/>
  <c r="M23" i="1"/>
  <c r="G21" i="2"/>
  <c r="J13"/>
  <c r="E30"/>
  <c r="M30" i="1"/>
  <c r="T29"/>
  <c r="S14" i="2"/>
  <c r="F25"/>
  <c r="V23"/>
  <c r="K23" i="1"/>
  <c r="W17"/>
  <c r="O21"/>
  <c r="R17" i="2"/>
  <c r="P16"/>
  <c r="H16" i="1"/>
  <c r="G16"/>
  <c r="U14" i="2"/>
  <c r="E20"/>
  <c r="V30"/>
  <c r="R29"/>
  <c r="I15" i="1"/>
  <c r="T26"/>
  <c r="P15" i="2"/>
  <c r="W16" i="1"/>
  <c r="R21" i="2"/>
  <c r="X14" i="1"/>
  <c r="S13" i="2"/>
  <c r="W18"/>
  <c r="F22" i="1"/>
  <c r="F22" i="2"/>
  <c r="H15"/>
  <c r="O14"/>
  <c r="T18"/>
  <c r="U16"/>
  <c r="I19" i="1"/>
  <c r="Q29"/>
  <c r="K15"/>
  <c r="J21" i="2"/>
  <c r="V23" i="1"/>
  <c r="V19"/>
  <c r="M26" i="2"/>
  <c r="O15" i="1"/>
  <c r="L16"/>
  <c r="S17" i="2"/>
  <c r="E28"/>
  <c r="J18" i="1"/>
  <c r="N19" i="2"/>
  <c r="O19"/>
  <c r="E25" i="1"/>
  <c r="T15"/>
  <c r="L22"/>
  <c r="R22"/>
  <c r="X22"/>
  <c r="W29" i="2"/>
  <c r="P28" i="1"/>
  <c r="G25"/>
  <c r="R14"/>
  <c r="T27" i="2"/>
  <c r="J24" i="1"/>
  <c r="M28"/>
  <c r="T19"/>
  <c r="V25"/>
  <c r="F20"/>
  <c r="X23"/>
  <c r="X15"/>
  <c r="M18" i="2"/>
  <c r="G17"/>
  <c r="F29"/>
  <c r="U22"/>
  <c r="L29"/>
  <c r="F21"/>
  <c r="Q28" i="1"/>
  <c r="I30"/>
  <c r="Q21"/>
  <c r="O26" i="2"/>
  <c r="P16" i="1"/>
  <c r="L24" i="2"/>
  <c r="I14"/>
  <c r="W20" i="1"/>
  <c r="K24" i="2"/>
  <c r="G22"/>
  <c r="U30" i="1"/>
  <c r="T17" i="2"/>
  <c r="N27"/>
  <c r="I29" i="1"/>
  <c r="R15" i="2"/>
  <c r="M16" i="1"/>
  <c r="X30"/>
  <c r="P17"/>
  <c r="W26"/>
  <c r="S21"/>
  <c r="L25"/>
  <c r="R29"/>
  <c r="S13"/>
  <c r="N15"/>
  <c r="I25"/>
  <c r="F26"/>
  <c r="N13" i="2"/>
  <c r="N24"/>
  <c r="N14" i="1"/>
  <c r="T27"/>
  <c r="U22"/>
  <c r="P28" i="2"/>
  <c r="M17" i="1"/>
  <c r="O29"/>
  <c r="E14"/>
  <c r="S24"/>
  <c r="O23" i="2"/>
  <c r="G29"/>
  <c r="H17"/>
  <c r="O15"/>
  <c r="Q24" i="1"/>
  <c r="E20"/>
  <c r="J23" i="2"/>
  <c r="Q27" i="1"/>
  <c r="O13"/>
  <c r="E15"/>
  <c r="G25" i="2"/>
  <c r="N29"/>
  <c r="I22"/>
  <c r="P21" i="1"/>
  <c r="M17" i="2"/>
  <c r="N28"/>
  <c r="G28" i="1"/>
  <c r="W19" i="2"/>
  <c r="O25" i="1"/>
  <c r="T15" i="2"/>
  <c r="S18" i="1"/>
  <c r="M18"/>
  <c r="J20" i="2"/>
  <c r="T13"/>
  <c r="F23" i="1"/>
  <c r="K18"/>
  <c r="L16" i="2"/>
  <c r="K30"/>
  <c r="V22"/>
  <c r="X27" i="1"/>
  <c r="T28"/>
  <c r="F28" i="2"/>
  <c r="P21"/>
  <c r="W25" i="1"/>
  <c r="G30"/>
  <c r="X13" i="2"/>
  <c r="E14"/>
  <c r="J21" i="1"/>
  <c r="M19" i="2"/>
  <c r="F15"/>
  <c r="W21" i="1"/>
  <c r="O23"/>
  <c r="T25" i="2"/>
  <c r="S20"/>
  <c r="V30" i="1"/>
  <c r="X18" i="2"/>
  <c r="I16" i="1"/>
  <c r="I16" i="2"/>
  <c r="U18" i="1"/>
  <c r="T30"/>
  <c r="S19"/>
  <c r="O18"/>
  <c r="U17"/>
  <c r="V13" i="2"/>
  <c r="H29" i="1"/>
  <c r="R26" i="2"/>
  <c r="X21"/>
  <c r="N29" i="1"/>
  <c r="I21" i="2"/>
  <c r="Q25" i="1"/>
  <c r="T28" i="2"/>
  <c r="V28"/>
  <c r="I24" i="1"/>
  <c r="N27"/>
  <c r="O29" i="2"/>
  <c r="X30"/>
  <c r="W19" i="1"/>
  <c r="R14" i="2"/>
  <c r="L26"/>
  <c r="F18" i="1"/>
  <c r="S25"/>
  <c r="N14" i="2"/>
  <c r="K22"/>
  <c r="L21" i="1"/>
  <c r="N15" i="2"/>
  <c r="S27"/>
  <c r="I18" i="1"/>
  <c r="W23" i="2"/>
  <c r="X18" i="1"/>
  <c r="G28" i="2"/>
  <c r="V24"/>
  <c r="N18" i="1"/>
  <c r="W24"/>
  <c r="S27"/>
  <c r="Q15" i="2"/>
  <c r="H15" i="1"/>
  <c r="G27"/>
  <c r="M21"/>
  <c r="E25" i="2"/>
  <c r="N17"/>
  <c r="K30" i="1"/>
  <c r="M15" i="2"/>
  <c r="T30"/>
  <c r="T21"/>
  <c r="O17" i="1"/>
  <c r="I21"/>
  <c r="S28"/>
  <c r="K17"/>
  <c r="F18" i="2"/>
  <c r="I17"/>
  <c r="U21"/>
  <c r="G16"/>
  <c r="T24"/>
  <c r="T29"/>
  <c r="J27"/>
  <c r="P14"/>
  <c r="W23" i="1"/>
  <c r="F16"/>
  <c r="S14"/>
  <c r="R28" i="2"/>
  <c r="W28"/>
  <c r="H26"/>
  <c r="H14"/>
  <c r="N19" i="1"/>
  <c r="G24" i="2"/>
  <c r="E16" i="1"/>
  <c r="G14"/>
  <c r="F14"/>
  <c r="U27" i="2"/>
  <c r="X26"/>
  <c r="Q27"/>
  <c r="X29"/>
  <c r="X15"/>
  <c r="E18"/>
  <c r="T16"/>
  <c r="K18"/>
  <c r="P15" i="1"/>
  <c r="W13"/>
  <c r="P25"/>
  <c r="I13"/>
  <c r="V21"/>
  <c r="J23"/>
  <c r="W15"/>
  <c r="M25" i="2"/>
  <c r="F25" i="1"/>
  <c r="R16"/>
  <c r="G27" i="2"/>
  <c r="G18" i="1"/>
  <c r="N26"/>
  <c r="X19" i="2"/>
  <c r="J17" i="1"/>
  <c r="N21" i="2"/>
  <c r="L13" i="1"/>
  <c r="P23" i="2"/>
  <c r="X20" i="1"/>
  <c r="K13" i="2"/>
  <c r="J30" i="1"/>
  <c r="H13"/>
  <c r="L21" i="2"/>
  <c r="I27" i="1"/>
  <c r="R30" i="2"/>
  <c r="L23"/>
  <c r="N26"/>
  <c r="V24" i="1"/>
  <c r="I23" i="2"/>
  <c r="J28"/>
  <c r="L30" i="1"/>
  <c r="I17"/>
  <c r="N17"/>
  <c r="P27" i="2"/>
  <c r="L25"/>
  <c r="P20" i="1"/>
  <c r="K26"/>
  <c r="E22"/>
  <c r="R27"/>
  <c r="S30" i="2"/>
  <c r="G19" i="1"/>
  <c r="V13"/>
  <c r="J15" i="2"/>
  <c r="K21"/>
  <c r="V17" i="1"/>
  <c r="H20" i="2"/>
  <c r="N30" i="1"/>
  <c r="P14"/>
  <c r="M14"/>
  <c r="V29"/>
  <c r="W22"/>
  <c r="U14"/>
  <c r="F27"/>
  <c r="S26" i="2"/>
  <c r="T22"/>
  <c r="X24"/>
  <c r="W27" i="1"/>
  <c r="M19"/>
  <c r="W13" i="2"/>
  <c r="O13"/>
  <c r="H26" i="1"/>
  <c r="U20"/>
  <c r="W21" i="2"/>
  <c r="G20"/>
  <c r="T22" i="1"/>
  <c r="L23"/>
  <c r="U26"/>
  <c r="R23" i="2"/>
  <c r="V16"/>
  <c r="W30"/>
  <c r="I14" i="1"/>
  <c r="H19"/>
  <c r="H27"/>
  <c r="F30" i="2"/>
  <c r="T20" i="1"/>
  <c r="L14"/>
  <c r="N25" i="2"/>
  <c r="P13"/>
  <c r="E29"/>
  <c r="L27"/>
  <c r="U24"/>
  <c r="S18"/>
  <c r="Q16"/>
  <c r="E16"/>
  <c r="F17"/>
  <c r="W25"/>
  <c r="U15"/>
  <c r="I20"/>
  <c r="O28"/>
  <c r="J16"/>
  <c r="L18"/>
  <c r="S23"/>
  <c r="J18"/>
  <c r="J19"/>
  <c r="T14" i="1"/>
  <c r="O26"/>
  <c r="K14" i="2"/>
  <c r="K14" i="1"/>
  <c r="F13"/>
  <c r="E24" i="2"/>
  <c r="X27"/>
  <c r="Q30"/>
  <c r="H24" i="1"/>
  <c r="T23"/>
  <c r="X14" i="2"/>
  <c r="R16"/>
  <c r="S22"/>
  <c r="K22" i="1"/>
  <c r="N22" i="2"/>
  <c r="I22" i="1"/>
  <c r="E19" i="2"/>
  <c r="Q13"/>
  <c r="N20"/>
  <c r="U19" i="1"/>
  <c r="P27"/>
  <c r="U16"/>
  <c r="K29"/>
  <c r="U13"/>
  <c r="W17" i="2"/>
  <c r="G19"/>
  <c r="R15" i="1"/>
  <c r="V18" i="2"/>
  <c r="S24"/>
  <c r="M16"/>
  <c r="N23"/>
  <c r="X20"/>
  <c r="K16"/>
  <c r="M23"/>
  <c r="Q25"/>
  <c r="F24"/>
  <c r="P29" i="1"/>
  <c r="O30" i="2"/>
  <c r="S15"/>
  <c r="K27" i="1"/>
  <c r="I28" i="2"/>
  <c r="P24"/>
  <c r="F19" i="1"/>
  <c r="X28" i="2"/>
  <c r="I15"/>
  <c r="T17" i="1"/>
  <c r="N16" i="2"/>
  <c r="X22"/>
  <c r="X17"/>
  <c r="J19" i="1"/>
  <c r="E18"/>
  <c r="Q30"/>
  <c r="U28"/>
  <c r="G20"/>
  <c r="U24"/>
  <c r="F28"/>
  <c r="P22" i="2"/>
  <c r="M29"/>
  <c r="P23" i="1"/>
  <c r="W29"/>
  <c r="T14" i="2"/>
  <c r="X25" i="1"/>
  <c r="J25"/>
  <c r="H18"/>
  <c r="L28" i="2"/>
  <c r="G15" i="1"/>
  <c r="U17" i="2"/>
  <c r="Q19" i="1"/>
  <c r="Q22" i="2"/>
  <c r="G23"/>
  <c r="K25"/>
  <c r="Q23"/>
  <c r="Q24"/>
  <c r="Q14"/>
  <c r="N23" i="1"/>
  <c r="V26" i="2"/>
  <c r="H21" i="1"/>
  <c r="Q18"/>
  <c r="F29"/>
  <c r="R20"/>
  <c r="V21" i="2"/>
  <c r="X17" i="1"/>
  <c r="G13"/>
  <c r="O27"/>
  <c r="V16"/>
  <c r="E21"/>
  <c r="U20" i="2"/>
  <c r="P29"/>
  <c r="N30"/>
  <c r="I30"/>
  <c r="W22"/>
  <c r="I25"/>
  <c r="Q22" i="1"/>
  <c r="V18"/>
  <c r="U18" i="2"/>
  <c r="J30"/>
  <c r="R20"/>
  <c r="S16" i="1"/>
  <c r="P30"/>
  <c r="I28"/>
  <c r="M26"/>
  <c r="S17"/>
  <c r="O22"/>
  <c r="K19" i="2"/>
  <c r="K28"/>
  <c r="F24" i="1"/>
  <c r="T20" i="2"/>
  <c r="J14" i="1"/>
  <c r="W16" i="2"/>
  <c r="H30"/>
  <c r="M13"/>
  <c r="L24" i="1"/>
  <c r="T19" i="2"/>
  <c r="M32" l="1"/>
  <c r="M40" s="1"/>
  <c r="G32" i="1"/>
  <c r="G41" s="1"/>
  <c r="G53" s="1"/>
  <c r="Y18"/>
  <c r="L32"/>
  <c r="L38" s="1"/>
  <c r="L50" s="1"/>
  <c r="Y14"/>
  <c r="E32"/>
  <c r="N32" i="2"/>
  <c r="S32" i="1"/>
  <c r="I32" i="2"/>
  <c r="N32" i="1"/>
  <c r="P32"/>
  <c r="J32"/>
  <c r="Y27"/>
  <c r="U32"/>
  <c r="P32" i="2"/>
  <c r="V32" i="1"/>
  <c r="Y22"/>
  <c r="H32"/>
  <c r="W32"/>
  <c r="Y16"/>
  <c r="X32" i="2"/>
  <c r="T32"/>
  <c r="S32"/>
  <c r="J32"/>
  <c r="Q32" i="1"/>
  <c r="Y29"/>
  <c r="K32"/>
  <c r="Y28"/>
  <c r="R32" i="2"/>
  <c r="M32" i="1"/>
  <c r="Y26"/>
  <c r="F32"/>
  <c r="Y13"/>
  <c r="W32" i="2"/>
  <c r="O32" i="1"/>
  <c r="L32" i="2"/>
  <c r="U32"/>
  <c r="X32" i="1"/>
  <c r="G32" i="2"/>
  <c r="Y17" i="1"/>
  <c r="Y21"/>
  <c r="Q32" i="2"/>
  <c r="O32"/>
  <c r="K32"/>
  <c r="I32" i="1"/>
  <c r="V32" i="2"/>
  <c r="Y15" i="1"/>
  <c r="Y20"/>
  <c r="Y25"/>
  <c r="Y30"/>
  <c r="E32" i="2"/>
  <c r="H32"/>
  <c r="F32"/>
  <c r="T32" i="1"/>
  <c r="Y24"/>
  <c r="Y23"/>
  <c r="Y19"/>
  <c r="R32"/>
  <c r="G38" l="1"/>
  <c r="G50" s="1"/>
  <c r="G157" s="1"/>
  <c r="L40"/>
  <c r="L52" s="1"/>
  <c r="L66" s="1"/>
  <c r="R5" i="26" s="1"/>
  <c r="L42" i="1"/>
  <c r="L54" s="1"/>
  <c r="L68" s="1"/>
  <c r="R7" i="26" s="1"/>
  <c r="L39" i="1"/>
  <c r="L51" s="1"/>
  <c r="L65" s="1"/>
  <c r="R4" i="26" s="1"/>
  <c r="L45" i="1"/>
  <c r="L57" s="1"/>
  <c r="L71" s="1"/>
  <c r="R10" i="26" s="1"/>
  <c r="L44" i="1"/>
  <c r="L56" s="1"/>
  <c r="L70" s="1"/>
  <c r="R9" i="26" s="1"/>
  <c r="L43" i="1"/>
  <c r="L55" s="1"/>
  <c r="G43"/>
  <c r="G55" s="1"/>
  <c r="G69" s="1"/>
  <c r="M8" i="26" s="1"/>
  <c r="L41" i="1"/>
  <c r="L53" s="1"/>
  <c r="L67" s="1"/>
  <c r="R6" i="26" s="1"/>
  <c r="G45" i="1"/>
  <c r="G57" s="1"/>
  <c r="G71" s="1"/>
  <c r="M10" i="26" s="1"/>
  <c r="G67" i="1"/>
  <c r="M6" i="26" s="1"/>
  <c r="G160" i="1"/>
  <c r="M41" i="2"/>
  <c r="M39"/>
  <c r="G39" i="1"/>
  <c r="G51" s="1"/>
  <c r="G65" s="1"/>
  <c r="M4" i="26" s="1"/>
  <c r="G42" i="1"/>
  <c r="G54" s="1"/>
  <c r="G68" s="1"/>
  <c r="M7" i="26" s="1"/>
  <c r="M38" i="2"/>
  <c r="M42"/>
  <c r="G44" i="1"/>
  <c r="G56" s="1"/>
  <c r="M37" i="2"/>
  <c r="M36"/>
  <c r="M64" s="1"/>
  <c r="G40" i="1"/>
  <c r="G52" s="1"/>
  <c r="G66" s="1"/>
  <c r="M5" i="26" s="1"/>
  <c r="M43" i="2"/>
  <c r="F36"/>
  <c r="F39"/>
  <c r="F42"/>
  <c r="F37"/>
  <c r="F40"/>
  <c r="F38"/>
  <c r="F43"/>
  <c r="F41"/>
  <c r="U40"/>
  <c r="U38"/>
  <c r="U36"/>
  <c r="U41"/>
  <c r="U39"/>
  <c r="U37"/>
  <c r="U43"/>
  <c r="U42"/>
  <c r="Q39" i="1"/>
  <c r="Q51" s="1"/>
  <c r="Q65" s="1"/>
  <c r="W4" i="26" s="1"/>
  <c r="Q40" i="1"/>
  <c r="Q52" s="1"/>
  <c r="Q66" s="1"/>
  <c r="W5" i="26" s="1"/>
  <c r="Q44" i="1"/>
  <c r="Q56" s="1"/>
  <c r="Q70" s="1"/>
  <c r="W9" i="26" s="1"/>
  <c r="Q41" i="1"/>
  <c r="Q53" s="1"/>
  <c r="Q67" s="1"/>
  <c r="W6" i="26" s="1"/>
  <c r="Q42" i="1"/>
  <c r="Q54" s="1"/>
  <c r="Q68" s="1"/>
  <c r="W7" i="26" s="1"/>
  <c r="Q38" i="1"/>
  <c r="Q50" s="1"/>
  <c r="Q43"/>
  <c r="Q55" s="1"/>
  <c r="Q69" s="1"/>
  <c r="W8" i="26" s="1"/>
  <c r="Q45" i="1"/>
  <c r="Q57" s="1"/>
  <c r="Q71" s="1"/>
  <c r="W10" i="26" s="1"/>
  <c r="I40" i="2"/>
  <c r="I37"/>
  <c r="I38"/>
  <c r="I39"/>
  <c r="I41"/>
  <c r="I36"/>
  <c r="I42"/>
  <c r="I43"/>
  <c r="T42" i="1"/>
  <c r="T54" s="1"/>
  <c r="T68" s="1"/>
  <c r="Z7" i="26" s="1"/>
  <c r="T39" i="1"/>
  <c r="T51" s="1"/>
  <c r="T65" s="1"/>
  <c r="Z4" i="26" s="1"/>
  <c r="T45" i="1"/>
  <c r="T57" s="1"/>
  <c r="T71" s="1"/>
  <c r="Z10" i="26" s="1"/>
  <c r="T40" i="1"/>
  <c r="T52" s="1"/>
  <c r="T66" s="1"/>
  <c r="Z5" i="26" s="1"/>
  <c r="T43" i="1"/>
  <c r="T55" s="1"/>
  <c r="T69" s="1"/>
  <c r="Z8" i="26" s="1"/>
  <c r="T38" i="1"/>
  <c r="T50" s="1"/>
  <c r="T157" s="1"/>
  <c r="T44"/>
  <c r="T56" s="1"/>
  <c r="T70" s="1"/>
  <c r="Z9" i="26" s="1"/>
  <c r="T41" i="1"/>
  <c r="T53" s="1"/>
  <c r="T67" s="1"/>
  <c r="Z6" i="26" s="1"/>
  <c r="Q41" i="2"/>
  <c r="Q43"/>
  <c r="Q38"/>
  <c r="Q42"/>
  <c r="Q40"/>
  <c r="Q36"/>
  <c r="Q39"/>
  <c r="Q37"/>
  <c r="W41"/>
  <c r="W38"/>
  <c r="W36"/>
  <c r="W37"/>
  <c r="W40"/>
  <c r="W39"/>
  <c r="W43"/>
  <c r="W42"/>
  <c r="H39" i="1"/>
  <c r="H51" s="1"/>
  <c r="H65" s="1"/>
  <c r="N4" i="26" s="1"/>
  <c r="H41" i="1"/>
  <c r="H53" s="1"/>
  <c r="H67" s="1"/>
  <c r="N6" i="26" s="1"/>
  <c r="H43" i="1"/>
  <c r="H55" s="1"/>
  <c r="H69" s="1"/>
  <c r="N8" i="26" s="1"/>
  <c r="H38" i="1"/>
  <c r="H50" s="1"/>
  <c r="H45"/>
  <c r="H57" s="1"/>
  <c r="H71" s="1"/>
  <c r="N10" i="26" s="1"/>
  <c r="H44" i="1"/>
  <c r="H56" s="1"/>
  <c r="H70" s="1"/>
  <c r="N9" i="26" s="1"/>
  <c r="H42" i="1"/>
  <c r="H54" s="1"/>
  <c r="H68" s="1"/>
  <c r="N7" i="26" s="1"/>
  <c r="H40" i="1"/>
  <c r="H52" s="1"/>
  <c r="H66" s="1"/>
  <c r="N5" i="26" s="1"/>
  <c r="H158" i="1"/>
  <c r="N39"/>
  <c r="N51" s="1"/>
  <c r="N65" s="1"/>
  <c r="T4" i="26" s="1"/>
  <c r="N42" i="1"/>
  <c r="N54" s="1"/>
  <c r="N68" s="1"/>
  <c r="T7" i="26" s="1"/>
  <c r="N38" i="1"/>
  <c r="N50" s="1"/>
  <c r="N40"/>
  <c r="N52" s="1"/>
  <c r="N66" s="1"/>
  <c r="T5" i="26" s="1"/>
  <c r="N44" i="1"/>
  <c r="N56" s="1"/>
  <c r="N70" s="1"/>
  <c r="T9" i="26" s="1"/>
  <c r="N45" i="1"/>
  <c r="N57" s="1"/>
  <c r="N71" s="1"/>
  <c r="T10" i="26" s="1"/>
  <c r="N41" i="1"/>
  <c r="N53" s="1"/>
  <c r="N67" s="1"/>
  <c r="T6" i="26" s="1"/>
  <c r="N43" i="1"/>
  <c r="N55" s="1"/>
  <c r="N69" s="1"/>
  <c r="T8" i="26" s="1"/>
  <c r="E39" i="2"/>
  <c r="E38"/>
  <c r="E41"/>
  <c r="E42"/>
  <c r="E43"/>
  <c r="E40"/>
  <c r="E36"/>
  <c r="E37"/>
  <c r="O43"/>
  <c r="O38"/>
  <c r="O40"/>
  <c r="O39"/>
  <c r="O42"/>
  <c r="O36"/>
  <c r="O41"/>
  <c r="O37"/>
  <c r="G41"/>
  <c r="G38"/>
  <c r="G40"/>
  <c r="G36"/>
  <c r="G43"/>
  <c r="G37"/>
  <c r="G39"/>
  <c r="G42"/>
  <c r="O45" i="1"/>
  <c r="O57" s="1"/>
  <c r="O71" s="1"/>
  <c r="U10" i="26" s="1"/>
  <c r="O44" i="1"/>
  <c r="O56" s="1"/>
  <c r="O70" s="1"/>
  <c r="U9" i="26" s="1"/>
  <c r="O42" i="1"/>
  <c r="O54" s="1"/>
  <c r="O68" s="1"/>
  <c r="U7" i="26" s="1"/>
  <c r="O43" i="1"/>
  <c r="O55" s="1"/>
  <c r="O69" s="1"/>
  <c r="U8" i="26" s="1"/>
  <c r="O40" i="1"/>
  <c r="O52" s="1"/>
  <c r="O66" s="1"/>
  <c r="U5" i="26" s="1"/>
  <c r="O38" i="1"/>
  <c r="O50" s="1"/>
  <c r="O157" s="1"/>
  <c r="O39"/>
  <c r="O51" s="1"/>
  <c r="O65" s="1"/>
  <c r="U4" i="26" s="1"/>
  <c r="O41" i="1"/>
  <c r="O53" s="1"/>
  <c r="O67" s="1"/>
  <c r="U6" i="26" s="1"/>
  <c r="K41" i="1"/>
  <c r="K53" s="1"/>
  <c r="K67" s="1"/>
  <c r="Q6" i="26" s="1"/>
  <c r="K42" i="1"/>
  <c r="K54" s="1"/>
  <c r="K68" s="1"/>
  <c r="Q7" i="26" s="1"/>
  <c r="K44" i="1"/>
  <c r="K56" s="1"/>
  <c r="K70" s="1"/>
  <c r="Q9" i="26" s="1"/>
  <c r="K40" i="1"/>
  <c r="K52" s="1"/>
  <c r="K66" s="1"/>
  <c r="Q5" i="26" s="1"/>
  <c r="K39" i="1"/>
  <c r="K51" s="1"/>
  <c r="K65" s="1"/>
  <c r="Q4" i="26" s="1"/>
  <c r="K45" i="1"/>
  <c r="K57" s="1"/>
  <c r="K71" s="1"/>
  <c r="Q10" i="26" s="1"/>
  <c r="K43" i="1"/>
  <c r="K55" s="1"/>
  <c r="K69" s="1"/>
  <c r="Q8" i="26" s="1"/>
  <c r="K38" i="1"/>
  <c r="K50" s="1"/>
  <c r="S42" i="2"/>
  <c r="S39"/>
  <c r="S40"/>
  <c r="S36"/>
  <c r="S37"/>
  <c r="S41"/>
  <c r="S38"/>
  <c r="S43"/>
  <c r="W44" i="1"/>
  <c r="W56" s="1"/>
  <c r="W70" s="1"/>
  <c r="AC9" i="26" s="1"/>
  <c r="W45" i="1"/>
  <c r="W57" s="1"/>
  <c r="W71" s="1"/>
  <c r="AC10" i="26" s="1"/>
  <c r="W43" i="1"/>
  <c r="W55" s="1"/>
  <c r="W69" s="1"/>
  <c r="AC8" i="26" s="1"/>
  <c r="W39" i="1"/>
  <c r="W51" s="1"/>
  <c r="W65" s="1"/>
  <c r="AC4" i="26" s="1"/>
  <c r="W42" i="1"/>
  <c r="W54" s="1"/>
  <c r="W68" s="1"/>
  <c r="AC7" i="26" s="1"/>
  <c r="W38" i="1"/>
  <c r="W50" s="1"/>
  <c r="W41"/>
  <c r="W53" s="1"/>
  <c r="W67" s="1"/>
  <c r="AC6" i="26" s="1"/>
  <c r="W40" i="1"/>
  <c r="W52" s="1"/>
  <c r="W66" s="1"/>
  <c r="AC5" i="26" s="1"/>
  <c r="P38" i="2"/>
  <c r="P42"/>
  <c r="P40"/>
  <c r="P36"/>
  <c r="P43"/>
  <c r="P39"/>
  <c r="P41"/>
  <c r="P37"/>
  <c r="P42" i="1"/>
  <c r="P54" s="1"/>
  <c r="P68" s="1"/>
  <c r="V7" i="26" s="1"/>
  <c r="P39" i="1"/>
  <c r="P51" s="1"/>
  <c r="P65" s="1"/>
  <c r="V4" i="26" s="1"/>
  <c r="P44" i="1"/>
  <c r="P56" s="1"/>
  <c r="P70" s="1"/>
  <c r="V9" i="26" s="1"/>
  <c r="P41" i="1"/>
  <c r="P53" s="1"/>
  <c r="P67" s="1"/>
  <c r="V6" i="26" s="1"/>
  <c r="P43" i="1"/>
  <c r="P55" s="1"/>
  <c r="P69" s="1"/>
  <c r="V8" i="26" s="1"/>
  <c r="P45" i="1"/>
  <c r="P57" s="1"/>
  <c r="P71" s="1"/>
  <c r="V10" i="26" s="1"/>
  <c r="P38" i="1"/>
  <c r="P50" s="1"/>
  <c r="P40"/>
  <c r="P52" s="1"/>
  <c r="P66" s="1"/>
  <c r="V5" i="26" s="1"/>
  <c r="N41" i="2"/>
  <c r="N37"/>
  <c r="N38"/>
  <c r="N36"/>
  <c r="N40"/>
  <c r="N43"/>
  <c r="N42"/>
  <c r="N39"/>
  <c r="I40" i="1"/>
  <c r="I52" s="1"/>
  <c r="I66" s="1"/>
  <c r="O5" i="26" s="1"/>
  <c r="I43" i="1"/>
  <c r="I55" s="1"/>
  <c r="I69" s="1"/>
  <c r="O8" i="26" s="1"/>
  <c r="I38" i="1"/>
  <c r="I50" s="1"/>
  <c r="I157" s="1"/>
  <c r="I39"/>
  <c r="I51" s="1"/>
  <c r="I65" s="1"/>
  <c r="O4" i="26" s="1"/>
  <c r="I42" i="1"/>
  <c r="I54" s="1"/>
  <c r="I68" s="1"/>
  <c r="O7" i="26" s="1"/>
  <c r="I41" i="1"/>
  <c r="I53" s="1"/>
  <c r="I67" s="1"/>
  <c r="O6" i="26" s="1"/>
  <c r="I45" i="1"/>
  <c r="I57" s="1"/>
  <c r="I71" s="1"/>
  <c r="O10" i="26" s="1"/>
  <c r="I44" i="1"/>
  <c r="I56" s="1"/>
  <c r="I70" s="1"/>
  <c r="O9" i="26" s="1"/>
  <c r="R37" i="2"/>
  <c r="R39"/>
  <c r="R36"/>
  <c r="R42"/>
  <c r="R41"/>
  <c r="R38"/>
  <c r="R43"/>
  <c r="R40"/>
  <c r="X43"/>
  <c r="X40"/>
  <c r="X37"/>
  <c r="X36"/>
  <c r="X41"/>
  <c r="X39"/>
  <c r="X38"/>
  <c r="X42"/>
  <c r="R43" i="1"/>
  <c r="R55" s="1"/>
  <c r="R69" s="1"/>
  <c r="X8" i="26" s="1"/>
  <c r="R44" i="1"/>
  <c r="R56" s="1"/>
  <c r="R70" s="1"/>
  <c r="X9" i="26" s="1"/>
  <c r="R41" i="1"/>
  <c r="R53" s="1"/>
  <c r="R67" s="1"/>
  <c r="X6" i="26" s="1"/>
  <c r="R38" i="1"/>
  <c r="R50" s="1"/>
  <c r="R45"/>
  <c r="R57" s="1"/>
  <c r="R71" s="1"/>
  <c r="X10" i="26" s="1"/>
  <c r="R39" i="1"/>
  <c r="R51" s="1"/>
  <c r="R65" s="1"/>
  <c r="X4" i="26" s="1"/>
  <c r="R42" i="1"/>
  <c r="R54" s="1"/>
  <c r="R68" s="1"/>
  <c r="X7" i="26" s="1"/>
  <c r="R40" i="1"/>
  <c r="R52" s="1"/>
  <c r="R66" s="1"/>
  <c r="X5" i="26" s="1"/>
  <c r="V38" i="2"/>
  <c r="V41"/>
  <c r="V43"/>
  <c r="V36"/>
  <c r="V37"/>
  <c r="V40"/>
  <c r="V42"/>
  <c r="V39"/>
  <c r="X39" i="1"/>
  <c r="X51" s="1"/>
  <c r="X65" s="1"/>
  <c r="AD4" i="26" s="1"/>
  <c r="X38" i="1"/>
  <c r="X50" s="1"/>
  <c r="X44"/>
  <c r="X56" s="1"/>
  <c r="X70" s="1"/>
  <c r="AD9" i="26" s="1"/>
  <c r="X43" i="1"/>
  <c r="X55" s="1"/>
  <c r="X69" s="1"/>
  <c r="AD8" i="26" s="1"/>
  <c r="X40" i="1"/>
  <c r="X52" s="1"/>
  <c r="X66" s="1"/>
  <c r="AD5" i="26" s="1"/>
  <c r="X45" i="1"/>
  <c r="X57" s="1"/>
  <c r="X71" s="1"/>
  <c r="AD10" i="26" s="1"/>
  <c r="X41" i="1"/>
  <c r="X53" s="1"/>
  <c r="X67" s="1"/>
  <c r="AD6" i="26" s="1"/>
  <c r="X42" i="1"/>
  <c r="X54" s="1"/>
  <c r="X68" s="1"/>
  <c r="AD7" i="26" s="1"/>
  <c r="M39" i="1"/>
  <c r="M51" s="1"/>
  <c r="M65" s="1"/>
  <c r="S4" i="26" s="1"/>
  <c r="M41" i="1"/>
  <c r="M53" s="1"/>
  <c r="M67" s="1"/>
  <c r="S6" i="26" s="1"/>
  <c r="M45" i="1"/>
  <c r="M57" s="1"/>
  <c r="M71" s="1"/>
  <c r="S10" i="26" s="1"/>
  <c r="M44" i="1"/>
  <c r="M56" s="1"/>
  <c r="M70" s="1"/>
  <c r="S9" i="26" s="1"/>
  <c r="M43" i="1"/>
  <c r="M55" s="1"/>
  <c r="M69" s="1"/>
  <c r="S8" i="26" s="1"/>
  <c r="M38" i="1"/>
  <c r="M50" s="1"/>
  <c r="M40"/>
  <c r="M52" s="1"/>
  <c r="M66" s="1"/>
  <c r="S5" i="26" s="1"/>
  <c r="M42" i="1"/>
  <c r="M54" s="1"/>
  <c r="M68" s="1"/>
  <c r="S7" i="26" s="1"/>
  <c r="T38" i="2"/>
  <c r="T40"/>
  <c r="T43"/>
  <c r="T37"/>
  <c r="T42"/>
  <c r="T41"/>
  <c r="T36"/>
  <c r="T39"/>
  <c r="U40" i="1"/>
  <c r="U52" s="1"/>
  <c r="U66" s="1"/>
  <c r="AA5" i="26" s="1"/>
  <c r="U39" i="1"/>
  <c r="U51" s="1"/>
  <c r="U65" s="1"/>
  <c r="AA4" i="26" s="1"/>
  <c r="U44" i="1"/>
  <c r="U56" s="1"/>
  <c r="U70" s="1"/>
  <c r="AA9" i="26" s="1"/>
  <c r="U42" i="1"/>
  <c r="U54" s="1"/>
  <c r="U68" s="1"/>
  <c r="AA7" i="26" s="1"/>
  <c r="U43" i="1"/>
  <c r="U55" s="1"/>
  <c r="U69" s="1"/>
  <c r="AA8" i="26" s="1"/>
  <c r="U41" i="1"/>
  <c r="U53" s="1"/>
  <c r="U67" s="1"/>
  <c r="AA6" i="26" s="1"/>
  <c r="U45" i="1"/>
  <c r="U57" s="1"/>
  <c r="U71" s="1"/>
  <c r="AA10" i="26" s="1"/>
  <c r="U38" i="1"/>
  <c r="U50" s="1"/>
  <c r="U157" s="1"/>
  <c r="E44"/>
  <c r="Y32"/>
  <c r="Z32" s="1"/>
  <c r="E42"/>
  <c r="E39"/>
  <c r="E40"/>
  <c r="E43"/>
  <c r="E41"/>
  <c r="E38"/>
  <c r="E33"/>
  <c r="F33" s="1"/>
  <c r="G33" s="1"/>
  <c r="H33" s="1"/>
  <c r="I33" s="1"/>
  <c r="J33" s="1"/>
  <c r="K33" s="1"/>
  <c r="L33" s="1"/>
  <c r="M33" s="1"/>
  <c r="N33" s="1"/>
  <c r="O33" s="1"/>
  <c r="P33" s="1"/>
  <c r="Q33" s="1"/>
  <c r="R33" s="1"/>
  <c r="S33" s="1"/>
  <c r="T33" s="1"/>
  <c r="U33" s="1"/>
  <c r="V33" s="1"/>
  <c r="W33" s="1"/>
  <c r="X33" s="1"/>
  <c r="E45"/>
  <c r="L157"/>
  <c r="L64"/>
  <c r="H37" i="2"/>
  <c r="H38"/>
  <c r="H36"/>
  <c r="H42"/>
  <c r="H40"/>
  <c r="H43"/>
  <c r="H39"/>
  <c r="H41"/>
  <c r="K39"/>
  <c r="K42"/>
  <c r="K36"/>
  <c r="K38"/>
  <c r="K37"/>
  <c r="K41"/>
  <c r="K43"/>
  <c r="K40"/>
  <c r="L42"/>
  <c r="L40"/>
  <c r="L38"/>
  <c r="L36"/>
  <c r="L37"/>
  <c r="L39"/>
  <c r="L43"/>
  <c r="L41"/>
  <c r="F41" i="1"/>
  <c r="F53" s="1"/>
  <c r="F67" s="1"/>
  <c r="L6" i="26" s="1"/>
  <c r="F42" i="1"/>
  <c r="F54" s="1"/>
  <c r="F68" s="1"/>
  <c r="L7" i="26" s="1"/>
  <c r="F38" i="1"/>
  <c r="F50" s="1"/>
  <c r="F43"/>
  <c r="F55" s="1"/>
  <c r="F69" s="1"/>
  <c r="L8" i="26" s="1"/>
  <c r="F45" i="1"/>
  <c r="F57" s="1"/>
  <c r="F71" s="1"/>
  <c r="L10" i="26" s="1"/>
  <c r="F39" i="1"/>
  <c r="F51" s="1"/>
  <c r="F65" s="1"/>
  <c r="L4" i="26" s="1"/>
  <c r="F44" i="1"/>
  <c r="F56" s="1"/>
  <c r="F70" s="1"/>
  <c r="L9" i="26" s="1"/>
  <c r="F40" i="1"/>
  <c r="F52" s="1"/>
  <c r="F66" s="1"/>
  <c r="L5" i="26" s="1"/>
  <c r="J37" i="2"/>
  <c r="J38"/>
  <c r="J42"/>
  <c r="J36"/>
  <c r="J39"/>
  <c r="J40"/>
  <c r="J43"/>
  <c r="J41"/>
  <c r="V39" i="1"/>
  <c r="V51" s="1"/>
  <c r="V65" s="1"/>
  <c r="AB4" i="26" s="1"/>
  <c r="V44" i="1"/>
  <c r="V56" s="1"/>
  <c r="V70" s="1"/>
  <c r="AB9" i="26" s="1"/>
  <c r="V40" i="1"/>
  <c r="V52" s="1"/>
  <c r="V66" s="1"/>
  <c r="AB5" i="26" s="1"/>
  <c r="V38" i="1"/>
  <c r="V50" s="1"/>
  <c r="V45"/>
  <c r="V57" s="1"/>
  <c r="V71" s="1"/>
  <c r="AB10" i="26" s="1"/>
  <c r="V43" i="1"/>
  <c r="V55" s="1"/>
  <c r="V69" s="1"/>
  <c r="AB8" i="26" s="1"/>
  <c r="V41" i="1"/>
  <c r="V53" s="1"/>
  <c r="V67" s="1"/>
  <c r="AB6" i="26" s="1"/>
  <c r="V42" i="1"/>
  <c r="V54" s="1"/>
  <c r="V68" s="1"/>
  <c r="AB7" i="26" s="1"/>
  <c r="J41" i="1"/>
  <c r="J53" s="1"/>
  <c r="J67" s="1"/>
  <c r="P6" i="26" s="1"/>
  <c r="J39" i="1"/>
  <c r="J51" s="1"/>
  <c r="J65" s="1"/>
  <c r="P4" i="26" s="1"/>
  <c r="J45" i="1"/>
  <c r="J57" s="1"/>
  <c r="J71" s="1"/>
  <c r="P10" i="26" s="1"/>
  <c r="J43" i="1"/>
  <c r="J55" s="1"/>
  <c r="J69" s="1"/>
  <c r="P8" i="26" s="1"/>
  <c r="J44" i="1"/>
  <c r="J56" s="1"/>
  <c r="J70" s="1"/>
  <c r="P9" i="26" s="1"/>
  <c r="J38" i="1"/>
  <c r="J50" s="1"/>
  <c r="J42"/>
  <c r="J54" s="1"/>
  <c r="J68" s="1"/>
  <c r="P7" i="26" s="1"/>
  <c r="J40" i="1"/>
  <c r="J52" s="1"/>
  <c r="J66" s="1"/>
  <c r="P5" i="26" s="1"/>
  <c r="S38" i="1"/>
  <c r="S50" s="1"/>
  <c r="S39"/>
  <c r="S51" s="1"/>
  <c r="S65" s="1"/>
  <c r="Y4" i="26" s="1"/>
  <c r="S43" i="1"/>
  <c r="S55" s="1"/>
  <c r="S69" s="1"/>
  <c r="Y8" i="26" s="1"/>
  <c r="S45" i="1"/>
  <c r="S57" s="1"/>
  <c r="S71" s="1"/>
  <c r="Y10" i="26" s="1"/>
  <c r="S44" i="1"/>
  <c r="S56" s="1"/>
  <c r="S70" s="1"/>
  <c r="Y9" i="26" s="1"/>
  <c r="S42" i="1"/>
  <c r="S54" s="1"/>
  <c r="S68" s="1"/>
  <c r="Y7" i="26" s="1"/>
  <c r="S40" i="1"/>
  <c r="S52" s="1"/>
  <c r="S66" s="1"/>
  <c r="Y5" i="26" s="1"/>
  <c r="S41" i="1"/>
  <c r="S53" s="1"/>
  <c r="S67" s="1"/>
  <c r="Y6" i="26" s="1"/>
  <c r="K158" i="1" l="1"/>
  <c r="K164"/>
  <c r="L160"/>
  <c r="M65" i="2"/>
  <c r="G64" i="1"/>
  <c r="M3" i="26" s="1"/>
  <c r="L164" i="1"/>
  <c r="R163"/>
  <c r="L161"/>
  <c r="Q159"/>
  <c r="Q163"/>
  <c r="J163"/>
  <c r="M162"/>
  <c r="V162"/>
  <c r="P160"/>
  <c r="R160"/>
  <c r="L159"/>
  <c r="H164"/>
  <c r="S159"/>
  <c r="R158"/>
  <c r="N159"/>
  <c r="M66" i="2"/>
  <c r="V161" i="1"/>
  <c r="P159"/>
  <c r="R162"/>
  <c r="L158"/>
  <c r="Q164"/>
  <c r="L69"/>
  <c r="R8" i="26" s="1"/>
  <c r="L162" i="1"/>
  <c r="L163"/>
  <c r="L59"/>
  <c r="W162"/>
  <c r="G164"/>
  <c r="G162"/>
  <c r="S164"/>
  <c r="F158"/>
  <c r="G59"/>
  <c r="G161"/>
  <c r="S160"/>
  <c r="J159"/>
  <c r="F163"/>
  <c r="X163"/>
  <c r="I158"/>
  <c r="W161"/>
  <c r="O162"/>
  <c r="M45" i="2"/>
  <c r="M46" s="1"/>
  <c r="M70"/>
  <c r="N162" i="1"/>
  <c r="H163"/>
  <c r="T162"/>
  <c r="G158"/>
  <c r="G159"/>
  <c r="G70"/>
  <c r="M9" i="26" s="1"/>
  <c r="G163" i="1"/>
  <c r="S158"/>
  <c r="O164"/>
  <c r="M67" i="2"/>
  <c r="M68"/>
  <c r="M69"/>
  <c r="H160" i="1"/>
  <c r="T160"/>
  <c r="U160"/>
  <c r="M71" i="2"/>
  <c r="N161" i="1"/>
  <c r="S162"/>
  <c r="X159"/>
  <c r="P164"/>
  <c r="K163"/>
  <c r="Q160"/>
  <c r="J164"/>
  <c r="V163"/>
  <c r="U159"/>
  <c r="M161"/>
  <c r="M163"/>
  <c r="M159"/>
  <c r="X164"/>
  <c r="I164"/>
  <c r="W158"/>
  <c r="W159"/>
  <c r="K162"/>
  <c r="O160"/>
  <c r="N163"/>
  <c r="H161"/>
  <c r="J158"/>
  <c r="T164"/>
  <c r="S161"/>
  <c r="F164"/>
  <c r="M160"/>
  <c r="X161"/>
  <c r="R159"/>
  <c r="R161"/>
  <c r="I160"/>
  <c r="P163"/>
  <c r="W160"/>
  <c r="O158"/>
  <c r="H162"/>
  <c r="Q158"/>
  <c r="S157"/>
  <c r="S59"/>
  <c r="S64"/>
  <c r="E54"/>
  <c r="Y42"/>
  <c r="X66" i="2"/>
  <c r="X69"/>
  <c r="X67"/>
  <c r="X64"/>
  <c r="X70"/>
  <c r="X45"/>
  <c r="X46" s="1"/>
  <c r="Z46" s="1"/>
  <c r="X68"/>
  <c r="X65"/>
  <c r="X71"/>
  <c r="N59" i="1"/>
  <c r="N64"/>
  <c r="H157"/>
  <c r="H59"/>
  <c r="H64"/>
  <c r="L167"/>
  <c r="L172"/>
  <c r="L173" s="1"/>
  <c r="Y38"/>
  <c r="E50"/>
  <c r="Y39"/>
  <c r="E51"/>
  <c r="M157"/>
  <c r="M59"/>
  <c r="M64"/>
  <c r="X59"/>
  <c r="X64"/>
  <c r="G167"/>
  <c r="G172"/>
  <c r="G173" s="1"/>
  <c r="W157"/>
  <c r="W59"/>
  <c r="W64"/>
  <c r="O167"/>
  <c r="O172"/>
  <c r="O173" s="1"/>
  <c r="O59"/>
  <c r="O64"/>
  <c r="E69" i="2"/>
  <c r="E45"/>
  <c r="E46" s="1"/>
  <c r="E71"/>
  <c r="E68"/>
  <c r="E67"/>
  <c r="E65"/>
  <c r="E70"/>
  <c r="E64"/>
  <c r="E66"/>
  <c r="T167" i="1"/>
  <c r="T172"/>
  <c r="T173" s="1"/>
  <c r="I69" i="2"/>
  <c r="I70"/>
  <c r="I65"/>
  <c r="I68"/>
  <c r="I64"/>
  <c r="I67"/>
  <c r="I71"/>
  <c r="I66"/>
  <c r="I45"/>
  <c r="I46" s="1"/>
  <c r="I159" i="1"/>
  <c r="V158"/>
  <c r="F159"/>
  <c r="X162"/>
  <c r="I161"/>
  <c r="P162"/>
  <c r="O163"/>
  <c r="N164"/>
  <c r="H159"/>
  <c r="Q162"/>
  <c r="V157"/>
  <c r="V59"/>
  <c r="V64"/>
  <c r="Y41"/>
  <c r="E53"/>
  <c r="U172"/>
  <c r="U173" s="1"/>
  <c r="U167"/>
  <c r="K157"/>
  <c r="K59"/>
  <c r="K64"/>
  <c r="F64" i="2"/>
  <c r="F66"/>
  <c r="F45"/>
  <c r="F46" s="1"/>
  <c r="F68"/>
  <c r="F67"/>
  <c r="F69"/>
  <c r="F70"/>
  <c r="F65"/>
  <c r="F71"/>
  <c r="K71"/>
  <c r="K45"/>
  <c r="K46" s="1"/>
  <c r="K68"/>
  <c r="K67"/>
  <c r="K65"/>
  <c r="K64"/>
  <c r="K70"/>
  <c r="K69"/>
  <c r="K66"/>
  <c r="H45"/>
  <c r="H46" s="1"/>
  <c r="H71"/>
  <c r="H70"/>
  <c r="H65"/>
  <c r="H66"/>
  <c r="H69"/>
  <c r="H68"/>
  <c r="H67"/>
  <c r="H64"/>
  <c r="R3" i="26"/>
  <c r="L95" i="1"/>
  <c r="E52"/>
  <c r="Y40"/>
  <c r="Y44"/>
  <c r="E56"/>
  <c r="I167"/>
  <c r="I172"/>
  <c r="I173" s="1"/>
  <c r="I59"/>
  <c r="I64"/>
  <c r="P157"/>
  <c r="P59"/>
  <c r="P64"/>
  <c r="G66" i="2"/>
  <c r="G68"/>
  <c r="G65"/>
  <c r="G71"/>
  <c r="G45"/>
  <c r="G46" s="1"/>
  <c r="G70"/>
  <c r="G67"/>
  <c r="G69"/>
  <c r="G64"/>
  <c r="Q69"/>
  <c r="Q64"/>
  <c r="Q70"/>
  <c r="Q45"/>
  <c r="Q46" s="1"/>
  <c r="Q68"/>
  <c r="Q66"/>
  <c r="Q67"/>
  <c r="Q71"/>
  <c r="Q65"/>
  <c r="Q157" i="1"/>
  <c r="Q64"/>
  <c r="Q59"/>
  <c r="U69" i="2"/>
  <c r="U71"/>
  <c r="U65"/>
  <c r="U45"/>
  <c r="U46" s="1"/>
  <c r="U70"/>
  <c r="U68"/>
  <c r="U67"/>
  <c r="U64"/>
  <c r="U66"/>
  <c r="J161" i="1"/>
  <c r="J160"/>
  <c r="F162"/>
  <c r="F160"/>
  <c r="U164"/>
  <c r="U161"/>
  <c r="M158"/>
  <c r="X157"/>
  <c r="I163"/>
  <c r="P158"/>
  <c r="P161"/>
  <c r="W164"/>
  <c r="W163"/>
  <c r="K161"/>
  <c r="K160"/>
  <c r="O161"/>
  <c r="N158"/>
  <c r="N157"/>
  <c r="T159"/>
  <c r="T158"/>
  <c r="O70" i="2"/>
  <c r="O69"/>
  <c r="O68"/>
  <c r="O71"/>
  <c r="O45"/>
  <c r="O46" s="1"/>
  <c r="O65"/>
  <c r="O64"/>
  <c r="O67"/>
  <c r="O66"/>
  <c r="J157" i="1"/>
  <c r="J59"/>
  <c r="J64"/>
  <c r="J67" i="2"/>
  <c r="J68"/>
  <c r="J65"/>
  <c r="J69"/>
  <c r="J64"/>
  <c r="J70"/>
  <c r="J71"/>
  <c r="J66"/>
  <c r="J45"/>
  <c r="J46" s="1"/>
  <c r="F157" i="1"/>
  <c r="F59"/>
  <c r="F64"/>
  <c r="L64" i="2"/>
  <c r="L66"/>
  <c r="L67"/>
  <c r="L70"/>
  <c r="L45"/>
  <c r="L46" s="1"/>
  <c r="L68"/>
  <c r="L69"/>
  <c r="L71"/>
  <c r="L65"/>
  <c r="Y45" i="1"/>
  <c r="E57"/>
  <c r="E55"/>
  <c r="Y43"/>
  <c r="U59"/>
  <c r="U64"/>
  <c r="T69" i="2"/>
  <c r="T66"/>
  <c r="T65"/>
  <c r="T70"/>
  <c r="T45"/>
  <c r="T46" s="1"/>
  <c r="T68"/>
  <c r="T67"/>
  <c r="T64"/>
  <c r="T71"/>
  <c r="V66"/>
  <c r="V65"/>
  <c r="V67"/>
  <c r="V71"/>
  <c r="V69"/>
  <c r="V45"/>
  <c r="V46" s="1"/>
  <c r="V64"/>
  <c r="V70"/>
  <c r="V68"/>
  <c r="R157" i="1"/>
  <c r="R64"/>
  <c r="R59"/>
  <c r="R70" i="2"/>
  <c r="R64"/>
  <c r="R45"/>
  <c r="R46" s="1"/>
  <c r="R66"/>
  <c r="R65"/>
  <c r="R69"/>
  <c r="R67"/>
  <c r="R71"/>
  <c r="R68"/>
  <c r="N71"/>
  <c r="N66"/>
  <c r="N70"/>
  <c r="N69"/>
  <c r="N65"/>
  <c r="N64"/>
  <c r="N68"/>
  <c r="N45"/>
  <c r="N46" s="1"/>
  <c r="N67"/>
  <c r="P69"/>
  <c r="P70"/>
  <c r="P68"/>
  <c r="P67"/>
  <c r="P66"/>
  <c r="P65"/>
  <c r="P64"/>
  <c r="P45"/>
  <c r="P46" s="1"/>
  <c r="P71"/>
  <c r="S64"/>
  <c r="S70"/>
  <c r="S68"/>
  <c r="S71"/>
  <c r="S45"/>
  <c r="S46" s="1"/>
  <c r="S65"/>
  <c r="S69"/>
  <c r="S67"/>
  <c r="S66"/>
  <c r="W71"/>
  <c r="W68"/>
  <c r="W65"/>
  <c r="W45"/>
  <c r="W46" s="1"/>
  <c r="W64"/>
  <c r="W70"/>
  <c r="W67"/>
  <c r="W69"/>
  <c r="W66"/>
  <c r="T59" i="1"/>
  <c r="T64"/>
  <c r="O159"/>
  <c r="S163"/>
  <c r="J162"/>
  <c r="V160"/>
  <c r="V164"/>
  <c r="V159"/>
  <c r="F161"/>
  <c r="U162"/>
  <c r="U163"/>
  <c r="U158"/>
  <c r="M164"/>
  <c r="X158"/>
  <c r="X160"/>
  <c r="R164"/>
  <c r="I162"/>
  <c r="K159"/>
  <c r="N160"/>
  <c r="T163"/>
  <c r="T161"/>
  <c r="Q161"/>
  <c r="G91" l="1"/>
  <c r="L92"/>
  <c r="G106"/>
  <c r="L93"/>
  <c r="L130" s="1"/>
  <c r="L105"/>
  <c r="L103"/>
  <c r="G100"/>
  <c r="G107"/>
  <c r="G93"/>
  <c r="G89"/>
  <c r="G99"/>
  <c r="L83"/>
  <c r="L88"/>
  <c r="L84"/>
  <c r="G104"/>
  <c r="G94"/>
  <c r="L104"/>
  <c r="L87"/>
  <c r="L81"/>
  <c r="L86"/>
  <c r="L80"/>
  <c r="L97"/>
  <c r="G109"/>
  <c r="L96"/>
  <c r="L82"/>
  <c r="L119" s="1"/>
  <c r="L102"/>
  <c r="L101"/>
  <c r="L90"/>
  <c r="L94"/>
  <c r="L132" s="1"/>
  <c r="L85"/>
  <c r="L99"/>
  <c r="L108"/>
  <c r="L110"/>
  <c r="L106"/>
  <c r="L107"/>
  <c r="L91"/>
  <c r="L89"/>
  <c r="L73"/>
  <c r="L98"/>
  <c r="L135" s="1"/>
  <c r="L79"/>
  <c r="L116" s="1"/>
  <c r="L109"/>
  <c r="L100"/>
  <c r="G87"/>
  <c r="G84"/>
  <c r="G80"/>
  <c r="G86"/>
  <c r="G95"/>
  <c r="G110"/>
  <c r="G103"/>
  <c r="G85"/>
  <c r="G90"/>
  <c r="G127" s="1"/>
  <c r="G82"/>
  <c r="G105"/>
  <c r="G79"/>
  <c r="G116" s="1"/>
  <c r="G83"/>
  <c r="G108"/>
  <c r="G101"/>
  <c r="G81"/>
  <c r="G97"/>
  <c r="G102"/>
  <c r="G73"/>
  <c r="G92"/>
  <c r="G129" s="1"/>
  <c r="G88"/>
  <c r="G126" s="1"/>
  <c r="G98"/>
  <c r="G96"/>
  <c r="Q97"/>
  <c r="Q88"/>
  <c r="Q93"/>
  <c r="Q110"/>
  <c r="Q94"/>
  <c r="Q103"/>
  <c r="Q101"/>
  <c r="Q92"/>
  <c r="Q79"/>
  <c r="Q116" s="1"/>
  <c r="Q96"/>
  <c r="Q84"/>
  <c r="Q89"/>
  <c r="Q99"/>
  <c r="Q104"/>
  <c r="Q91"/>
  <c r="Q90"/>
  <c r="Q127" s="1"/>
  <c r="Q100"/>
  <c r="Q137" s="1"/>
  <c r="Q82"/>
  <c r="Q86"/>
  <c r="W3" i="26"/>
  <c r="Q73" i="1"/>
  <c r="Q85"/>
  <c r="Q106"/>
  <c r="Q107"/>
  <c r="Q102"/>
  <c r="Q83"/>
  <c r="Q120" s="1"/>
  <c r="Q105"/>
  <c r="Q109"/>
  <c r="Q98"/>
  <c r="Q135" s="1"/>
  <c r="Q80"/>
  <c r="Q87"/>
  <c r="Q124" s="1"/>
  <c r="Q108"/>
  <c r="Q95"/>
  <c r="Q132" s="1"/>
  <c r="Q81"/>
  <c r="P83"/>
  <c r="P104"/>
  <c r="P96"/>
  <c r="P95"/>
  <c r="P82"/>
  <c r="P81"/>
  <c r="P100"/>
  <c r="P102"/>
  <c r="P73"/>
  <c r="P85"/>
  <c r="P107"/>
  <c r="P98"/>
  <c r="P93"/>
  <c r="P101"/>
  <c r="P79"/>
  <c r="P116" s="1"/>
  <c r="P86"/>
  <c r="P84"/>
  <c r="P121" s="1"/>
  <c r="P90"/>
  <c r="V3" i="26"/>
  <c r="P80" i="1"/>
  <c r="P87"/>
  <c r="P99"/>
  <c r="P89"/>
  <c r="P108"/>
  <c r="P103"/>
  <c r="P110"/>
  <c r="P109"/>
  <c r="P106"/>
  <c r="P97"/>
  <c r="P92"/>
  <c r="P105"/>
  <c r="P94"/>
  <c r="P91"/>
  <c r="P88"/>
  <c r="T82"/>
  <c r="T85"/>
  <c r="T99"/>
  <c r="T93"/>
  <c r="T84"/>
  <c r="T110"/>
  <c r="T95"/>
  <c r="T102"/>
  <c r="T90"/>
  <c r="T107"/>
  <c r="T73"/>
  <c r="T97"/>
  <c r="T106"/>
  <c r="T101"/>
  <c r="T105"/>
  <c r="T108"/>
  <c r="T92"/>
  <c r="T109"/>
  <c r="T91"/>
  <c r="T98"/>
  <c r="T135" s="1"/>
  <c r="T96"/>
  <c r="T89"/>
  <c r="T83"/>
  <c r="T100"/>
  <c r="T94"/>
  <c r="T88"/>
  <c r="T103"/>
  <c r="T104"/>
  <c r="T86"/>
  <c r="T87"/>
  <c r="T80"/>
  <c r="Z3" i="26"/>
  <c r="T81" i="1"/>
  <c r="T79"/>
  <c r="T116" s="1"/>
  <c r="U176"/>
  <c r="U174"/>
  <c r="O176"/>
  <c r="O174"/>
  <c r="W172"/>
  <c r="W173" s="1"/>
  <c r="W167"/>
  <c r="L176"/>
  <c r="L174"/>
  <c r="F172"/>
  <c r="F173" s="1"/>
  <c r="F167"/>
  <c r="J172"/>
  <c r="J173" s="1"/>
  <c r="J167"/>
  <c r="V94"/>
  <c r="V82"/>
  <c r="V83"/>
  <c r="V95"/>
  <c r="V88"/>
  <c r="V81"/>
  <c r="V73"/>
  <c r="V91"/>
  <c r="V106"/>
  <c r="V79"/>
  <c r="V116" s="1"/>
  <c r="V99"/>
  <c r="V107"/>
  <c r="V101"/>
  <c r="V97"/>
  <c r="V105"/>
  <c r="V109"/>
  <c r="V84"/>
  <c r="AB3" i="26"/>
  <c r="V98" i="1"/>
  <c r="V85"/>
  <c r="V87"/>
  <c r="V100"/>
  <c r="V89"/>
  <c r="V86"/>
  <c r="V123" s="1"/>
  <c r="V93"/>
  <c r="V92"/>
  <c r="V102"/>
  <c r="V80"/>
  <c r="V104"/>
  <c r="V90"/>
  <c r="V96"/>
  <c r="V110"/>
  <c r="V147" s="1"/>
  <c r="V103"/>
  <c r="V108"/>
  <c r="T176"/>
  <c r="T174"/>
  <c r="X108"/>
  <c r="X93"/>
  <c r="X106"/>
  <c r="X79"/>
  <c r="X116" s="1"/>
  <c r="X82"/>
  <c r="X107"/>
  <c r="X83"/>
  <c r="X97"/>
  <c r="X99"/>
  <c r="X104"/>
  <c r="X88"/>
  <c r="X91"/>
  <c r="X100"/>
  <c r="AD3" i="26"/>
  <c r="X102" i="1"/>
  <c r="X81"/>
  <c r="X73"/>
  <c r="X84"/>
  <c r="X95"/>
  <c r="X96"/>
  <c r="X101"/>
  <c r="X94"/>
  <c r="X131" s="1"/>
  <c r="X103"/>
  <c r="X92"/>
  <c r="X129" s="1"/>
  <c r="X98"/>
  <c r="X86"/>
  <c r="X110"/>
  <c r="X85"/>
  <c r="X87"/>
  <c r="X109"/>
  <c r="X80"/>
  <c r="X90"/>
  <c r="X89"/>
  <c r="X105"/>
  <c r="X142" s="1"/>
  <c r="M167"/>
  <c r="M172"/>
  <c r="M173" s="1"/>
  <c r="R84"/>
  <c r="R102"/>
  <c r="R101"/>
  <c r="R79"/>
  <c r="R116" s="1"/>
  <c r="R96"/>
  <c r="R100"/>
  <c r="R103"/>
  <c r="R89"/>
  <c r="R107"/>
  <c r="R85"/>
  <c r="R86"/>
  <c r="R99"/>
  <c r="R82"/>
  <c r="R90"/>
  <c r="R73"/>
  <c r="R88"/>
  <c r="R98"/>
  <c r="R97"/>
  <c r="R109"/>
  <c r="R81"/>
  <c r="R94"/>
  <c r="R83"/>
  <c r="R93"/>
  <c r="R108"/>
  <c r="R80"/>
  <c r="R104"/>
  <c r="R91"/>
  <c r="R106"/>
  <c r="R110"/>
  <c r="R87"/>
  <c r="X3" i="26"/>
  <c r="R105" i="1"/>
  <c r="R95"/>
  <c r="R132" s="1"/>
  <c r="R92"/>
  <c r="U97"/>
  <c r="U102"/>
  <c r="U101"/>
  <c r="U92"/>
  <c r="U106"/>
  <c r="U91"/>
  <c r="U73"/>
  <c r="U103"/>
  <c r="U99"/>
  <c r="U98"/>
  <c r="U96"/>
  <c r="U80"/>
  <c r="U90"/>
  <c r="U94"/>
  <c r="U108"/>
  <c r="U87"/>
  <c r="U105"/>
  <c r="U81"/>
  <c r="U85"/>
  <c r="U109"/>
  <c r="U110"/>
  <c r="U79"/>
  <c r="U116" s="1"/>
  <c r="U86"/>
  <c r="U123" s="1"/>
  <c r="U89"/>
  <c r="AA3" i="26"/>
  <c r="U107" i="1"/>
  <c r="U95"/>
  <c r="U83"/>
  <c r="U88"/>
  <c r="U104"/>
  <c r="U82"/>
  <c r="U84"/>
  <c r="U121" s="1"/>
  <c r="U100"/>
  <c r="U137" s="1"/>
  <c r="U93"/>
  <c r="E71"/>
  <c r="Y57"/>
  <c r="E164"/>
  <c r="X172"/>
  <c r="X173" s="1"/>
  <c r="X167"/>
  <c r="P167"/>
  <c r="P172"/>
  <c r="P173" s="1"/>
  <c r="E66"/>
  <c r="Y52"/>
  <c r="E159"/>
  <c r="K167"/>
  <c r="K172"/>
  <c r="K173" s="1"/>
  <c r="O96"/>
  <c r="O101"/>
  <c r="O85"/>
  <c r="O92"/>
  <c r="O107"/>
  <c r="O84"/>
  <c r="O80"/>
  <c r="O94"/>
  <c r="O95"/>
  <c r="O103"/>
  <c r="O109"/>
  <c r="O98"/>
  <c r="O82"/>
  <c r="O90"/>
  <c r="O89"/>
  <c r="O106"/>
  <c r="O110"/>
  <c r="O79"/>
  <c r="O116" s="1"/>
  <c r="O100"/>
  <c r="O86"/>
  <c r="O105"/>
  <c r="O93"/>
  <c r="O88"/>
  <c r="O108"/>
  <c r="O91"/>
  <c r="O97"/>
  <c r="O87"/>
  <c r="O102"/>
  <c r="O73"/>
  <c r="O81"/>
  <c r="U3" i="26"/>
  <c r="O83" i="1"/>
  <c r="O104"/>
  <c r="O99"/>
  <c r="W98"/>
  <c r="W104"/>
  <c r="W80"/>
  <c r="W108"/>
  <c r="W110"/>
  <c r="W103"/>
  <c r="AC3" i="26"/>
  <c r="W100" i="1"/>
  <c r="W87"/>
  <c r="W105"/>
  <c r="W142" s="1"/>
  <c r="W99"/>
  <c r="W94"/>
  <c r="W83"/>
  <c r="W86"/>
  <c r="W91"/>
  <c r="W97"/>
  <c r="W79"/>
  <c r="W116" s="1"/>
  <c r="W93"/>
  <c r="W101"/>
  <c r="W82"/>
  <c r="W73"/>
  <c r="W85"/>
  <c r="W89"/>
  <c r="W106"/>
  <c r="W96"/>
  <c r="W109"/>
  <c r="W88"/>
  <c r="W90"/>
  <c r="W95"/>
  <c r="W102"/>
  <c r="W107"/>
  <c r="W81"/>
  <c r="W92"/>
  <c r="W84"/>
  <c r="E64"/>
  <c r="E59"/>
  <c r="Y59" s="1"/>
  <c r="Y50"/>
  <c r="E157"/>
  <c r="H110"/>
  <c r="H90"/>
  <c r="H97"/>
  <c r="H92"/>
  <c r="H98"/>
  <c r="H102"/>
  <c r="H81"/>
  <c r="H82"/>
  <c r="H106"/>
  <c r="H109"/>
  <c r="H104"/>
  <c r="H85"/>
  <c r="H93"/>
  <c r="H108"/>
  <c r="H103"/>
  <c r="H87"/>
  <c r="H73"/>
  <c r="H89"/>
  <c r="H105"/>
  <c r="H142" s="1"/>
  <c r="H100"/>
  <c r="H107"/>
  <c r="H144" s="1"/>
  <c r="H79"/>
  <c r="H116" s="1"/>
  <c r="H96"/>
  <c r="H83"/>
  <c r="H120" s="1"/>
  <c r="H86"/>
  <c r="H99"/>
  <c r="H101"/>
  <c r="H88"/>
  <c r="H125" s="1"/>
  <c r="H95"/>
  <c r="H80"/>
  <c r="H117" s="1"/>
  <c r="N3" i="26"/>
  <c r="H91" i="1"/>
  <c r="H84"/>
  <c r="H94"/>
  <c r="S98"/>
  <c r="S99"/>
  <c r="S84"/>
  <c r="S110"/>
  <c r="S101"/>
  <c r="S94"/>
  <c r="S103"/>
  <c r="Y3" i="26"/>
  <c r="S107" i="1"/>
  <c r="S105"/>
  <c r="S106"/>
  <c r="S96"/>
  <c r="S89"/>
  <c r="S90"/>
  <c r="S88"/>
  <c r="S87"/>
  <c r="S108"/>
  <c r="S79"/>
  <c r="S116" s="1"/>
  <c r="S97"/>
  <c r="S109"/>
  <c r="S85"/>
  <c r="S92"/>
  <c r="S91"/>
  <c r="S102"/>
  <c r="S100"/>
  <c r="S81"/>
  <c r="S86"/>
  <c r="S80"/>
  <c r="S95"/>
  <c r="S73"/>
  <c r="S93"/>
  <c r="S83"/>
  <c r="S82"/>
  <c r="S104"/>
  <c r="K101"/>
  <c r="K95"/>
  <c r="K108"/>
  <c r="K85"/>
  <c r="K94"/>
  <c r="Q3" i="26"/>
  <c r="K86" i="1"/>
  <c r="K96"/>
  <c r="K91"/>
  <c r="K84"/>
  <c r="K89"/>
  <c r="K82"/>
  <c r="K109"/>
  <c r="K110"/>
  <c r="K103"/>
  <c r="K90"/>
  <c r="K106"/>
  <c r="K79"/>
  <c r="K116" s="1"/>
  <c r="K80"/>
  <c r="K100"/>
  <c r="K102"/>
  <c r="K139" s="1"/>
  <c r="K105"/>
  <c r="K93"/>
  <c r="K107"/>
  <c r="K87"/>
  <c r="K81"/>
  <c r="K97"/>
  <c r="K88"/>
  <c r="K98"/>
  <c r="K99"/>
  <c r="K73"/>
  <c r="K83"/>
  <c r="K120" s="1"/>
  <c r="K92"/>
  <c r="K129" s="1"/>
  <c r="K104"/>
  <c r="E65"/>
  <c r="Y51"/>
  <c r="E158"/>
  <c r="H172"/>
  <c r="H173" s="1"/>
  <c r="H167"/>
  <c r="S167"/>
  <c r="S172"/>
  <c r="S173" s="1"/>
  <c r="R167"/>
  <c r="R172"/>
  <c r="R173" s="1"/>
  <c r="N172"/>
  <c r="N173" s="1"/>
  <c r="N167"/>
  <c r="I86"/>
  <c r="I105"/>
  <c r="I99"/>
  <c r="I91"/>
  <c r="I73"/>
  <c r="I84"/>
  <c r="I101"/>
  <c r="I107"/>
  <c r="I103"/>
  <c r="I81"/>
  <c r="I94"/>
  <c r="I93"/>
  <c r="I102"/>
  <c r="I90"/>
  <c r="I79"/>
  <c r="I116" s="1"/>
  <c r="I106"/>
  <c r="I89"/>
  <c r="I97"/>
  <c r="I104"/>
  <c r="O3" i="26"/>
  <c r="I108" i="1"/>
  <c r="I82"/>
  <c r="I119" s="1"/>
  <c r="I110"/>
  <c r="I92"/>
  <c r="I129" s="1"/>
  <c r="I98"/>
  <c r="I95"/>
  <c r="I87"/>
  <c r="I80"/>
  <c r="I85"/>
  <c r="I83"/>
  <c r="I120" s="1"/>
  <c r="I100"/>
  <c r="I137" s="1"/>
  <c r="I88"/>
  <c r="I96"/>
  <c r="I109"/>
  <c r="Y56"/>
  <c r="E70"/>
  <c r="E163"/>
  <c r="E69"/>
  <c r="Y55"/>
  <c r="E162"/>
  <c r="F103"/>
  <c r="F92"/>
  <c r="F85"/>
  <c r="F108"/>
  <c r="F107"/>
  <c r="F87"/>
  <c r="F81"/>
  <c r="F100"/>
  <c r="F94"/>
  <c r="F84"/>
  <c r="F101"/>
  <c r="F90"/>
  <c r="F83"/>
  <c r="F104"/>
  <c r="F105"/>
  <c r="F106"/>
  <c r="F86"/>
  <c r="F93"/>
  <c r="F130" s="1"/>
  <c r="F91"/>
  <c r="F82"/>
  <c r="F97"/>
  <c r="F109"/>
  <c r="F110"/>
  <c r="F89"/>
  <c r="F80"/>
  <c r="L3" i="26"/>
  <c r="F88" i="1"/>
  <c r="F73"/>
  <c r="F95"/>
  <c r="F132" s="1"/>
  <c r="F99"/>
  <c r="F96"/>
  <c r="F102"/>
  <c r="F98"/>
  <c r="F79"/>
  <c r="F116" s="1"/>
  <c r="J102"/>
  <c r="J94"/>
  <c r="J95"/>
  <c r="J88"/>
  <c r="J81"/>
  <c r="J84"/>
  <c r="J90"/>
  <c r="J105"/>
  <c r="J110"/>
  <c r="P3" i="26"/>
  <c r="J91" i="1"/>
  <c r="J128" s="1"/>
  <c r="J92"/>
  <c r="J93"/>
  <c r="J103"/>
  <c r="J98"/>
  <c r="J99"/>
  <c r="J96"/>
  <c r="J86"/>
  <c r="J85"/>
  <c r="J80"/>
  <c r="J108"/>
  <c r="J106"/>
  <c r="J101"/>
  <c r="J87"/>
  <c r="J100"/>
  <c r="J97"/>
  <c r="J79"/>
  <c r="J116" s="1"/>
  <c r="J104"/>
  <c r="J82"/>
  <c r="J119" s="1"/>
  <c r="J83"/>
  <c r="J107"/>
  <c r="J109"/>
  <c r="J89"/>
  <c r="J73"/>
  <c r="Q167"/>
  <c r="Q172"/>
  <c r="Q173" s="1"/>
  <c r="I176"/>
  <c r="I174"/>
  <c r="E67"/>
  <c r="Y53"/>
  <c r="E160"/>
  <c r="V172"/>
  <c r="V173" s="1"/>
  <c r="V167"/>
  <c r="G176"/>
  <c r="G174"/>
  <c r="M89"/>
  <c r="M100"/>
  <c r="M97"/>
  <c r="S3" i="26"/>
  <c r="M88" i="1"/>
  <c r="M94"/>
  <c r="M87"/>
  <c r="M102"/>
  <c r="M104"/>
  <c r="M80"/>
  <c r="M93"/>
  <c r="M106"/>
  <c r="M73"/>
  <c r="M98"/>
  <c r="M110"/>
  <c r="M92"/>
  <c r="M85"/>
  <c r="M109"/>
  <c r="M82"/>
  <c r="M95"/>
  <c r="M91"/>
  <c r="M79"/>
  <c r="M116" s="1"/>
  <c r="M83"/>
  <c r="M81"/>
  <c r="M103"/>
  <c r="M99"/>
  <c r="M136" s="1"/>
  <c r="M108"/>
  <c r="M96"/>
  <c r="M101"/>
  <c r="M90"/>
  <c r="M86"/>
  <c r="M107"/>
  <c r="M144" s="1"/>
  <c r="M105"/>
  <c r="M142" s="1"/>
  <c r="M84"/>
  <c r="N104"/>
  <c r="N101"/>
  <c r="N86"/>
  <c r="N95"/>
  <c r="N83"/>
  <c r="N88"/>
  <c r="N93"/>
  <c r="N107"/>
  <c r="N100"/>
  <c r="N85"/>
  <c r="N110"/>
  <c r="N89"/>
  <c r="N80"/>
  <c r="N96"/>
  <c r="N103"/>
  <c r="N109"/>
  <c r="N82"/>
  <c r="N97"/>
  <c r="N134" s="1"/>
  <c r="N102"/>
  <c r="N92"/>
  <c r="N106"/>
  <c r="N73"/>
  <c r="N94"/>
  <c r="N131" s="1"/>
  <c r="N105"/>
  <c r="N108"/>
  <c r="N81"/>
  <c r="N98"/>
  <c r="N99"/>
  <c r="N91"/>
  <c r="N79"/>
  <c r="N116" s="1"/>
  <c r="T3" i="26"/>
  <c r="N90" i="1"/>
  <c r="N127" s="1"/>
  <c r="N84"/>
  <c r="N121" s="1"/>
  <c r="N87"/>
  <c r="Y54"/>
  <c r="E68"/>
  <c r="E161"/>
  <c r="X138" l="1"/>
  <c r="L144"/>
  <c r="N147"/>
  <c r="M138"/>
  <c r="L129"/>
  <c r="G132"/>
  <c r="L118"/>
  <c r="L140"/>
  <c r="G130"/>
  <c r="G138"/>
  <c r="G143"/>
  <c r="L147"/>
  <c r="L126"/>
  <c r="L134"/>
  <c r="L124"/>
  <c r="L120"/>
  <c r="G131"/>
  <c r="L123"/>
  <c r="G137"/>
  <c r="M133"/>
  <c r="G122"/>
  <c r="G140"/>
  <c r="G119"/>
  <c r="L128"/>
  <c r="L143"/>
  <c r="L138"/>
  <c r="L141"/>
  <c r="G144"/>
  <c r="L142"/>
  <c r="G121"/>
  <c r="L121"/>
  <c r="G128"/>
  <c r="L139"/>
  <c r="G146"/>
  <c r="G147"/>
  <c r="L117"/>
  <c r="L125"/>
  <c r="L131"/>
  <c r="G135"/>
  <c r="G136"/>
  <c r="L122"/>
  <c r="L133"/>
  <c r="G141"/>
  <c r="G125"/>
  <c r="L145"/>
  <c r="L127"/>
  <c r="K134"/>
  <c r="G133"/>
  <c r="G123"/>
  <c r="L146"/>
  <c r="L136"/>
  <c r="G124"/>
  <c r="L137"/>
  <c r="G142"/>
  <c r="N119"/>
  <c r="M145"/>
  <c r="M119"/>
  <c r="M130"/>
  <c r="F117"/>
  <c r="F131"/>
  <c r="I133"/>
  <c r="I122"/>
  <c r="I135"/>
  <c r="G139"/>
  <c r="G120"/>
  <c r="G117"/>
  <c r="G145"/>
  <c r="F125"/>
  <c r="G118"/>
  <c r="F135"/>
  <c r="X140"/>
  <c r="Q118"/>
  <c r="Q141"/>
  <c r="N135"/>
  <c r="N139"/>
  <c r="M140"/>
  <c r="J126"/>
  <c r="J137"/>
  <c r="J130"/>
  <c r="K117"/>
  <c r="G134"/>
  <c r="T124"/>
  <c r="P140"/>
  <c r="Q142"/>
  <c r="X137"/>
  <c r="Q145"/>
  <c r="R134"/>
  <c r="R122"/>
  <c r="X146"/>
  <c r="R129"/>
  <c r="R124"/>
  <c r="R141"/>
  <c r="R139"/>
  <c r="X121"/>
  <c r="X144"/>
  <c r="V127"/>
  <c r="V137"/>
  <c r="Q122"/>
  <c r="N143"/>
  <c r="M147"/>
  <c r="J135"/>
  <c r="H140"/>
  <c r="W132"/>
  <c r="N128"/>
  <c r="N145"/>
  <c r="M123"/>
  <c r="J144"/>
  <c r="J122"/>
  <c r="J132"/>
  <c r="F120"/>
  <c r="I145"/>
  <c r="S122"/>
  <c r="S145"/>
  <c r="W129"/>
  <c r="H128"/>
  <c r="W146"/>
  <c r="O139"/>
  <c r="U130"/>
  <c r="U141"/>
  <c r="U144"/>
  <c r="U118"/>
  <c r="U135"/>
  <c r="R142"/>
  <c r="X122"/>
  <c r="V117"/>
  <c r="V122"/>
  <c r="V144"/>
  <c r="Q139"/>
  <c r="N126"/>
  <c r="J143"/>
  <c r="I143"/>
  <c r="K133"/>
  <c r="K122"/>
  <c r="S130"/>
  <c r="S128"/>
  <c r="S134"/>
  <c r="S125"/>
  <c r="S143"/>
  <c r="H121"/>
  <c r="H132"/>
  <c r="H123"/>
  <c r="H130"/>
  <c r="H147"/>
  <c r="W144"/>
  <c r="W138"/>
  <c r="O141"/>
  <c r="O128"/>
  <c r="O132"/>
  <c r="O144"/>
  <c r="R147"/>
  <c r="R131"/>
  <c r="X126"/>
  <c r="V140"/>
  <c r="V121"/>
  <c r="V143"/>
  <c r="T141"/>
  <c r="T137"/>
  <c r="T145"/>
  <c r="P142"/>
  <c r="P146"/>
  <c r="P133"/>
  <c r="Q131"/>
  <c r="J138"/>
  <c r="F134"/>
  <c r="F123"/>
  <c r="I139"/>
  <c r="K135"/>
  <c r="K124"/>
  <c r="K146"/>
  <c r="S117"/>
  <c r="T133"/>
  <c r="P123"/>
  <c r="S119"/>
  <c r="S132"/>
  <c r="S137"/>
  <c r="H138"/>
  <c r="O124"/>
  <c r="P128"/>
  <c r="N117"/>
  <c r="N137"/>
  <c r="N141"/>
  <c r="M134"/>
  <c r="J127"/>
  <c r="F144"/>
  <c r="F140"/>
  <c r="I126"/>
  <c r="I140"/>
  <c r="K143"/>
  <c r="K128"/>
  <c r="K131"/>
  <c r="K138"/>
  <c r="U120"/>
  <c r="U126"/>
  <c r="U146"/>
  <c r="U124"/>
  <c r="R120"/>
  <c r="X141"/>
  <c r="V134"/>
  <c r="T118"/>
  <c r="T129"/>
  <c r="T143"/>
  <c r="T121"/>
  <c r="P139"/>
  <c r="S126"/>
  <c r="S144"/>
  <c r="S135"/>
  <c r="H133"/>
  <c r="H118"/>
  <c r="W120"/>
  <c r="W124"/>
  <c r="W147"/>
  <c r="W135"/>
  <c r="O137"/>
  <c r="O146"/>
  <c r="O117"/>
  <c r="O122"/>
  <c r="T144"/>
  <c r="T122"/>
  <c r="P124"/>
  <c r="P130"/>
  <c r="P119"/>
  <c r="Q123"/>
  <c r="Q128"/>
  <c r="Q130"/>
  <c r="N130"/>
  <c r="N123"/>
  <c r="M128"/>
  <c r="M122"/>
  <c r="M126"/>
  <c r="J147"/>
  <c r="J118"/>
  <c r="F147"/>
  <c r="F128"/>
  <c r="F142"/>
  <c r="F138"/>
  <c r="F122"/>
  <c r="I147"/>
  <c r="I131"/>
  <c r="K126"/>
  <c r="K123"/>
  <c r="K145"/>
  <c r="H137"/>
  <c r="O135"/>
  <c r="O131"/>
  <c r="U128"/>
  <c r="U139"/>
  <c r="R145"/>
  <c r="R118"/>
  <c r="R125"/>
  <c r="R136"/>
  <c r="X127"/>
  <c r="X133"/>
  <c r="X118"/>
  <c r="V146"/>
  <c r="V128"/>
  <c r="V132"/>
  <c r="F137"/>
  <c r="I128"/>
  <c r="K137"/>
  <c r="K119"/>
  <c r="S140"/>
  <c r="S121"/>
  <c r="W128"/>
  <c r="O119"/>
  <c r="U138"/>
  <c r="T134"/>
  <c r="T139"/>
  <c r="T130"/>
  <c r="P126"/>
  <c r="P144"/>
  <c r="P137"/>
  <c r="Q134"/>
  <c r="P176"/>
  <c r="P174"/>
  <c r="M176"/>
  <c r="M174"/>
  <c r="Q176"/>
  <c r="Q174"/>
  <c r="Y69"/>
  <c r="AE8" i="26" s="1"/>
  <c r="K8"/>
  <c r="R176" i="1"/>
  <c r="R174"/>
  <c r="K4" i="26"/>
  <c r="Y65" i="1"/>
  <c r="AE4" i="26" s="1"/>
  <c r="E172" i="1"/>
  <c r="E167"/>
  <c r="Y167" s="1"/>
  <c r="Y157"/>
  <c r="Y177" s="1"/>
  <c r="K5" i="26"/>
  <c r="Y66" i="1"/>
  <c r="AE5" i="26" s="1"/>
  <c r="X176" i="1"/>
  <c r="X174"/>
  <c r="Y71"/>
  <c r="AE10" i="26" s="1"/>
  <c r="K10"/>
  <c r="F176" i="1"/>
  <c r="F174"/>
  <c r="W176"/>
  <c r="W174"/>
  <c r="M120"/>
  <c r="I123"/>
  <c r="S138"/>
  <c r="H141"/>
  <c r="H134"/>
  <c r="W133"/>
  <c r="O125"/>
  <c r="O126"/>
  <c r="U131"/>
  <c r="R143"/>
  <c r="R126"/>
  <c r="X128"/>
  <c r="X134"/>
  <c r="Q136"/>
  <c r="N124"/>
  <c r="N118"/>
  <c r="N133"/>
  <c r="N122"/>
  <c r="N125"/>
  <c r="N138"/>
  <c r="M118"/>
  <c r="M132"/>
  <c r="M129"/>
  <c r="M143"/>
  <c r="M139"/>
  <c r="J146"/>
  <c r="J141"/>
  <c r="J124"/>
  <c r="J117"/>
  <c r="J136"/>
  <c r="J129"/>
  <c r="J142"/>
  <c r="J125"/>
  <c r="F136"/>
  <c r="F146"/>
  <c r="F141"/>
  <c r="F121"/>
  <c r="F124"/>
  <c r="F129"/>
  <c r="I146"/>
  <c r="I132"/>
  <c r="I134"/>
  <c r="I127"/>
  <c r="I118"/>
  <c r="I121"/>
  <c r="I142"/>
  <c r="K141"/>
  <c r="K136"/>
  <c r="K118"/>
  <c r="K142"/>
  <c r="K147"/>
  <c r="K121"/>
  <c r="K132"/>
  <c r="S141"/>
  <c r="S118"/>
  <c r="S129"/>
  <c r="S127"/>
  <c r="S142"/>
  <c r="S131"/>
  <c r="S136"/>
  <c r="H124"/>
  <c r="H122"/>
  <c r="H119"/>
  <c r="H129"/>
  <c r="W121"/>
  <c r="W139"/>
  <c r="W122"/>
  <c r="W130"/>
  <c r="W123"/>
  <c r="W140"/>
  <c r="W141"/>
  <c r="O120"/>
  <c r="O145"/>
  <c r="O123"/>
  <c r="O143"/>
  <c r="O129"/>
  <c r="U119"/>
  <c r="U132"/>
  <c r="U122"/>
  <c r="U145"/>
  <c r="U133"/>
  <c r="R117"/>
  <c r="R135"/>
  <c r="R119"/>
  <c r="R144"/>
  <c r="R133"/>
  <c r="R121"/>
  <c r="X124"/>
  <c r="X135"/>
  <c r="X136"/>
  <c r="X119"/>
  <c r="X145"/>
  <c r="V141"/>
  <c r="V130"/>
  <c r="V124"/>
  <c r="V138"/>
  <c r="V125"/>
  <c r="V131"/>
  <c r="T123"/>
  <c r="T131"/>
  <c r="T127"/>
  <c r="T119"/>
  <c r="P131"/>
  <c r="P143"/>
  <c r="P145"/>
  <c r="P117"/>
  <c r="P135"/>
  <c r="P132"/>
  <c r="Q117"/>
  <c r="Q119"/>
  <c r="Q133"/>
  <c r="Q140"/>
  <c r="Q125"/>
  <c r="H176"/>
  <c r="H174"/>
  <c r="V176"/>
  <c r="V174"/>
  <c r="E81"/>
  <c r="E79"/>
  <c r="E116" s="1"/>
  <c r="E92"/>
  <c r="E97"/>
  <c r="E109"/>
  <c r="E107"/>
  <c r="E85"/>
  <c r="E95"/>
  <c r="E84"/>
  <c r="E87"/>
  <c r="E108"/>
  <c r="E103"/>
  <c r="E83"/>
  <c r="E82"/>
  <c r="E102"/>
  <c r="E96"/>
  <c r="E133" s="1"/>
  <c r="E94"/>
  <c r="E88"/>
  <c r="E125" s="1"/>
  <c r="E106"/>
  <c r="K3" i="26"/>
  <c r="E86" i="1"/>
  <c r="E89"/>
  <c r="E126" s="1"/>
  <c r="E99"/>
  <c r="E104"/>
  <c r="E141" s="1"/>
  <c r="E101"/>
  <c r="E73"/>
  <c r="E93"/>
  <c r="E130" s="1"/>
  <c r="E91"/>
  <c r="E100"/>
  <c r="E80"/>
  <c r="E117" s="1"/>
  <c r="E98"/>
  <c r="Y64"/>
  <c r="E90"/>
  <c r="E105"/>
  <c r="E110"/>
  <c r="K176"/>
  <c r="K174"/>
  <c r="M124"/>
  <c r="N140"/>
  <c r="J145"/>
  <c r="F133"/>
  <c r="F118"/>
  <c r="I124"/>
  <c r="I141"/>
  <c r="I138"/>
  <c r="K140"/>
  <c r="S123"/>
  <c r="H143"/>
  <c r="H135"/>
  <c r="W125"/>
  <c r="W126"/>
  <c r="W136"/>
  <c r="W117"/>
  <c r="O142"/>
  <c r="O147"/>
  <c r="O133"/>
  <c r="U117"/>
  <c r="U140"/>
  <c r="U129"/>
  <c r="R127"/>
  <c r="R137"/>
  <c r="X123"/>
  <c r="X130"/>
  <c r="V145"/>
  <c r="V129"/>
  <c r="V118"/>
  <c r="V119"/>
  <c r="T125"/>
  <c r="T126"/>
  <c r="T146"/>
  <c r="T138"/>
  <c r="T147"/>
  <c r="P134"/>
  <c r="P120"/>
  <c r="Q143"/>
  <c r="Q121"/>
  <c r="Q138"/>
  <c r="N176"/>
  <c r="N174"/>
  <c r="K7" i="26"/>
  <c r="Y68" i="1"/>
  <c r="AE7" i="26" s="1"/>
  <c r="Y67" i="1"/>
  <c r="AE6" i="26" s="1"/>
  <c r="K6"/>
  <c r="K9"/>
  <c r="Y70" i="1"/>
  <c r="AE9" i="26" s="1"/>
  <c r="S176" i="1"/>
  <c r="S174"/>
  <c r="J176"/>
  <c r="J174"/>
  <c r="N120"/>
  <c r="M141"/>
  <c r="M125"/>
  <c r="J133"/>
  <c r="J139"/>
  <c r="I136"/>
  <c r="K130"/>
  <c r="N136"/>
  <c r="N142"/>
  <c r="N129"/>
  <c r="N146"/>
  <c r="N144"/>
  <c r="N132"/>
  <c r="M121"/>
  <c r="M127"/>
  <c r="M146"/>
  <c r="M135"/>
  <c r="M117"/>
  <c r="M131"/>
  <c r="M137"/>
  <c r="J120"/>
  <c r="J134"/>
  <c r="J123"/>
  <c r="J140"/>
  <c r="J121"/>
  <c r="J131"/>
  <c r="F139"/>
  <c r="F126"/>
  <c r="F119"/>
  <c r="F143"/>
  <c r="F127"/>
  <c r="F145"/>
  <c r="I125"/>
  <c r="I117"/>
  <c r="I130"/>
  <c r="I144"/>
  <c r="K125"/>
  <c r="K144"/>
  <c r="K127"/>
  <c r="S120"/>
  <c r="S139"/>
  <c r="S146"/>
  <c r="S124"/>
  <c r="S133"/>
  <c r="S147"/>
  <c r="H131"/>
  <c r="H136"/>
  <c r="H126"/>
  <c r="H145"/>
  <c r="H146"/>
  <c r="H139"/>
  <c r="H127"/>
  <c r="W118"/>
  <c r="W127"/>
  <c r="W143"/>
  <c r="W119"/>
  <c r="W134"/>
  <c r="W131"/>
  <c r="W137"/>
  <c r="W145"/>
  <c r="O136"/>
  <c r="O118"/>
  <c r="O134"/>
  <c r="O130"/>
  <c r="O127"/>
  <c r="O140"/>
  <c r="O121"/>
  <c r="O138"/>
  <c r="U125"/>
  <c r="U147"/>
  <c r="U142"/>
  <c r="U127"/>
  <c r="U136"/>
  <c r="U143"/>
  <c r="U134"/>
  <c r="R128"/>
  <c r="R130"/>
  <c r="R146"/>
  <c r="R123"/>
  <c r="R140"/>
  <c r="R138"/>
  <c r="X117"/>
  <c r="X147"/>
  <c r="X132"/>
  <c r="X139"/>
  <c r="X125"/>
  <c r="X120"/>
  <c r="X143"/>
  <c r="V133"/>
  <c r="V139"/>
  <c r="V126"/>
  <c r="V135"/>
  <c r="V142"/>
  <c r="V136"/>
  <c r="V120"/>
  <c r="T117"/>
  <c r="T140"/>
  <c r="T120"/>
  <c r="T128"/>
  <c r="T142"/>
  <c r="T132"/>
  <c r="T136"/>
  <c r="P125"/>
  <c r="P129"/>
  <c r="P147"/>
  <c r="P136"/>
  <c r="P127"/>
  <c r="P138"/>
  <c r="P122"/>
  <c r="P118"/>
  <c r="P141"/>
  <c r="Q146"/>
  <c r="Q144"/>
  <c r="Q126"/>
  <c r="Q129"/>
  <c r="Q147"/>
  <c r="C10" l="1"/>
  <c r="L149"/>
  <c r="G149"/>
  <c r="E140"/>
  <c r="I149"/>
  <c r="E119"/>
  <c r="E128"/>
  <c r="E137"/>
  <c r="E123"/>
  <c r="E146"/>
  <c r="T149"/>
  <c r="M149"/>
  <c r="F149"/>
  <c r="S149"/>
  <c r="V149"/>
  <c r="E131"/>
  <c r="K149"/>
  <c r="J149"/>
  <c r="N149"/>
  <c r="U149"/>
  <c r="X149"/>
  <c r="O149"/>
  <c r="P149"/>
  <c r="H149"/>
  <c r="E142"/>
  <c r="E124"/>
  <c r="E144"/>
  <c r="Q149"/>
  <c r="W149"/>
  <c r="R149"/>
  <c r="Y172"/>
  <c r="E173"/>
  <c r="E147"/>
  <c r="E135"/>
  <c r="E136"/>
  <c r="E143"/>
  <c r="E139"/>
  <c r="E145"/>
  <c r="E122"/>
  <c r="E129"/>
  <c r="Y89"/>
  <c r="Y81"/>
  <c r="Y96"/>
  <c r="Y84"/>
  <c r="Y99"/>
  <c r="Y79"/>
  <c r="Y116" s="1"/>
  <c r="Y110"/>
  <c r="AE3" i="26"/>
  <c r="Y105" i="1"/>
  <c r="Y100"/>
  <c r="Y97"/>
  <c r="Y134" s="1"/>
  <c r="Y87"/>
  <c r="Y86"/>
  <c r="Y108"/>
  <c r="Y88"/>
  <c r="Y82"/>
  <c r="Y103"/>
  <c r="Y80"/>
  <c r="Y117" s="1"/>
  <c r="Y109"/>
  <c r="Y73"/>
  <c r="Y92"/>
  <c r="Y98"/>
  <c r="Y104"/>
  <c r="Y102"/>
  <c r="Y85"/>
  <c r="Y90"/>
  <c r="Y106"/>
  <c r="Y101"/>
  <c r="Y95"/>
  <c r="Y94"/>
  <c r="Y107"/>
  <c r="Y83"/>
  <c r="Y120" s="1"/>
  <c r="Y91"/>
  <c r="Y93"/>
  <c r="E132"/>
  <c r="E134"/>
  <c r="E127"/>
  <c r="E138"/>
  <c r="E120"/>
  <c r="E121"/>
  <c r="E118"/>
  <c r="Y144" l="1"/>
  <c r="Y130"/>
  <c r="Y127"/>
  <c r="Y137"/>
  <c r="Y143"/>
  <c r="Y141"/>
  <c r="Y146"/>
  <c r="Y138"/>
  <c r="Y119"/>
  <c r="Y133"/>
  <c r="Y124"/>
  <c r="E149"/>
  <c r="E150" s="1"/>
  <c r="F150" s="1"/>
  <c r="G150" s="1"/>
  <c r="H150" s="1"/>
  <c r="I150" s="1"/>
  <c r="J150" s="1"/>
  <c r="K150" s="1"/>
  <c r="L150" s="1"/>
  <c r="M150" s="1"/>
  <c r="N150" s="1"/>
  <c r="O150" s="1"/>
  <c r="P150" s="1"/>
  <c r="Q150" s="1"/>
  <c r="R150" s="1"/>
  <c r="S150" s="1"/>
  <c r="T150" s="1"/>
  <c r="U150" s="1"/>
  <c r="V150" s="1"/>
  <c r="W150" s="1"/>
  <c r="X150" s="1"/>
  <c r="Y135"/>
  <c r="Y139"/>
  <c r="Y121"/>
  <c r="Y128"/>
  <c r="Y132"/>
  <c r="Y122"/>
  <c r="Y129"/>
  <c r="Y140"/>
  <c r="Y123"/>
  <c r="Y142"/>
  <c r="Y136"/>
  <c r="Y126"/>
  <c r="Y173"/>
  <c r="E176"/>
  <c r="Y176" s="1"/>
  <c r="Y180" s="1"/>
  <c r="E174"/>
  <c r="Y174" s="1"/>
  <c r="Y131"/>
  <c r="Y145"/>
  <c r="Y118"/>
  <c r="Y125"/>
  <c r="Y147"/>
  <c r="Y150" l="1"/>
  <c r="B50" i="2" l="1"/>
  <c r="B156" i="1"/>
  <c r="H56" i="2" l="1"/>
  <c r="F57"/>
  <c r="G55"/>
  <c r="G53"/>
  <c r="H50"/>
  <c r="E50"/>
  <c r="E56"/>
  <c r="F53"/>
  <c r="E52"/>
  <c r="E55"/>
  <c r="F55"/>
  <c r="H57"/>
  <c r="G50"/>
  <c r="I50"/>
  <c r="E51"/>
  <c r="G57"/>
  <c r="H55"/>
  <c r="G56"/>
  <c r="H51"/>
  <c r="I53"/>
  <c r="I54"/>
  <c r="H53"/>
  <c r="F56"/>
  <c r="G52"/>
  <c r="I57"/>
  <c r="F51"/>
  <c r="F50"/>
  <c r="I51"/>
  <c r="I55"/>
  <c r="G51"/>
  <c r="E53"/>
  <c r="I52"/>
  <c r="E57"/>
  <c r="F54"/>
  <c r="H52"/>
  <c r="E54"/>
  <c r="G54"/>
  <c r="F52"/>
  <c r="I56"/>
  <c r="H54"/>
  <c r="M55"/>
  <c r="M56"/>
  <c r="M52"/>
  <c r="M57"/>
  <c r="M53"/>
  <c r="M50"/>
  <c r="M51"/>
  <c r="M54"/>
  <c r="T54"/>
  <c r="O53"/>
  <c r="V53"/>
  <c r="P51"/>
  <c r="K50"/>
  <c r="K54"/>
  <c r="K52"/>
  <c r="O54"/>
  <c r="Q53"/>
  <c r="X57"/>
  <c r="K51"/>
  <c r="K56"/>
  <c r="Q56"/>
  <c r="N56"/>
  <c r="X51"/>
  <c r="T56"/>
  <c r="N53"/>
  <c r="L51"/>
  <c r="L55"/>
  <c r="O51"/>
  <c r="O57"/>
  <c r="V54"/>
  <c r="S54"/>
  <c r="S55"/>
  <c r="U57"/>
  <c r="U56"/>
  <c r="R50"/>
  <c r="R51"/>
  <c r="P52"/>
  <c r="P57"/>
  <c r="O52"/>
  <c r="W51"/>
  <c r="W57"/>
  <c r="Q55"/>
  <c r="Q52"/>
  <c r="X54"/>
  <c r="T50"/>
  <c r="N54"/>
  <c r="N50"/>
  <c r="L57"/>
  <c r="L56"/>
  <c r="O55"/>
  <c r="V57"/>
  <c r="S50"/>
  <c r="S57"/>
  <c r="U53"/>
  <c r="U50"/>
  <c r="R54"/>
  <c r="R56"/>
  <c r="N52"/>
  <c r="W56"/>
  <c r="P56"/>
  <c r="V55"/>
  <c r="T52"/>
  <c r="Q51"/>
  <c r="T51"/>
  <c r="N51"/>
  <c r="X53"/>
  <c r="X56"/>
  <c r="L54"/>
  <c r="L53"/>
  <c r="O56"/>
  <c r="V50"/>
  <c r="S51"/>
  <c r="S56"/>
  <c r="U51"/>
  <c r="U55"/>
  <c r="R57"/>
  <c r="Q54"/>
  <c r="X55"/>
  <c r="K57"/>
  <c r="P54"/>
  <c r="P53"/>
  <c r="V56"/>
  <c r="W50"/>
  <c r="W54"/>
  <c r="T53"/>
  <c r="Q50"/>
  <c r="N55"/>
  <c r="T57"/>
  <c r="N57"/>
  <c r="X52"/>
  <c r="T55"/>
  <c r="L52"/>
  <c r="L50"/>
  <c r="O50"/>
  <c r="V52"/>
  <c r="S53"/>
  <c r="S52"/>
  <c r="U54"/>
  <c r="U52"/>
  <c r="R52"/>
  <c r="R53"/>
  <c r="W55"/>
  <c r="W53"/>
  <c r="Q57"/>
  <c r="K55"/>
  <c r="P55"/>
  <c r="P50"/>
  <c r="K53"/>
  <c r="W52"/>
  <c r="X50"/>
  <c r="V51"/>
  <c r="R55"/>
  <c r="J51"/>
  <c r="J56"/>
  <c r="J52"/>
  <c r="J50"/>
  <c r="J55"/>
  <c r="J53"/>
  <c r="J54"/>
  <c r="J57"/>
  <c r="Y55" l="1"/>
  <c r="Y51"/>
  <c r="L82"/>
  <c r="L95" s="1"/>
  <c r="L123" s="1"/>
  <c r="R16" i="26" s="1"/>
  <c r="L79" i="2"/>
  <c r="L92" s="1"/>
  <c r="L120" s="1"/>
  <c r="R13" i="26" s="1"/>
  <c r="L77" i="2"/>
  <c r="L90" s="1"/>
  <c r="L83"/>
  <c r="L96" s="1"/>
  <c r="L124" s="1"/>
  <c r="R17" i="26" s="1"/>
  <c r="L80" i="2"/>
  <c r="L93" s="1"/>
  <c r="L121" s="1"/>
  <c r="L81"/>
  <c r="L94" s="1"/>
  <c r="L122" s="1"/>
  <c r="R15" i="26" s="1"/>
  <c r="L84" i="2"/>
  <c r="L97" s="1"/>
  <c r="L125" s="1"/>
  <c r="R18" i="26" s="1"/>
  <c r="L78" i="2"/>
  <c r="L91" s="1"/>
  <c r="L119" s="1"/>
  <c r="T79"/>
  <c r="T92" s="1"/>
  <c r="T120" s="1"/>
  <c r="Z13" i="26" s="1"/>
  <c r="T84" i="2"/>
  <c r="T97" s="1"/>
  <c r="T125" s="1"/>
  <c r="Z18" i="26" s="1"/>
  <c r="T83" i="2"/>
  <c r="T96" s="1"/>
  <c r="T124" s="1"/>
  <c r="Z17" i="26" s="1"/>
  <c r="T81" i="2"/>
  <c r="T94" s="1"/>
  <c r="T122" s="1"/>
  <c r="Z15" i="26" s="1"/>
  <c r="T82" i="2"/>
  <c r="T95" s="1"/>
  <c r="T123" s="1"/>
  <c r="Z16" i="26" s="1"/>
  <c r="T78" i="2"/>
  <c r="T91" s="1"/>
  <c r="T119" s="1"/>
  <c r="T77"/>
  <c r="T90" s="1"/>
  <c r="T80"/>
  <c r="T93" s="1"/>
  <c r="T121" s="1"/>
  <c r="K81"/>
  <c r="K94" s="1"/>
  <c r="K122" s="1"/>
  <c r="Q15" i="26" s="1"/>
  <c r="K80" i="2"/>
  <c r="K93" s="1"/>
  <c r="K121" s="1"/>
  <c r="K79"/>
  <c r="K92" s="1"/>
  <c r="K120" s="1"/>
  <c r="Q13" i="26" s="1"/>
  <c r="K78" i="2"/>
  <c r="K91" s="1"/>
  <c r="K119" s="1"/>
  <c r="K82"/>
  <c r="K95" s="1"/>
  <c r="K123" s="1"/>
  <c r="Q16" i="26" s="1"/>
  <c r="K77" i="2"/>
  <c r="K90" s="1"/>
  <c r="K84"/>
  <c r="K97" s="1"/>
  <c r="K125" s="1"/>
  <c r="Q18" i="26" s="1"/>
  <c r="K83" i="2"/>
  <c r="K96" s="1"/>
  <c r="K124" s="1"/>
  <c r="Q17" i="26" s="1"/>
  <c r="G81" i="2"/>
  <c r="G94" s="1"/>
  <c r="G122" s="1"/>
  <c r="M15" i="26" s="1"/>
  <c r="G77" i="2"/>
  <c r="G90" s="1"/>
  <c r="G80"/>
  <c r="G93" s="1"/>
  <c r="G121" s="1"/>
  <c r="G84"/>
  <c r="G97" s="1"/>
  <c r="G125" s="1"/>
  <c r="M18" i="26" s="1"/>
  <c r="G83" i="2"/>
  <c r="G96" s="1"/>
  <c r="G124" s="1"/>
  <c r="M17" i="26" s="1"/>
  <c r="G82" i="2"/>
  <c r="G95" s="1"/>
  <c r="G123" s="1"/>
  <c r="M16" i="26" s="1"/>
  <c r="G79" i="2"/>
  <c r="G92" s="1"/>
  <c r="G120" s="1"/>
  <c r="M13" i="26" s="1"/>
  <c r="G78" i="2"/>
  <c r="G91" s="1"/>
  <c r="G119" s="1"/>
  <c r="H78"/>
  <c r="H91" s="1"/>
  <c r="H119" s="1"/>
  <c r="H84"/>
  <c r="H97" s="1"/>
  <c r="H125" s="1"/>
  <c r="N18" i="26" s="1"/>
  <c r="H82" i="2"/>
  <c r="H95" s="1"/>
  <c r="H123" s="1"/>
  <c r="N16" i="26" s="1"/>
  <c r="H80" i="2"/>
  <c r="H93" s="1"/>
  <c r="H121" s="1"/>
  <c r="H83"/>
  <c r="H96" s="1"/>
  <c r="H124" s="1"/>
  <c r="N17" i="26" s="1"/>
  <c r="H79" i="2"/>
  <c r="H92" s="1"/>
  <c r="H120" s="1"/>
  <c r="N13" i="26" s="1"/>
  <c r="H77" i="2"/>
  <c r="H90" s="1"/>
  <c r="H81"/>
  <c r="H94" s="1"/>
  <c r="H122" s="1"/>
  <c r="N15" i="26" s="1"/>
  <c r="X79" i="2"/>
  <c r="X92" s="1"/>
  <c r="X120" s="1"/>
  <c r="AD13" i="26" s="1"/>
  <c r="X77" i="2"/>
  <c r="X90" s="1"/>
  <c r="X80"/>
  <c r="X93" s="1"/>
  <c r="X121" s="1"/>
  <c r="X81"/>
  <c r="X94" s="1"/>
  <c r="X122" s="1"/>
  <c r="AD15" i="26" s="1"/>
  <c r="X82" i="2"/>
  <c r="X95" s="1"/>
  <c r="X123" s="1"/>
  <c r="AD16" i="26" s="1"/>
  <c r="X78" i="2"/>
  <c r="X91" s="1"/>
  <c r="X119" s="1"/>
  <c r="X84"/>
  <c r="X97" s="1"/>
  <c r="X125" s="1"/>
  <c r="AD18" i="26" s="1"/>
  <c r="X83" i="2"/>
  <c r="X96" s="1"/>
  <c r="X124" s="1"/>
  <c r="AD17" i="26" s="1"/>
  <c r="O78" i="2"/>
  <c r="O91" s="1"/>
  <c r="O119" s="1"/>
  <c r="O79"/>
  <c r="O92" s="1"/>
  <c r="O120" s="1"/>
  <c r="U13" i="26" s="1"/>
  <c r="O80" i="2"/>
  <c r="O93" s="1"/>
  <c r="O121" s="1"/>
  <c r="O83"/>
  <c r="O96" s="1"/>
  <c r="O124" s="1"/>
  <c r="U17" i="26" s="1"/>
  <c r="O81" i="2"/>
  <c r="O94" s="1"/>
  <c r="O122" s="1"/>
  <c r="U15" i="26" s="1"/>
  <c r="O77" i="2"/>
  <c r="O90" s="1"/>
  <c r="O84"/>
  <c r="O97" s="1"/>
  <c r="O125" s="1"/>
  <c r="U18" i="26" s="1"/>
  <c r="O82" i="2"/>
  <c r="O95" s="1"/>
  <c r="O123" s="1"/>
  <c r="U16" i="26" s="1"/>
  <c r="Q80" i="2"/>
  <c r="Q93" s="1"/>
  <c r="Q121" s="1"/>
  <c r="Q78"/>
  <c r="Q91" s="1"/>
  <c r="Q119" s="1"/>
  <c r="Q79"/>
  <c r="Q92" s="1"/>
  <c r="Q120" s="1"/>
  <c r="W13" i="26" s="1"/>
  <c r="Q83" i="2"/>
  <c r="Q96" s="1"/>
  <c r="Q124" s="1"/>
  <c r="W17" i="26" s="1"/>
  <c r="Q81" i="2"/>
  <c r="Q94" s="1"/>
  <c r="Q122" s="1"/>
  <c r="W15" i="26" s="1"/>
  <c r="Q84" i="2"/>
  <c r="Q97" s="1"/>
  <c r="Q125" s="1"/>
  <c r="W18" i="26" s="1"/>
  <c r="Q77" i="2"/>
  <c r="Q90" s="1"/>
  <c r="Q82"/>
  <c r="Q95" s="1"/>
  <c r="Q123" s="1"/>
  <c r="W16" i="26" s="1"/>
  <c r="M79" i="2"/>
  <c r="M92" s="1"/>
  <c r="M120" s="1"/>
  <c r="S13" i="26" s="1"/>
  <c r="M80" i="2"/>
  <c r="M93" s="1"/>
  <c r="M121" s="1"/>
  <c r="M83"/>
  <c r="M96" s="1"/>
  <c r="M124" s="1"/>
  <c r="S17" i="26" s="1"/>
  <c r="M84" i="2"/>
  <c r="M97" s="1"/>
  <c r="M125" s="1"/>
  <c r="S18" i="26" s="1"/>
  <c r="M82" i="2"/>
  <c r="M95" s="1"/>
  <c r="M123" s="1"/>
  <c r="S16" i="26" s="1"/>
  <c r="M78" i="2"/>
  <c r="M91" s="1"/>
  <c r="M119" s="1"/>
  <c r="M77"/>
  <c r="M90" s="1"/>
  <c r="M81"/>
  <c r="M94" s="1"/>
  <c r="M122" s="1"/>
  <c r="S15" i="26" s="1"/>
  <c r="I80" i="2"/>
  <c r="I93" s="1"/>
  <c r="I121" s="1"/>
  <c r="I79"/>
  <c r="I92" s="1"/>
  <c r="I120" s="1"/>
  <c r="O13" i="26" s="1"/>
  <c r="I84" i="2"/>
  <c r="I97" s="1"/>
  <c r="I125" s="1"/>
  <c r="O18" i="26" s="1"/>
  <c r="I81" i="2"/>
  <c r="I94" s="1"/>
  <c r="I122" s="1"/>
  <c r="O15" i="26" s="1"/>
  <c r="I78" i="2"/>
  <c r="I91" s="1"/>
  <c r="I119" s="1"/>
  <c r="I82"/>
  <c r="I95" s="1"/>
  <c r="I123" s="1"/>
  <c r="O16" i="26" s="1"/>
  <c r="I83" i="2"/>
  <c r="I96" s="1"/>
  <c r="I124" s="1"/>
  <c r="O17" i="26" s="1"/>
  <c r="I77" i="2"/>
  <c r="I90" s="1"/>
  <c r="E83"/>
  <c r="E96" s="1"/>
  <c r="E79"/>
  <c r="E92" s="1"/>
  <c r="E84"/>
  <c r="E97" s="1"/>
  <c r="E77"/>
  <c r="E90" s="1"/>
  <c r="E78"/>
  <c r="E91" s="1"/>
  <c r="E82"/>
  <c r="E95" s="1"/>
  <c r="E80"/>
  <c r="E93" s="1"/>
  <c r="E81"/>
  <c r="E94" s="1"/>
  <c r="Y50"/>
  <c r="P79"/>
  <c r="P92" s="1"/>
  <c r="P120" s="1"/>
  <c r="V13" i="26" s="1"/>
  <c r="P81" i="2"/>
  <c r="P94" s="1"/>
  <c r="P122" s="1"/>
  <c r="V15" i="26" s="1"/>
  <c r="P84" i="2"/>
  <c r="P97" s="1"/>
  <c r="P125" s="1"/>
  <c r="V18" i="26" s="1"/>
  <c r="P83" i="2"/>
  <c r="P96" s="1"/>
  <c r="P124" s="1"/>
  <c r="V17" i="26" s="1"/>
  <c r="P77" i="2"/>
  <c r="P90" s="1"/>
  <c r="P80"/>
  <c r="P93" s="1"/>
  <c r="P121" s="1"/>
  <c r="P82"/>
  <c r="P95" s="1"/>
  <c r="P123" s="1"/>
  <c r="V16" i="26" s="1"/>
  <c r="P78" i="2"/>
  <c r="P91" s="1"/>
  <c r="P119" s="1"/>
  <c r="W79"/>
  <c r="W92" s="1"/>
  <c r="W120" s="1"/>
  <c r="AC13" i="26" s="1"/>
  <c r="W84" i="2"/>
  <c r="W97" s="1"/>
  <c r="W125" s="1"/>
  <c r="AC18" i="26" s="1"/>
  <c r="W80" i="2"/>
  <c r="W93" s="1"/>
  <c r="W121" s="1"/>
  <c r="W83"/>
  <c r="W96" s="1"/>
  <c r="W124" s="1"/>
  <c r="AC17" i="26" s="1"/>
  <c r="W81" i="2"/>
  <c r="W94" s="1"/>
  <c r="W122" s="1"/>
  <c r="AC15" i="26" s="1"/>
  <c r="W77" i="2"/>
  <c r="W90" s="1"/>
  <c r="W82"/>
  <c r="W95" s="1"/>
  <c r="W123" s="1"/>
  <c r="AC16" i="26" s="1"/>
  <c r="W78" i="2"/>
  <c r="W91" s="1"/>
  <c r="W119" s="1"/>
  <c r="V78"/>
  <c r="V91" s="1"/>
  <c r="V119" s="1"/>
  <c r="V84"/>
  <c r="V97" s="1"/>
  <c r="V125" s="1"/>
  <c r="AB18" i="26" s="1"/>
  <c r="V79" i="2"/>
  <c r="V92" s="1"/>
  <c r="V120" s="1"/>
  <c r="AB13" i="26" s="1"/>
  <c r="V81" i="2"/>
  <c r="V94" s="1"/>
  <c r="V122" s="1"/>
  <c r="AB15" i="26" s="1"/>
  <c r="V82" i="2"/>
  <c r="V95" s="1"/>
  <c r="V123" s="1"/>
  <c r="AB16" i="26" s="1"/>
  <c r="V83" i="2"/>
  <c r="V96" s="1"/>
  <c r="V124" s="1"/>
  <c r="AB17" i="26" s="1"/>
  <c r="V77" i="2"/>
  <c r="V90" s="1"/>
  <c r="V80"/>
  <c r="V93" s="1"/>
  <c r="V121" s="1"/>
  <c r="U81"/>
  <c r="U94" s="1"/>
  <c r="U122" s="1"/>
  <c r="AA15" i="26" s="1"/>
  <c r="U82" i="2"/>
  <c r="U95" s="1"/>
  <c r="U123" s="1"/>
  <c r="AA16" i="26" s="1"/>
  <c r="U83" i="2"/>
  <c r="U96" s="1"/>
  <c r="U124" s="1"/>
  <c r="AA17" i="26" s="1"/>
  <c r="U79" i="2"/>
  <c r="U92" s="1"/>
  <c r="U120" s="1"/>
  <c r="AA13" i="26" s="1"/>
  <c r="U77" i="2"/>
  <c r="U90" s="1"/>
  <c r="U80"/>
  <c r="U93" s="1"/>
  <c r="U121" s="1"/>
  <c r="U84"/>
  <c r="U97" s="1"/>
  <c r="U125" s="1"/>
  <c r="AA18" i="26" s="1"/>
  <c r="U78" i="2"/>
  <c r="U91" s="1"/>
  <c r="U119" s="1"/>
  <c r="N79"/>
  <c r="N92" s="1"/>
  <c r="N120" s="1"/>
  <c r="T13" i="26" s="1"/>
  <c r="N84" i="2"/>
  <c r="N97" s="1"/>
  <c r="N125" s="1"/>
  <c r="T18" i="26" s="1"/>
  <c r="N82" i="2"/>
  <c r="N95" s="1"/>
  <c r="N123" s="1"/>
  <c r="T16" i="26" s="1"/>
  <c r="N80" i="2"/>
  <c r="N93" s="1"/>
  <c r="N121" s="1"/>
  <c r="N77"/>
  <c r="N90" s="1"/>
  <c r="N81"/>
  <c r="N94" s="1"/>
  <c r="N122" s="1"/>
  <c r="T15" i="26" s="1"/>
  <c r="N83" i="2"/>
  <c r="N96" s="1"/>
  <c r="N124" s="1"/>
  <c r="T17" i="26" s="1"/>
  <c r="N78" i="2"/>
  <c r="N91" s="1"/>
  <c r="N119" s="1"/>
  <c r="R80"/>
  <c r="R93" s="1"/>
  <c r="R121" s="1"/>
  <c r="R81"/>
  <c r="R94" s="1"/>
  <c r="R122" s="1"/>
  <c r="X15" i="26" s="1"/>
  <c r="R83" i="2"/>
  <c r="R96" s="1"/>
  <c r="R124" s="1"/>
  <c r="X17" i="26" s="1"/>
  <c r="R82" i="2"/>
  <c r="R95" s="1"/>
  <c r="R123" s="1"/>
  <c r="X16" i="26" s="1"/>
  <c r="R79" i="2"/>
  <c r="R92" s="1"/>
  <c r="R120" s="1"/>
  <c r="X13" i="26" s="1"/>
  <c r="R77" i="2"/>
  <c r="R90" s="1"/>
  <c r="R78"/>
  <c r="R91" s="1"/>
  <c r="R119" s="1"/>
  <c r="R84"/>
  <c r="R97" s="1"/>
  <c r="R125" s="1"/>
  <c r="X18" i="26" s="1"/>
  <c r="F80" i="2"/>
  <c r="F93" s="1"/>
  <c r="F121" s="1"/>
  <c r="F82"/>
  <c r="F95" s="1"/>
  <c r="F123" s="1"/>
  <c r="L16" i="26" s="1"/>
  <c r="F79" i="2"/>
  <c r="F92" s="1"/>
  <c r="F120" s="1"/>
  <c r="L13" i="26" s="1"/>
  <c r="F78" i="2"/>
  <c r="F91" s="1"/>
  <c r="F119" s="1"/>
  <c r="F84"/>
  <c r="F97" s="1"/>
  <c r="F125" s="1"/>
  <c r="L18" i="26" s="1"/>
  <c r="F83" i="2"/>
  <c r="F96" s="1"/>
  <c r="F124" s="1"/>
  <c r="L17" i="26" s="1"/>
  <c r="F77" i="2"/>
  <c r="F90" s="1"/>
  <c r="F81"/>
  <c r="F94" s="1"/>
  <c r="F122" s="1"/>
  <c r="L15" i="26" s="1"/>
  <c r="J80" i="2"/>
  <c r="J93" s="1"/>
  <c r="J121" s="1"/>
  <c r="J84"/>
  <c r="J97" s="1"/>
  <c r="J125" s="1"/>
  <c r="P18" i="26" s="1"/>
  <c r="J79" i="2"/>
  <c r="J92" s="1"/>
  <c r="J120" s="1"/>
  <c r="P13" i="26" s="1"/>
  <c r="J81" i="2"/>
  <c r="J94" s="1"/>
  <c r="J122" s="1"/>
  <c r="P15" i="26" s="1"/>
  <c r="J83" i="2"/>
  <c r="J96" s="1"/>
  <c r="J124" s="1"/>
  <c r="P17" i="26" s="1"/>
  <c r="J82" i="2"/>
  <c r="J95" s="1"/>
  <c r="J123" s="1"/>
  <c r="P16" i="26" s="1"/>
  <c r="J77" i="2"/>
  <c r="J90" s="1"/>
  <c r="J78"/>
  <c r="J91" s="1"/>
  <c r="J119" s="1"/>
  <c r="S77"/>
  <c r="S90" s="1"/>
  <c r="S82"/>
  <c r="S95" s="1"/>
  <c r="S123" s="1"/>
  <c r="Y16" i="26" s="1"/>
  <c r="S83" i="2"/>
  <c r="S96" s="1"/>
  <c r="S124" s="1"/>
  <c r="Y17" i="26" s="1"/>
  <c r="S80" i="2"/>
  <c r="S93" s="1"/>
  <c r="S121" s="1"/>
  <c r="S81"/>
  <c r="S94" s="1"/>
  <c r="S122" s="1"/>
  <c r="Y15" i="26" s="1"/>
  <c r="S79" i="2"/>
  <c r="S92" s="1"/>
  <c r="S120" s="1"/>
  <c r="Y13" i="26" s="1"/>
  <c r="S78" i="2"/>
  <c r="S91" s="1"/>
  <c r="S119" s="1"/>
  <c r="S84"/>
  <c r="S97" s="1"/>
  <c r="S125" s="1"/>
  <c r="Y18" i="26" s="1"/>
  <c r="Y53" i="2"/>
  <c r="Y56"/>
  <c r="Y54"/>
  <c r="Y52"/>
  <c r="Y57"/>
  <c r="Z57" s="1"/>
  <c r="Y14" i="26" l="1"/>
  <c r="S133" i="2"/>
  <c r="S170" s="1"/>
  <c r="J135"/>
  <c r="P12" i="26"/>
  <c r="J134" i="2"/>
  <c r="F135"/>
  <c r="F172" s="1"/>
  <c r="F134"/>
  <c r="L12" i="26"/>
  <c r="T12"/>
  <c r="N135" i="2"/>
  <c r="N172" s="1"/>
  <c r="N134"/>
  <c r="N171" s="1"/>
  <c r="N133"/>
  <c r="N170" s="1"/>
  <c r="T14" i="26"/>
  <c r="U134" i="2"/>
  <c r="U171" s="1"/>
  <c r="U135"/>
  <c r="AA12" i="26"/>
  <c r="AB14"/>
  <c r="V133" i="2"/>
  <c r="V170" s="1"/>
  <c r="AC12" i="26"/>
  <c r="W135" i="2"/>
  <c r="W134"/>
  <c r="V12" i="26"/>
  <c r="P135" i="2"/>
  <c r="P172" s="1"/>
  <c r="P134"/>
  <c r="E104"/>
  <c r="F104" s="1"/>
  <c r="G104" s="1"/>
  <c r="H104" s="1"/>
  <c r="I104" s="1"/>
  <c r="J104" s="1"/>
  <c r="K104" s="1"/>
  <c r="L104" s="1"/>
  <c r="M104" s="1"/>
  <c r="N104" s="1"/>
  <c r="O104" s="1"/>
  <c r="P104" s="1"/>
  <c r="Q104" s="1"/>
  <c r="R104" s="1"/>
  <c r="S104" s="1"/>
  <c r="T104" s="1"/>
  <c r="U104" s="1"/>
  <c r="V104" s="1"/>
  <c r="W104" s="1"/>
  <c r="X104" s="1"/>
  <c r="E119"/>
  <c r="E109"/>
  <c r="F109" s="1"/>
  <c r="G109" s="1"/>
  <c r="H109" s="1"/>
  <c r="I109" s="1"/>
  <c r="J109" s="1"/>
  <c r="K109" s="1"/>
  <c r="L109" s="1"/>
  <c r="M109" s="1"/>
  <c r="N109" s="1"/>
  <c r="O109" s="1"/>
  <c r="P109" s="1"/>
  <c r="Q109" s="1"/>
  <c r="R109" s="1"/>
  <c r="S109" s="1"/>
  <c r="T109" s="1"/>
  <c r="U109" s="1"/>
  <c r="V109" s="1"/>
  <c r="W109" s="1"/>
  <c r="X109" s="1"/>
  <c r="E124"/>
  <c r="K17" i="26" s="1"/>
  <c r="O12"/>
  <c r="I135" i="2"/>
  <c r="I172" s="1"/>
  <c r="I134"/>
  <c r="I171" s="1"/>
  <c r="I133"/>
  <c r="I170" s="1"/>
  <c r="O14" i="26"/>
  <c r="W14"/>
  <c r="Q133" i="2"/>
  <c r="Q170" s="1"/>
  <c r="U12" i="26"/>
  <c r="O135" i="2"/>
  <c r="O134"/>
  <c r="H135"/>
  <c r="H172" s="1"/>
  <c r="H134"/>
  <c r="N12" i="26"/>
  <c r="R14"/>
  <c r="L133" i="2"/>
  <c r="L170" s="1"/>
  <c r="Y119"/>
  <c r="Y123"/>
  <c r="AE16" i="26" s="1"/>
  <c r="Y118" i="2"/>
  <c r="Y122"/>
  <c r="AE15" i="26" s="1"/>
  <c r="Y124" i="2"/>
  <c r="AE17" i="26" s="1"/>
  <c r="Y120" i="2"/>
  <c r="AE13" i="26" s="1"/>
  <c r="Y125" i="2"/>
  <c r="AE18" i="26" s="1"/>
  <c r="Y121" i="2"/>
  <c r="S118"/>
  <c r="S99"/>
  <c r="J133"/>
  <c r="J170" s="1"/>
  <c r="P14" i="26"/>
  <c r="F133" i="2"/>
  <c r="F170" s="1"/>
  <c r="L14" i="26"/>
  <c r="R133" i="2"/>
  <c r="R170" s="1"/>
  <c r="X14" i="26"/>
  <c r="N118" i="2"/>
  <c r="N99"/>
  <c r="U118"/>
  <c r="U99"/>
  <c r="AB12" i="26"/>
  <c r="V135" i="2"/>
  <c r="V134"/>
  <c r="V171" s="1"/>
  <c r="P118"/>
  <c r="P99"/>
  <c r="E108"/>
  <c r="F108" s="1"/>
  <c r="G108" s="1"/>
  <c r="H108" s="1"/>
  <c r="I108" s="1"/>
  <c r="J108" s="1"/>
  <c r="K108" s="1"/>
  <c r="L108" s="1"/>
  <c r="M108" s="1"/>
  <c r="N108" s="1"/>
  <c r="O108" s="1"/>
  <c r="P108" s="1"/>
  <c r="Q108" s="1"/>
  <c r="R108" s="1"/>
  <c r="S108" s="1"/>
  <c r="T108" s="1"/>
  <c r="U108" s="1"/>
  <c r="V108" s="1"/>
  <c r="W108" s="1"/>
  <c r="X108" s="1"/>
  <c r="E123"/>
  <c r="K16" i="26" s="1"/>
  <c r="E105" i="2"/>
  <c r="F105" s="1"/>
  <c r="G105" s="1"/>
  <c r="H105" s="1"/>
  <c r="I105" s="1"/>
  <c r="J105" s="1"/>
  <c r="K105" s="1"/>
  <c r="L105" s="1"/>
  <c r="M105" s="1"/>
  <c r="N105" s="1"/>
  <c r="O105" s="1"/>
  <c r="P105" s="1"/>
  <c r="Q105" s="1"/>
  <c r="R105" s="1"/>
  <c r="S105" s="1"/>
  <c r="T105" s="1"/>
  <c r="U105" s="1"/>
  <c r="V105" s="1"/>
  <c r="W105" s="1"/>
  <c r="X105" s="1"/>
  <c r="E120"/>
  <c r="K13" i="26" s="1"/>
  <c r="M134" i="2"/>
  <c r="M135"/>
  <c r="S12" i="26"/>
  <c r="S14"/>
  <c r="M133" i="2"/>
  <c r="M170" s="1"/>
  <c r="W12" i="26"/>
  <c r="Q134" i="2"/>
  <c r="Q171" s="1"/>
  <c r="Q135"/>
  <c r="O118"/>
  <c r="O99"/>
  <c r="AD12" i="26"/>
  <c r="X135" i="2"/>
  <c r="X134"/>
  <c r="X171" s="1"/>
  <c r="X118"/>
  <c r="X99"/>
  <c r="G99"/>
  <c r="G118"/>
  <c r="K99"/>
  <c r="K118"/>
  <c r="Q14" i="26"/>
  <c r="K133" i="2"/>
  <c r="K170" s="1"/>
  <c r="Z12" i="26"/>
  <c r="T135" i="2"/>
  <c r="T172" s="1"/>
  <c r="T134"/>
  <c r="R99"/>
  <c r="R118"/>
  <c r="U133"/>
  <c r="U170" s="1"/>
  <c r="AA14" i="26"/>
  <c r="W118" i="2"/>
  <c r="W99"/>
  <c r="V14" i="26"/>
  <c r="P133" i="2"/>
  <c r="P170" s="1"/>
  <c r="E121"/>
  <c r="E106"/>
  <c r="F106" s="1"/>
  <c r="G106" s="1"/>
  <c r="H106" s="1"/>
  <c r="I106" s="1"/>
  <c r="J106" s="1"/>
  <c r="K106" s="1"/>
  <c r="L106" s="1"/>
  <c r="M106" s="1"/>
  <c r="N106" s="1"/>
  <c r="O106" s="1"/>
  <c r="P106" s="1"/>
  <c r="Q106" s="1"/>
  <c r="R106" s="1"/>
  <c r="S106" s="1"/>
  <c r="T106" s="1"/>
  <c r="U106" s="1"/>
  <c r="V106" s="1"/>
  <c r="W106" s="1"/>
  <c r="X106" s="1"/>
  <c r="E125"/>
  <c r="K18" i="26" s="1"/>
  <c r="E110" i="2"/>
  <c r="F110" s="1"/>
  <c r="G110" s="1"/>
  <c r="H110" s="1"/>
  <c r="I110" s="1"/>
  <c r="J110" s="1"/>
  <c r="K110" s="1"/>
  <c r="L110" s="1"/>
  <c r="M110" s="1"/>
  <c r="N110" s="1"/>
  <c r="O110" s="1"/>
  <c r="P110" s="1"/>
  <c r="Q110" s="1"/>
  <c r="R110" s="1"/>
  <c r="S110" s="1"/>
  <c r="T110" s="1"/>
  <c r="U110" s="1"/>
  <c r="V110" s="1"/>
  <c r="W110" s="1"/>
  <c r="X110" s="1"/>
  <c r="M99"/>
  <c r="M118"/>
  <c r="Q118"/>
  <c r="Q99"/>
  <c r="U14" i="26"/>
  <c r="O133" i="2"/>
  <c r="O170" s="1"/>
  <c r="AD14" i="26"/>
  <c r="X133" i="2"/>
  <c r="X170" s="1"/>
  <c r="H99"/>
  <c r="H118"/>
  <c r="M14" i="26"/>
  <c r="G133" i="2"/>
  <c r="G170" s="1"/>
  <c r="T118"/>
  <c r="T99"/>
  <c r="L118"/>
  <c r="L99"/>
  <c r="S135"/>
  <c r="S172" s="1"/>
  <c r="Y12" i="26"/>
  <c r="S134" i="2"/>
  <c r="J99"/>
  <c r="J118"/>
  <c r="F99"/>
  <c r="F118"/>
  <c r="R134"/>
  <c r="R135"/>
  <c r="R172" s="1"/>
  <c r="X12" i="26"/>
  <c r="V118" i="2"/>
  <c r="V99"/>
  <c r="AC14" i="26"/>
  <c r="W133" i="2"/>
  <c r="W170" s="1"/>
  <c r="E107"/>
  <c r="F107" s="1"/>
  <c r="G107" s="1"/>
  <c r="H107" s="1"/>
  <c r="I107" s="1"/>
  <c r="J107" s="1"/>
  <c r="K107" s="1"/>
  <c r="L107" s="1"/>
  <c r="M107" s="1"/>
  <c r="N107" s="1"/>
  <c r="O107" s="1"/>
  <c r="P107" s="1"/>
  <c r="Q107" s="1"/>
  <c r="R107" s="1"/>
  <c r="S107" s="1"/>
  <c r="T107" s="1"/>
  <c r="U107" s="1"/>
  <c r="V107" s="1"/>
  <c r="W107" s="1"/>
  <c r="X107" s="1"/>
  <c r="E122"/>
  <c r="K15" i="26" s="1"/>
  <c r="E99" i="2"/>
  <c r="E103"/>
  <c r="E118"/>
  <c r="I99"/>
  <c r="I118"/>
  <c r="N14" i="26"/>
  <c r="H133" i="2"/>
  <c r="H170" s="1"/>
  <c r="M12" i="26"/>
  <c r="G135" i="2"/>
  <c r="G134"/>
  <c r="G171" s="1"/>
  <c r="K134"/>
  <c r="K135"/>
  <c r="Q12" i="26"/>
  <c r="Z14"/>
  <c r="T133" i="2"/>
  <c r="T170" s="1"/>
  <c r="R12" i="26"/>
  <c r="L134" i="2"/>
  <c r="L171" s="1"/>
  <c r="L135"/>
  <c r="G172" l="1"/>
  <c r="V172"/>
  <c r="O172"/>
  <c r="W171"/>
  <c r="J171"/>
  <c r="F171"/>
  <c r="I161"/>
  <c r="I137"/>
  <c r="I162"/>
  <c r="I148"/>
  <c r="I155"/>
  <c r="I192" s="1"/>
  <c r="I163"/>
  <c r="I200" s="1"/>
  <c r="I143"/>
  <c r="I146"/>
  <c r="I141"/>
  <c r="I178" s="1"/>
  <c r="I139"/>
  <c r="I153"/>
  <c r="O11" i="26"/>
  <c r="I159" i="2"/>
  <c r="I136"/>
  <c r="I173" s="1"/>
  <c r="I156"/>
  <c r="I147"/>
  <c r="I184" s="1"/>
  <c r="I157"/>
  <c r="I194" s="1"/>
  <c r="I127"/>
  <c r="I142"/>
  <c r="I164"/>
  <c r="I145"/>
  <c r="I182" s="1"/>
  <c r="I149"/>
  <c r="I144"/>
  <c r="I181" s="1"/>
  <c r="I152"/>
  <c r="I160"/>
  <c r="I197" s="1"/>
  <c r="I151"/>
  <c r="I150"/>
  <c r="I158"/>
  <c r="I138"/>
  <c r="I175" s="1"/>
  <c r="I140"/>
  <c r="I177" s="1"/>
  <c r="I154"/>
  <c r="I191" s="1"/>
  <c r="J156"/>
  <c r="J160"/>
  <c r="J197" s="1"/>
  <c r="J148"/>
  <c r="J150"/>
  <c r="J142"/>
  <c r="J163"/>
  <c r="J154"/>
  <c r="J137"/>
  <c r="J143"/>
  <c r="J180" s="1"/>
  <c r="J145"/>
  <c r="J146"/>
  <c r="J140"/>
  <c r="J161"/>
  <c r="J147"/>
  <c r="J184" s="1"/>
  <c r="J153"/>
  <c r="J158"/>
  <c r="J162"/>
  <c r="J199" s="1"/>
  <c r="J164"/>
  <c r="J159"/>
  <c r="J149"/>
  <c r="J157"/>
  <c r="J194" s="1"/>
  <c r="J144"/>
  <c r="J136"/>
  <c r="J173" s="1"/>
  <c r="J127"/>
  <c r="J155"/>
  <c r="J139"/>
  <c r="J176" s="1"/>
  <c r="J138"/>
  <c r="J175" s="1"/>
  <c r="P11" i="26"/>
  <c r="J151" i="2"/>
  <c r="J141"/>
  <c r="J178" s="1"/>
  <c r="J152"/>
  <c r="T136"/>
  <c r="T173" s="1"/>
  <c r="T153"/>
  <c r="T163"/>
  <c r="T200" s="1"/>
  <c r="T137"/>
  <c r="T174" s="1"/>
  <c r="T154"/>
  <c r="T147"/>
  <c r="T144"/>
  <c r="T181" s="1"/>
  <c r="T143"/>
  <c r="T151"/>
  <c r="Z11" i="26"/>
  <c r="T148" i="2"/>
  <c r="T141"/>
  <c r="T127"/>
  <c r="T157"/>
  <c r="T139"/>
  <c r="T176" s="1"/>
  <c r="T159"/>
  <c r="T164"/>
  <c r="T160"/>
  <c r="T145"/>
  <c r="T182" s="1"/>
  <c r="T156"/>
  <c r="T158"/>
  <c r="T149"/>
  <c r="T146"/>
  <c r="T183" s="1"/>
  <c r="T138"/>
  <c r="T175" s="1"/>
  <c r="T162"/>
  <c r="T140"/>
  <c r="T142"/>
  <c r="T179" s="1"/>
  <c r="T161"/>
  <c r="T155"/>
  <c r="T192" s="1"/>
  <c r="T150"/>
  <c r="T187" s="1"/>
  <c r="T152"/>
  <c r="T189" s="1"/>
  <c r="E133"/>
  <c r="E170" s="1"/>
  <c r="K14" i="26"/>
  <c r="W140" i="2"/>
  <c r="W150"/>
  <c r="W187" s="1"/>
  <c r="W163"/>
  <c r="W137"/>
  <c r="W155"/>
  <c r="W160"/>
  <c r="W197" s="1"/>
  <c r="W164"/>
  <c r="W201" s="1"/>
  <c r="W149"/>
  <c r="W147"/>
  <c r="W148"/>
  <c r="W146"/>
  <c r="W153"/>
  <c r="W144"/>
  <c r="W158"/>
  <c r="W195" s="1"/>
  <c r="W157"/>
  <c r="W159"/>
  <c r="W136"/>
  <c r="W173" s="1"/>
  <c r="W138"/>
  <c r="W175" s="1"/>
  <c r="W127"/>
  <c r="W156"/>
  <c r="AC11" i="26"/>
  <c r="W154" i="2"/>
  <c r="W191" s="1"/>
  <c r="W145"/>
  <c r="W139"/>
  <c r="W151"/>
  <c r="W162"/>
  <c r="W199" s="1"/>
  <c r="W141"/>
  <c r="W143"/>
  <c r="W142"/>
  <c r="W152"/>
  <c r="W161"/>
  <c r="G155"/>
  <c r="G163"/>
  <c r="G164"/>
  <c r="G139"/>
  <c r="G156"/>
  <c r="G193" s="1"/>
  <c r="G157"/>
  <c r="G127"/>
  <c r="G149"/>
  <c r="G147"/>
  <c r="G158"/>
  <c r="G195" s="1"/>
  <c r="G151"/>
  <c r="M11" i="26"/>
  <c r="G142" i="2"/>
  <c r="G140"/>
  <c r="G159"/>
  <c r="G162"/>
  <c r="G161"/>
  <c r="G160"/>
  <c r="G137"/>
  <c r="G174" s="1"/>
  <c r="G152"/>
  <c r="G136"/>
  <c r="G173" s="1"/>
  <c r="G143"/>
  <c r="G153"/>
  <c r="G190" s="1"/>
  <c r="G145"/>
  <c r="G144"/>
  <c r="G148"/>
  <c r="G146"/>
  <c r="G183" s="1"/>
  <c r="G154"/>
  <c r="G141"/>
  <c r="G138"/>
  <c r="G150"/>
  <c r="G187" s="1"/>
  <c r="O163"/>
  <c r="O156"/>
  <c r="O144"/>
  <c r="O138"/>
  <c r="O175" s="1"/>
  <c r="O151"/>
  <c r="O141"/>
  <c r="O158"/>
  <c r="O145"/>
  <c r="O149"/>
  <c r="O127"/>
  <c r="O142"/>
  <c r="O146"/>
  <c r="O183" s="1"/>
  <c r="O140"/>
  <c r="O152"/>
  <c r="O147"/>
  <c r="O136"/>
  <c r="O173" s="1"/>
  <c r="O139"/>
  <c r="O159"/>
  <c r="U11" i="26"/>
  <c r="O154" i="2"/>
  <c r="O191" s="1"/>
  <c r="O150"/>
  <c r="O187" s="1"/>
  <c r="O153"/>
  <c r="O190" s="1"/>
  <c r="O160"/>
  <c r="O157"/>
  <c r="O194" s="1"/>
  <c r="O137"/>
  <c r="O143"/>
  <c r="O164"/>
  <c r="O161"/>
  <c r="O162"/>
  <c r="O148"/>
  <c r="O155"/>
  <c r="F103"/>
  <c r="E112"/>
  <c r="H144"/>
  <c r="H138"/>
  <c r="H159"/>
  <c r="H196" s="1"/>
  <c r="H158"/>
  <c r="H164"/>
  <c r="H140"/>
  <c r="H147"/>
  <c r="H151"/>
  <c r="H157"/>
  <c r="H153"/>
  <c r="H143"/>
  <c r="H180" s="1"/>
  <c r="H139"/>
  <c r="H161"/>
  <c r="H149"/>
  <c r="H156"/>
  <c r="H193" s="1"/>
  <c r="H141"/>
  <c r="H152"/>
  <c r="H146"/>
  <c r="H163"/>
  <c r="H127"/>
  <c r="H150"/>
  <c r="H160"/>
  <c r="H162"/>
  <c r="H199" s="1"/>
  <c r="H136"/>
  <c r="H173" s="1"/>
  <c r="H155"/>
  <c r="H145"/>
  <c r="H148"/>
  <c r="H185" s="1"/>
  <c r="H142"/>
  <c r="H179" s="1"/>
  <c r="N11" i="26"/>
  <c r="H154" i="2"/>
  <c r="H191" s="1"/>
  <c r="H137"/>
  <c r="H174" s="1"/>
  <c r="M152"/>
  <c r="M138"/>
  <c r="M141"/>
  <c r="M146"/>
  <c r="S11" i="26"/>
  <c r="M154" i="2"/>
  <c r="M137"/>
  <c r="M148"/>
  <c r="M156"/>
  <c r="M139"/>
  <c r="M176" s="1"/>
  <c r="M145"/>
  <c r="M164"/>
  <c r="M144"/>
  <c r="M158"/>
  <c r="M140"/>
  <c r="M142"/>
  <c r="M151"/>
  <c r="M160"/>
  <c r="M150"/>
  <c r="M143"/>
  <c r="M180" s="1"/>
  <c r="M159"/>
  <c r="M157"/>
  <c r="M161"/>
  <c r="M136"/>
  <c r="M173" s="1"/>
  <c r="M127"/>
  <c r="M153"/>
  <c r="M147"/>
  <c r="M162"/>
  <c r="M155"/>
  <c r="M192" s="1"/>
  <c r="M149"/>
  <c r="M163"/>
  <c r="R160"/>
  <c r="R142"/>
  <c r="R162"/>
  <c r="R155"/>
  <c r="R146"/>
  <c r="R183" s="1"/>
  <c r="R161"/>
  <c r="X11" i="26"/>
  <c r="R148" i="2"/>
  <c r="R158"/>
  <c r="R150"/>
  <c r="R137"/>
  <c r="R152"/>
  <c r="R139"/>
  <c r="R176" s="1"/>
  <c r="R143"/>
  <c r="R180" s="1"/>
  <c r="R153"/>
  <c r="R157"/>
  <c r="R154"/>
  <c r="R191" s="1"/>
  <c r="R140"/>
  <c r="R156"/>
  <c r="R149"/>
  <c r="R186" s="1"/>
  <c r="R127"/>
  <c r="R145"/>
  <c r="R147"/>
  <c r="R141"/>
  <c r="R159"/>
  <c r="R138"/>
  <c r="R175" s="1"/>
  <c r="R151"/>
  <c r="R136"/>
  <c r="R173" s="1"/>
  <c r="R164"/>
  <c r="R201" s="1"/>
  <c r="R163"/>
  <c r="R200" s="1"/>
  <c r="R144"/>
  <c r="X154"/>
  <c r="X142"/>
  <c r="X179" s="1"/>
  <c r="X153"/>
  <c r="X156"/>
  <c r="X144"/>
  <c r="X163"/>
  <c r="X146"/>
  <c r="X138"/>
  <c r="X152"/>
  <c r="X140"/>
  <c r="X136"/>
  <c r="X173" s="1"/>
  <c r="X150"/>
  <c r="X157"/>
  <c r="X149"/>
  <c r="X186" s="1"/>
  <c r="X141"/>
  <c r="X164"/>
  <c r="X137"/>
  <c r="X160"/>
  <c r="X158"/>
  <c r="X145"/>
  <c r="X147"/>
  <c r="X159"/>
  <c r="X196" s="1"/>
  <c r="X161"/>
  <c r="X148"/>
  <c r="AD11" i="26"/>
  <c r="X162" i="2"/>
  <c r="X199" s="1"/>
  <c r="X151"/>
  <c r="X188" s="1"/>
  <c r="X143"/>
  <c r="X139"/>
  <c r="X155"/>
  <c r="X127"/>
  <c r="AA11" i="26"/>
  <c r="U148" i="2"/>
  <c r="U141"/>
  <c r="U178" s="1"/>
  <c r="U136"/>
  <c r="U173" s="1"/>
  <c r="U164"/>
  <c r="U154"/>
  <c r="U155"/>
  <c r="U138"/>
  <c r="U143"/>
  <c r="U153"/>
  <c r="U145"/>
  <c r="U182" s="1"/>
  <c r="U159"/>
  <c r="U144"/>
  <c r="U181" s="1"/>
  <c r="U158"/>
  <c r="U152"/>
  <c r="U189" s="1"/>
  <c r="U162"/>
  <c r="U150"/>
  <c r="U149"/>
  <c r="U186" s="1"/>
  <c r="U146"/>
  <c r="U183" s="1"/>
  <c r="U127"/>
  <c r="U157"/>
  <c r="U163"/>
  <c r="U142"/>
  <c r="U179" s="1"/>
  <c r="U139"/>
  <c r="U176" s="1"/>
  <c r="U151"/>
  <c r="U188" s="1"/>
  <c r="U160"/>
  <c r="U161"/>
  <c r="U140"/>
  <c r="U177" s="1"/>
  <c r="U156"/>
  <c r="U147"/>
  <c r="U137"/>
  <c r="U174" s="1"/>
  <c r="Y142"/>
  <c r="Y160"/>
  <c r="Y127"/>
  <c r="Y154"/>
  <c r="Y152"/>
  <c r="Y164"/>
  <c r="Y163"/>
  <c r="Y143"/>
  <c r="Y180" s="1"/>
  <c r="Y145"/>
  <c r="Y155"/>
  <c r="Y138"/>
  <c r="Y147"/>
  <c r="Y184" s="1"/>
  <c r="Y157"/>
  <c r="Y141"/>
  <c r="Y153"/>
  <c r="Y136"/>
  <c r="Y162"/>
  <c r="Y161"/>
  <c r="Y198" s="1"/>
  <c r="Y149"/>
  <c r="Y158"/>
  <c r="Y195" s="1"/>
  <c r="Y140"/>
  <c r="Y150"/>
  <c r="Y144"/>
  <c r="Y137"/>
  <c r="Y174" s="1"/>
  <c r="Y139"/>
  <c r="Y159"/>
  <c r="Y151"/>
  <c r="Y156"/>
  <c r="Y193" s="1"/>
  <c r="AE11" i="26"/>
  <c r="Y146" i="2"/>
  <c r="Y148"/>
  <c r="K12" i="26"/>
  <c r="E135" i="2"/>
  <c r="E134"/>
  <c r="E159"/>
  <c r="E151"/>
  <c r="E188" s="1"/>
  <c r="E152"/>
  <c r="E146"/>
  <c r="E164"/>
  <c r="E147"/>
  <c r="E184" s="1"/>
  <c r="E127"/>
  <c r="E138"/>
  <c r="E163"/>
  <c r="E156"/>
  <c r="E193" s="1"/>
  <c r="E148"/>
  <c r="E150"/>
  <c r="E158"/>
  <c r="E144"/>
  <c r="E161"/>
  <c r="E157"/>
  <c r="K11" i="26"/>
  <c r="E142" i="2"/>
  <c r="E179" s="1"/>
  <c r="E155"/>
  <c r="E137"/>
  <c r="E154"/>
  <c r="E139"/>
  <c r="E176" s="1"/>
  <c r="E141"/>
  <c r="E149"/>
  <c r="E160"/>
  <c r="E197" s="1"/>
  <c r="E143"/>
  <c r="E180" s="1"/>
  <c r="E145"/>
  <c r="E153"/>
  <c r="E136"/>
  <c r="E140"/>
  <c r="E177" s="1"/>
  <c r="E162"/>
  <c r="E199" s="1"/>
  <c r="C10"/>
  <c r="V145"/>
  <c r="AB11" i="26"/>
  <c r="V153" i="2"/>
  <c r="V142"/>
  <c r="V150"/>
  <c r="V157"/>
  <c r="V147"/>
  <c r="V160"/>
  <c r="V149"/>
  <c r="V156"/>
  <c r="V154"/>
  <c r="V191" s="1"/>
  <c r="V139"/>
  <c r="V151"/>
  <c r="V188" s="1"/>
  <c r="V155"/>
  <c r="V192" s="1"/>
  <c r="V137"/>
  <c r="V143"/>
  <c r="V180" s="1"/>
  <c r="V152"/>
  <c r="V189" s="1"/>
  <c r="V159"/>
  <c r="V196" s="1"/>
  <c r="V144"/>
  <c r="V161"/>
  <c r="V198" s="1"/>
  <c r="V127"/>
  <c r="V148"/>
  <c r="V185" s="1"/>
  <c r="V164"/>
  <c r="V163"/>
  <c r="V146"/>
  <c r="V183" s="1"/>
  <c r="V162"/>
  <c r="V199" s="1"/>
  <c r="V136"/>
  <c r="V173" s="1"/>
  <c r="V138"/>
  <c r="V140"/>
  <c r="V141"/>
  <c r="V158"/>
  <c r="F150"/>
  <c r="F147"/>
  <c r="F149"/>
  <c r="F186" s="1"/>
  <c r="F140"/>
  <c r="F148"/>
  <c r="F155"/>
  <c r="F144"/>
  <c r="F181" s="1"/>
  <c r="F139"/>
  <c r="F137"/>
  <c r="F136"/>
  <c r="F173" s="1"/>
  <c r="F164"/>
  <c r="F201" s="1"/>
  <c r="F127"/>
  <c r="F153"/>
  <c r="F138"/>
  <c r="F156"/>
  <c r="F159"/>
  <c r="F163"/>
  <c r="F152"/>
  <c r="F142"/>
  <c r="F179" s="1"/>
  <c r="F143"/>
  <c r="F160"/>
  <c r="F157"/>
  <c r="F161"/>
  <c r="F198" s="1"/>
  <c r="F145"/>
  <c r="F146"/>
  <c r="F162"/>
  <c r="F151"/>
  <c r="F188" s="1"/>
  <c r="F158"/>
  <c r="F141"/>
  <c r="L11" i="26"/>
  <c r="F154" i="2"/>
  <c r="F191" s="1"/>
  <c r="L151"/>
  <c r="L143"/>
  <c r="L159"/>
  <c r="L140"/>
  <c r="L177" s="1"/>
  <c r="L158"/>
  <c r="L163"/>
  <c r="L160"/>
  <c r="L197" s="1"/>
  <c r="L142"/>
  <c r="L127"/>
  <c r="R11" i="26"/>
  <c r="L152" i="2"/>
  <c r="L145"/>
  <c r="L155"/>
  <c r="L136"/>
  <c r="L173" s="1"/>
  <c r="L156"/>
  <c r="L161"/>
  <c r="L153"/>
  <c r="L147"/>
  <c r="L146"/>
  <c r="L164"/>
  <c r="L201" s="1"/>
  <c r="L138"/>
  <c r="L149"/>
  <c r="L141"/>
  <c r="L144"/>
  <c r="L181" s="1"/>
  <c r="L154"/>
  <c r="L191" s="1"/>
  <c r="L137"/>
  <c r="L174" s="1"/>
  <c r="L162"/>
  <c r="L157"/>
  <c r="L148"/>
  <c r="L139"/>
  <c r="L150"/>
  <c r="Q159"/>
  <c r="Q143"/>
  <c r="Q144"/>
  <c r="Q146"/>
  <c r="Q153"/>
  <c r="Q156"/>
  <c r="Q139"/>
  <c r="Q152"/>
  <c r="Q163"/>
  <c r="Q200" s="1"/>
  <c r="Q157"/>
  <c r="Q194" s="1"/>
  <c r="Q162"/>
  <c r="Q149"/>
  <c r="Q154"/>
  <c r="Q191" s="1"/>
  <c r="Q150"/>
  <c r="Q137"/>
  <c r="Q164"/>
  <c r="Q142"/>
  <c r="Q127"/>
  <c r="Q140"/>
  <c r="Q177" s="1"/>
  <c r="Q161"/>
  <c r="Q158"/>
  <c r="Q195" s="1"/>
  <c r="Q151"/>
  <c r="Q188" s="1"/>
  <c r="Q138"/>
  <c r="Q175" s="1"/>
  <c r="Q145"/>
  <c r="Q155"/>
  <c r="Q192" s="1"/>
  <c r="Q147"/>
  <c r="Q148"/>
  <c r="Q141"/>
  <c r="Q136"/>
  <c r="Q173" s="1"/>
  <c r="W11" i="26"/>
  <c r="Q160" i="2"/>
  <c r="K157"/>
  <c r="K147"/>
  <c r="K184" s="1"/>
  <c r="K154"/>
  <c r="K150"/>
  <c r="K138"/>
  <c r="K152"/>
  <c r="K127"/>
  <c r="K156"/>
  <c r="K140"/>
  <c r="K151"/>
  <c r="K188" s="1"/>
  <c r="K142"/>
  <c r="K161"/>
  <c r="K136"/>
  <c r="K173" s="1"/>
  <c r="K139"/>
  <c r="K143"/>
  <c r="K180" s="1"/>
  <c r="K144"/>
  <c r="K145"/>
  <c r="K141"/>
  <c r="K160"/>
  <c r="K155"/>
  <c r="K149"/>
  <c r="K163"/>
  <c r="K137"/>
  <c r="K158"/>
  <c r="K164"/>
  <c r="Q11" i="26"/>
  <c r="K146" i="2"/>
  <c r="K148"/>
  <c r="K159"/>
  <c r="K162"/>
  <c r="K199" s="1"/>
  <c r="K153"/>
  <c r="P156"/>
  <c r="P162"/>
  <c r="P146"/>
  <c r="P164"/>
  <c r="P161"/>
  <c r="P155"/>
  <c r="P159"/>
  <c r="P150"/>
  <c r="P139"/>
  <c r="P137"/>
  <c r="P158"/>
  <c r="P195" s="1"/>
  <c r="P151"/>
  <c r="P188" s="1"/>
  <c r="P147"/>
  <c r="P153"/>
  <c r="P127"/>
  <c r="P144"/>
  <c r="P152"/>
  <c r="P136"/>
  <c r="P173" s="1"/>
  <c r="P149"/>
  <c r="P186" s="1"/>
  <c r="P148"/>
  <c r="P138"/>
  <c r="P140"/>
  <c r="P141"/>
  <c r="V11" i="26"/>
  <c r="P160" i="2"/>
  <c r="P143"/>
  <c r="P154"/>
  <c r="P157"/>
  <c r="P142"/>
  <c r="P163"/>
  <c r="P200" s="1"/>
  <c r="P145"/>
  <c r="P182" s="1"/>
  <c r="AE14" i="26"/>
  <c r="Y133" i="2"/>
  <c r="Y170" s="1"/>
  <c r="N160"/>
  <c r="N127"/>
  <c r="N155"/>
  <c r="N158"/>
  <c r="N157"/>
  <c r="N153"/>
  <c r="N151"/>
  <c r="N140"/>
  <c r="N149"/>
  <c r="N146"/>
  <c r="N159"/>
  <c r="T11" i="26"/>
  <c r="N141" i="2"/>
  <c r="N156"/>
  <c r="N193" s="1"/>
  <c r="N142"/>
  <c r="N162"/>
  <c r="N152"/>
  <c r="N143"/>
  <c r="N180" s="1"/>
  <c r="N161"/>
  <c r="N136"/>
  <c r="N173" s="1"/>
  <c r="N144"/>
  <c r="N139"/>
  <c r="N150"/>
  <c r="N154"/>
  <c r="N145"/>
  <c r="N182" s="1"/>
  <c r="N138"/>
  <c r="N163"/>
  <c r="N164"/>
  <c r="N148"/>
  <c r="N137"/>
  <c r="N174" s="1"/>
  <c r="N147"/>
  <c r="S141"/>
  <c r="S147"/>
  <c r="S127"/>
  <c r="S148"/>
  <c r="S145"/>
  <c r="S151"/>
  <c r="S150"/>
  <c r="S146"/>
  <c r="S152"/>
  <c r="S142"/>
  <c r="S162"/>
  <c r="S199" s="1"/>
  <c r="S153"/>
  <c r="S154"/>
  <c r="S149"/>
  <c r="S158"/>
  <c r="S164"/>
  <c r="S137"/>
  <c r="S138"/>
  <c r="S155"/>
  <c r="S192" s="1"/>
  <c r="Y11" i="26"/>
  <c r="S161" i="2"/>
  <c r="S156"/>
  <c r="S159"/>
  <c r="S196" s="1"/>
  <c r="S143"/>
  <c r="S139"/>
  <c r="S144"/>
  <c r="S140"/>
  <c r="S177" s="1"/>
  <c r="S160"/>
  <c r="S136"/>
  <c r="S173" s="1"/>
  <c r="S157"/>
  <c r="S194" s="1"/>
  <c r="S163"/>
  <c r="S200" s="1"/>
  <c r="AE12" i="26"/>
  <c r="Y134" i="2"/>
  <c r="Y171" s="1"/>
  <c r="Y135"/>
  <c r="M171"/>
  <c r="L172"/>
  <c r="M172"/>
  <c r="O171"/>
  <c r="K171"/>
  <c r="S171"/>
  <c r="U172"/>
  <c r="J172"/>
  <c r="K172"/>
  <c r="R171"/>
  <c r="T171"/>
  <c r="X172"/>
  <c r="Q172"/>
  <c r="H171"/>
  <c r="P171"/>
  <c r="W172"/>
  <c r="S195" l="1"/>
  <c r="S187"/>
  <c r="N175"/>
  <c r="N183"/>
  <c r="P191"/>
  <c r="P178"/>
  <c r="Q179"/>
  <c r="L198"/>
  <c r="L179"/>
  <c r="F193"/>
  <c r="V178"/>
  <c r="Y173"/>
  <c r="Y191"/>
  <c r="U198"/>
  <c r="U192"/>
  <c r="X192"/>
  <c r="X177"/>
  <c r="R195"/>
  <c r="M199"/>
  <c r="M179"/>
  <c r="M201"/>
  <c r="M185"/>
  <c r="M183"/>
  <c r="H184"/>
  <c r="O198"/>
  <c r="O182"/>
  <c r="G196"/>
  <c r="G201"/>
  <c r="W189"/>
  <c r="W185"/>
  <c r="T185"/>
  <c r="J181"/>
  <c r="J201"/>
  <c r="I196"/>
  <c r="S180"/>
  <c r="S190"/>
  <c r="S183"/>
  <c r="S185"/>
  <c r="N200"/>
  <c r="N187"/>
  <c r="N198"/>
  <c r="N179"/>
  <c r="N196"/>
  <c r="N192"/>
  <c r="P194"/>
  <c r="P185"/>
  <c r="P181"/>
  <c r="P201"/>
  <c r="K183"/>
  <c r="K174"/>
  <c r="K197"/>
  <c r="Q184"/>
  <c r="Q187"/>
  <c r="L185"/>
  <c r="L175"/>
  <c r="L190"/>
  <c r="L188"/>
  <c r="F195"/>
  <c r="F176"/>
  <c r="V201"/>
  <c r="V181"/>
  <c r="V184"/>
  <c r="V190"/>
  <c r="E192"/>
  <c r="E198"/>
  <c r="E172"/>
  <c r="Y176"/>
  <c r="Y199"/>
  <c r="Y182"/>
  <c r="Y189"/>
  <c r="Y179"/>
  <c r="U196"/>
  <c r="X195"/>
  <c r="X183"/>
  <c r="X190"/>
  <c r="R182"/>
  <c r="R187"/>
  <c r="R179"/>
  <c r="M196"/>
  <c r="M188"/>
  <c r="H178"/>
  <c r="H176"/>
  <c r="H188"/>
  <c r="H195"/>
  <c r="O186"/>
  <c r="G182"/>
  <c r="G199"/>
  <c r="G186"/>
  <c r="G176"/>
  <c r="W178"/>
  <c r="W182"/>
  <c r="W194"/>
  <c r="T198"/>
  <c r="T193"/>
  <c r="T196"/>
  <c r="T178"/>
  <c r="J189"/>
  <c r="J196"/>
  <c r="I188"/>
  <c r="I186"/>
  <c r="N190"/>
  <c r="K178"/>
  <c r="K176"/>
  <c r="K189"/>
  <c r="Q190"/>
  <c r="L194"/>
  <c r="J200"/>
  <c r="S176"/>
  <c r="S189"/>
  <c r="S182"/>
  <c r="N195"/>
  <c r="P175"/>
  <c r="P193"/>
  <c r="K195"/>
  <c r="K187"/>
  <c r="Q199"/>
  <c r="L184"/>
  <c r="L200"/>
  <c r="F200"/>
  <c r="F190"/>
  <c r="F174"/>
  <c r="F185"/>
  <c r="E174"/>
  <c r="Y187"/>
  <c r="Y201"/>
  <c r="U187"/>
  <c r="U201"/>
  <c r="X185"/>
  <c r="X182"/>
  <c r="X175"/>
  <c r="R193"/>
  <c r="R190"/>
  <c r="R174"/>
  <c r="M175"/>
  <c r="H192"/>
  <c r="H187"/>
  <c r="H198"/>
  <c r="O185"/>
  <c r="O180"/>
  <c r="O196"/>
  <c r="O193"/>
  <c r="G178"/>
  <c r="G181"/>
  <c r="G198"/>
  <c r="W180"/>
  <c r="W193"/>
  <c r="W174"/>
  <c r="T195"/>
  <c r="T188"/>
  <c r="T191"/>
  <c r="J195"/>
  <c r="I190"/>
  <c r="P196"/>
  <c r="K200"/>
  <c r="Q196"/>
  <c r="V194"/>
  <c r="X197"/>
  <c r="R196"/>
  <c r="E181"/>
  <c r="X200"/>
  <c r="R197"/>
  <c r="G188"/>
  <c r="S197"/>
  <c r="S201"/>
  <c r="P187"/>
  <c r="K190"/>
  <c r="K191"/>
  <c r="Q180"/>
  <c r="L192"/>
  <c r="F182"/>
  <c r="F180"/>
  <c r="V195"/>
  <c r="E182"/>
  <c r="E185"/>
  <c r="Y177"/>
  <c r="Y194"/>
  <c r="U199"/>
  <c r="U175"/>
  <c r="M193"/>
  <c r="O174"/>
  <c r="O176"/>
  <c r="O200"/>
  <c r="J191"/>
  <c r="G103"/>
  <c r="F112"/>
  <c r="E196"/>
  <c r="E195"/>
  <c r="E201"/>
  <c r="E200"/>
  <c r="N176"/>
  <c r="P183"/>
  <c r="L182"/>
  <c r="V193"/>
  <c r="H200"/>
  <c r="J182"/>
  <c r="I198"/>
  <c r="N184"/>
  <c r="N188"/>
  <c r="K179"/>
  <c r="Q193"/>
  <c r="L195"/>
  <c r="F196"/>
  <c r="F177"/>
  <c r="V174"/>
  <c r="E178"/>
  <c r="E189"/>
  <c r="X198"/>
  <c r="X178"/>
  <c r="R177"/>
  <c r="R198"/>
  <c r="M181"/>
  <c r="M189"/>
  <c r="O199"/>
  <c r="O177"/>
  <c r="O188"/>
  <c r="G191"/>
  <c r="G189"/>
  <c r="W198"/>
  <c r="W183"/>
  <c r="W200"/>
  <c r="T180"/>
  <c r="J190"/>
  <c r="J183"/>
  <c r="J185"/>
  <c r="I176"/>
  <c r="I174"/>
  <c r="S198"/>
  <c r="S174"/>
  <c r="S191"/>
  <c r="S178"/>
  <c r="N201"/>
  <c r="N191"/>
  <c r="N199"/>
  <c r="N177"/>
  <c r="P179"/>
  <c r="P197"/>
  <c r="P189"/>
  <c r="P184"/>
  <c r="P176"/>
  <c r="P198"/>
  <c r="K185"/>
  <c r="K192"/>
  <c r="K181"/>
  <c r="K198"/>
  <c r="K193"/>
  <c r="Q197"/>
  <c r="Q185"/>
  <c r="Q174"/>
  <c r="Q176"/>
  <c r="Q181"/>
  <c r="L176"/>
  <c r="L186"/>
  <c r="L180"/>
  <c r="F178"/>
  <c r="F183"/>
  <c r="F197"/>
  <c r="F187"/>
  <c r="V175"/>
  <c r="V200"/>
  <c r="V176"/>
  <c r="V197"/>
  <c r="V179"/>
  <c r="E190"/>
  <c r="E186"/>
  <c r="E194"/>
  <c r="E187"/>
  <c r="E175"/>
  <c r="E183"/>
  <c r="E171"/>
  <c r="Y183"/>
  <c r="Y196"/>
  <c r="Y178"/>
  <c r="Y192"/>
  <c r="Y197"/>
  <c r="U193"/>
  <c r="U194"/>
  <c r="U180"/>
  <c r="X180"/>
  <c r="X201"/>
  <c r="X187"/>
  <c r="X193"/>
  <c r="R181"/>
  <c r="R188"/>
  <c r="R184"/>
  <c r="R199"/>
  <c r="M186"/>
  <c r="M190"/>
  <c r="M194"/>
  <c r="M197"/>
  <c r="M195"/>
  <c r="M191"/>
  <c r="H189"/>
  <c r="H194"/>
  <c r="H201"/>
  <c r="H181"/>
  <c r="O189"/>
  <c r="O178"/>
  <c r="G179"/>
  <c r="G184"/>
  <c r="G192"/>
  <c r="W176"/>
  <c r="W196"/>
  <c r="W190"/>
  <c r="W186"/>
  <c r="T199"/>
  <c r="T201"/>
  <c r="J186"/>
  <c r="J177"/>
  <c r="J174"/>
  <c r="J187"/>
  <c r="I187"/>
  <c r="I179"/>
  <c r="I193"/>
  <c r="I180"/>
  <c r="I199"/>
  <c r="Y172"/>
  <c r="S181"/>
  <c r="S193"/>
  <c r="S175"/>
  <c r="S186"/>
  <c r="S179"/>
  <c r="S188"/>
  <c r="S184"/>
  <c r="N185"/>
  <c r="N181"/>
  <c r="N189"/>
  <c r="N178"/>
  <c r="N186"/>
  <c r="N194"/>
  <c r="N197"/>
  <c r="P180"/>
  <c r="P177"/>
  <c r="P190"/>
  <c r="P174"/>
  <c r="P192"/>
  <c r="P199"/>
  <c r="K196"/>
  <c r="K201"/>
  <c r="K186"/>
  <c r="K182"/>
  <c r="K177"/>
  <c r="K175"/>
  <c r="K194"/>
  <c r="Q178"/>
  <c r="Q182"/>
  <c r="Q198"/>
  <c r="Q201"/>
  <c r="Q186"/>
  <c r="Q189"/>
  <c r="Q183"/>
  <c r="L187"/>
  <c r="L199"/>
  <c r="L178"/>
  <c r="L183"/>
  <c r="L193"/>
  <c r="L189"/>
  <c r="L196"/>
  <c r="F199"/>
  <c r="F194"/>
  <c r="F189"/>
  <c r="F175"/>
  <c r="F192"/>
  <c r="F184"/>
  <c r="V177"/>
  <c r="V186"/>
  <c r="V187"/>
  <c r="V182"/>
  <c r="E173"/>
  <c r="E191"/>
  <c r="Y185"/>
  <c r="Y188"/>
  <c r="Y181"/>
  <c r="Y186"/>
  <c r="Y190"/>
  <c r="Y175"/>
  <c r="Y200"/>
  <c r="U184"/>
  <c r="U197"/>
  <c r="U200"/>
  <c r="U195"/>
  <c r="U190"/>
  <c r="U191"/>
  <c r="U185"/>
  <c r="X176"/>
  <c r="X184"/>
  <c r="X174"/>
  <c r="X194"/>
  <c r="X189"/>
  <c r="X181"/>
  <c r="X191"/>
  <c r="R178"/>
  <c r="R194"/>
  <c r="R189"/>
  <c r="R185"/>
  <c r="R192"/>
  <c r="M200"/>
  <c r="M184"/>
  <c r="M198"/>
  <c r="M187"/>
  <c r="M177"/>
  <c r="M182"/>
  <c r="M174"/>
  <c r="M178"/>
  <c r="H182"/>
  <c r="H197"/>
  <c r="H183"/>
  <c r="H186"/>
  <c r="H190"/>
  <c r="H177"/>
  <c r="H175"/>
  <c r="O192"/>
  <c r="O201"/>
  <c r="O197"/>
  <c r="O184"/>
  <c r="O179"/>
  <c r="O195"/>
  <c r="O181"/>
  <c r="G175"/>
  <c r="G185"/>
  <c r="G180"/>
  <c r="G197"/>
  <c r="G177"/>
  <c r="G194"/>
  <c r="G200"/>
  <c r="W179"/>
  <c r="W188"/>
  <c r="W181"/>
  <c r="W184"/>
  <c r="W192"/>
  <c r="W177"/>
  <c r="T177"/>
  <c r="T186"/>
  <c r="T197"/>
  <c r="T194"/>
  <c r="T184"/>
  <c r="T190"/>
  <c r="J188"/>
  <c r="J192"/>
  <c r="J198"/>
  <c r="J179"/>
  <c r="J193"/>
  <c r="I195"/>
  <c r="I189"/>
  <c r="I201"/>
  <c r="I183"/>
  <c r="I185"/>
  <c r="J203" l="1"/>
  <c r="R203"/>
  <c r="G203"/>
  <c r="M203"/>
  <c r="P203"/>
  <c r="T203"/>
  <c r="V203"/>
  <c r="N203"/>
  <c r="E203"/>
  <c r="Q203"/>
  <c r="H203"/>
  <c r="I203"/>
  <c r="Y204"/>
  <c r="S203"/>
  <c r="O203"/>
  <c r="L203"/>
  <c r="U203"/>
  <c r="F203"/>
  <c r="W203"/>
  <c r="G112"/>
  <c r="H103"/>
  <c r="X203"/>
  <c r="K203"/>
  <c r="E204" l="1"/>
  <c r="F204" s="1"/>
  <c r="G204" s="1"/>
  <c r="H204" s="1"/>
  <c r="I204" s="1"/>
  <c r="J204" s="1"/>
  <c r="K204" s="1"/>
  <c r="L204" s="1"/>
  <c r="M204" s="1"/>
  <c r="N204" s="1"/>
  <c r="O204" s="1"/>
  <c r="P204" s="1"/>
  <c r="Q204" s="1"/>
  <c r="R204" s="1"/>
  <c r="S204" s="1"/>
  <c r="T204" s="1"/>
  <c r="U204" s="1"/>
  <c r="V204" s="1"/>
  <c r="W204" s="1"/>
  <c r="X204" s="1"/>
  <c r="I103"/>
  <c r="H112"/>
  <c r="J103" l="1"/>
  <c r="I112"/>
  <c r="K103" l="1"/>
  <c r="J112"/>
  <c r="K112" l="1"/>
  <c r="L103"/>
  <c r="L112" l="1"/>
  <c r="M103"/>
  <c r="M112" l="1"/>
  <c r="N103"/>
  <c r="O103" l="1"/>
  <c r="N112"/>
  <c r="O112" l="1"/>
  <c r="P103"/>
  <c r="P112" l="1"/>
  <c r="Q103"/>
  <c r="R103" l="1"/>
  <c r="Q112"/>
  <c r="S103" l="1"/>
  <c r="R112"/>
  <c r="T103" l="1"/>
  <c r="S112"/>
  <c r="T112" l="1"/>
  <c r="U103"/>
  <c r="U112" l="1"/>
  <c r="V103"/>
  <c r="W103" l="1"/>
  <c r="V112"/>
  <c r="W112" l="1"/>
  <c r="X103"/>
  <c r="X112" s="1"/>
</calcChain>
</file>

<file path=xl/comments1.xml><?xml version="1.0" encoding="utf-8"?>
<comments xmlns="http://schemas.openxmlformats.org/spreadsheetml/2006/main">
  <authors>
    <author>Charlie Grist</author>
  </authors>
  <commentList>
    <comment ref="A1" authorId="0">
      <text>
        <r>
          <rPr>
            <b/>
            <sz val="9"/>
            <color indexed="81"/>
            <rFont val="Tahoma"/>
            <family val="2"/>
          </rPr>
          <t>Charlie Grist:</t>
        </r>
        <r>
          <rPr>
            <sz val="9"/>
            <color indexed="81"/>
            <rFont val="Tahoma"/>
            <family val="2"/>
          </rPr>
          <t xml:space="preserve">
Lookup in ComMaster</t>
        </r>
      </text>
    </comment>
    <comment ref="B1" authorId="0">
      <text>
        <r>
          <rPr>
            <b/>
            <sz val="9"/>
            <color indexed="81"/>
            <rFont val="Tahoma"/>
            <family val="2"/>
          </rPr>
          <t>Charlie Grist:</t>
        </r>
        <r>
          <rPr>
            <sz val="9"/>
            <color indexed="81"/>
            <rFont val="Tahoma"/>
            <family val="2"/>
          </rPr>
          <t xml:space="preserve">
New, NR, Retro</t>
        </r>
      </text>
    </comment>
    <comment ref="C1" authorId="0">
      <text>
        <r>
          <rPr>
            <b/>
            <sz val="9"/>
            <color indexed="81"/>
            <rFont val="Tahoma"/>
            <family val="2"/>
          </rPr>
          <t>Charlie Grist:</t>
        </r>
        <r>
          <rPr>
            <sz val="9"/>
            <color indexed="81"/>
            <rFont val="Tahoma"/>
            <family val="2"/>
          </rPr>
          <t xml:space="preserve">
Measure Index Name</t>
        </r>
      </text>
    </comment>
    <comment ref="E1" authorId="0">
      <text>
        <r>
          <rPr>
            <b/>
            <sz val="9"/>
            <color indexed="81"/>
            <rFont val="Tahoma"/>
            <family val="2"/>
          </rPr>
          <t>Charlie Grist:</t>
        </r>
        <r>
          <rPr>
            <sz val="9"/>
            <color indexed="81"/>
            <rFont val="Tahoma"/>
            <family val="2"/>
          </rPr>
          <t xml:space="preserve">
Use Massoud's Names</t>
        </r>
      </text>
    </comment>
    <comment ref="F1" authorId="0">
      <text>
        <r>
          <rPr>
            <b/>
            <sz val="9"/>
            <color indexed="81"/>
            <rFont val="Tahoma"/>
            <family val="2"/>
          </rPr>
          <t>Charlie Grist:</t>
        </r>
        <r>
          <rPr>
            <sz val="9"/>
            <color indexed="81"/>
            <rFont val="Tahoma"/>
            <family val="2"/>
          </rPr>
          <t xml:space="preserve">
From Shaped Savings column 14</t>
        </r>
      </text>
    </comment>
    <comment ref="G1" authorId="0">
      <text>
        <r>
          <rPr>
            <b/>
            <sz val="9"/>
            <color indexed="81"/>
            <rFont val="Tahoma"/>
            <family val="2"/>
          </rPr>
          <t>Charlie Grist:</t>
        </r>
        <r>
          <rPr>
            <sz val="9"/>
            <color indexed="81"/>
            <rFont val="Tahoma"/>
            <family val="2"/>
          </rPr>
          <t xml:space="preserve">
From SC or from Shaped Savings column 3.
</t>
        </r>
      </text>
    </comment>
    <comment ref="H1" authorId="0">
      <text>
        <r>
          <rPr>
            <b/>
            <sz val="9"/>
            <color indexed="81"/>
            <rFont val="Tahoma"/>
            <family val="2"/>
          </rPr>
          <t>Charlie Grist:</t>
        </r>
        <r>
          <rPr>
            <sz val="9"/>
            <color indexed="81"/>
            <rFont val="Tahoma"/>
            <family val="2"/>
          </rPr>
          <t xml:space="preserve">
From SC or from Shaped Savings column K (column 11)</t>
        </r>
      </text>
    </comment>
    <comment ref="I1" authorId="0">
      <text>
        <r>
          <rPr>
            <b/>
            <sz val="9"/>
            <color indexed="81"/>
            <rFont val="Tahoma"/>
            <family val="2"/>
          </rPr>
          <t>Charlie Grist:</t>
        </r>
        <r>
          <rPr>
            <sz val="9"/>
            <color indexed="81"/>
            <rFont val="Tahoma"/>
            <family val="2"/>
          </rPr>
          <t xml:space="preserve">
From SC</t>
        </r>
      </text>
    </comment>
    <comment ref="J1" authorId="0">
      <text>
        <r>
          <rPr>
            <b/>
            <sz val="9"/>
            <color indexed="81"/>
            <rFont val="Tahoma"/>
            <family val="2"/>
          </rPr>
          <t>Charlie Grist:</t>
        </r>
        <r>
          <rPr>
            <sz val="9"/>
            <color indexed="81"/>
            <rFont val="Tahoma"/>
            <family val="2"/>
          </rPr>
          <t xml:space="preserve">
From SC</t>
        </r>
      </text>
    </comment>
    <comment ref="K1" authorId="0">
      <text>
        <r>
          <rPr>
            <b/>
            <sz val="9"/>
            <color indexed="81"/>
            <rFont val="Tahoma"/>
            <family val="2"/>
          </rPr>
          <t>Charlie Grist:</t>
        </r>
        <r>
          <rPr>
            <sz val="9"/>
            <color indexed="81"/>
            <rFont val="Tahoma"/>
            <family val="2"/>
          </rPr>
          <t xml:space="preserve">
From SC</t>
        </r>
      </text>
    </comment>
    <comment ref="AF1" authorId="0">
      <text>
        <r>
          <rPr>
            <b/>
            <sz val="9"/>
            <color indexed="81"/>
            <rFont val="Tahoma"/>
            <family val="2"/>
          </rPr>
          <t>Charlie Grist:</t>
        </r>
        <r>
          <rPr>
            <sz val="9"/>
            <color indexed="81"/>
            <rFont val="Tahoma"/>
            <family val="2"/>
          </rPr>
          <t xml:space="preserve">
From Shaped Savings.  Copy whole row down since column increment is hardwired into formula.</t>
        </r>
      </text>
    </comment>
  </commentList>
</comments>
</file>

<file path=xl/comments2.xml><?xml version="1.0" encoding="utf-8"?>
<comments xmlns="http://schemas.openxmlformats.org/spreadsheetml/2006/main">
  <authors>
    <author>Charlie Grist</author>
  </authors>
  <commentList>
    <comment ref="A6" authorId="0">
      <text>
        <r>
          <rPr>
            <b/>
            <sz val="9"/>
            <color indexed="81"/>
            <rFont val="Tahoma"/>
            <family val="2"/>
          </rPr>
          <t>Charlie Grist:</t>
        </r>
        <r>
          <rPr>
            <sz val="9"/>
            <color indexed="81"/>
            <rFont val="Tahoma"/>
            <family val="2"/>
          </rPr>
          <t xml:space="preserve">
Link this to central switch SOMEPLACE.   Use to switch forecast.</t>
        </r>
      </text>
    </comment>
  </commentList>
</comments>
</file>

<file path=xl/comments3.xml><?xml version="1.0" encoding="utf-8"?>
<comments xmlns="http://schemas.openxmlformats.org/spreadsheetml/2006/main">
  <authors>
    <author xml:space="preserve"> </author>
    <author>Charlie Grist</author>
  </authors>
  <commentList>
    <comment ref="I6" authorId="0">
      <text>
        <r>
          <rPr>
            <b/>
            <sz val="8"/>
            <color indexed="81"/>
            <rFont val="Tahoma"/>
            <family val="2"/>
          </rPr>
          <t xml:space="preserve"> :ProCost</t>
        </r>
        <r>
          <rPr>
            <sz val="8"/>
            <color indexed="81"/>
            <rFont val="Tahoma"/>
            <family val="2"/>
          </rPr>
          <t xml:space="preserve">
Perioodic replacement costs and savinsg of the measure.
These are costs and savings that occur periodicially, but at different periods than annually.  
Can be positive or negative.  Periodic replacement costs for both the measure and the baseline measure should be included if applicable. 
ProCost can analysze these costs in two ways dependent on the 'Repeat Periodic Replacemetn' switch in the ProData page.  When set to 'On',  ProCost repeats  replacement costs for multiple times over the life of a measure depending on the  input period and measure life.  For example fluorescent lamps may have a 4-year replacement cycle that repeats 3 times in a 15-year measure life.  When set to 'Off', ProCost reads the period as the year after installation that the replacement cost occurs and does not subsequently  reinstall or repeat the replacement costs.  For example a compressor may be replaced only once in the life of a heat-pump system.
Example:  A new fluorescent lighting systems may have a measure life of 15 years, and a  lamp life of five years. Two lamps lamps per fixture must be replaced at years 6 and 11.  Lamp and labor costs, expressed as positive costs, are entered as a cost and the period would be enetered as 5.   The baseline measure may have a four year lamp life and would have required a three-lamp replacement at years 5, 9 and 13.  Lamp and labor replacement costs would be entered as annual savings in dollars with a 4-year period.  ProCost determines the net present value of the two cost streams.   </t>
        </r>
      </text>
    </comment>
    <comment ref="O6" authorId="0">
      <text>
        <r>
          <rPr>
            <b/>
            <sz val="8"/>
            <color indexed="81"/>
            <rFont val="Tahoma"/>
            <family val="2"/>
          </rPr>
          <t xml:space="preserve"> :ProCost</t>
        </r>
        <r>
          <rPr>
            <sz val="8"/>
            <color indexed="81"/>
            <rFont val="Tahoma"/>
            <family val="2"/>
          </rPr>
          <t xml:space="preserve">
If the measure has gas savings for incfreases, enter the annual savings and shape of the savings here.
Example:  Clothes washer saves electric motor and dryer energy and gas water heat.  </t>
        </r>
      </text>
    </comment>
    <comment ref="A7" authorId="0">
      <text>
        <r>
          <rPr>
            <b/>
            <sz val="8"/>
            <color indexed="81"/>
            <rFont val="Tahoma"/>
            <family val="2"/>
          </rPr>
          <t xml:space="preserve"> :Procost</t>
        </r>
        <r>
          <rPr>
            <sz val="8"/>
            <color indexed="81"/>
            <rFont val="Tahoma"/>
            <family val="2"/>
          </rPr>
          <t xml:space="preserve">
Category for the measure.  
Individual measures can be grouped into categories.  Procost output is reported by measure and by category.  
All measures must belong to at least one category.  Category name can be the same as measure name.  
Example:  Measures can be combined into one category if they have components with different load shapes or measure lives.  On wash machines there may be one load shape for the electric motor savings component, a second load shape for the electric water heat savings component and a third shape for electric dryer savings component.</t>
        </r>
      </text>
    </comment>
    <comment ref="B7" authorId="0">
      <text>
        <r>
          <rPr>
            <b/>
            <sz val="8"/>
            <color indexed="81"/>
            <rFont val="Tahoma"/>
            <family val="2"/>
          </rPr>
          <t xml:space="preserve"> :ProCost
</t>
        </r>
        <r>
          <rPr>
            <sz val="8"/>
            <color indexed="81"/>
            <rFont val="Tahoma"/>
            <family val="2"/>
          </rPr>
          <t>Name of Measure.  User-defined.  
For PTR measures, defined naming conventions apply.</t>
        </r>
        <r>
          <rPr>
            <sz val="8"/>
            <color indexed="81"/>
            <rFont val="Tahoma"/>
            <family val="2"/>
          </rPr>
          <t xml:space="preserve">
</t>
        </r>
      </text>
    </comment>
    <comment ref="C7" authorId="0">
      <text>
        <r>
          <rPr>
            <b/>
            <sz val="8"/>
            <color indexed="81"/>
            <rFont val="Tahoma"/>
            <family val="2"/>
          </rPr>
          <t xml:space="preserve"> :ProCost</t>
        </r>
        <r>
          <rPr>
            <sz val="8"/>
            <color indexed="81"/>
            <rFont val="Tahoma"/>
            <family val="2"/>
          </rPr>
          <t xml:space="preserve">
Annual electric savings for the measure in kWh at the site.  May be positive, negative or zero.
Savings are incremental to the baseline alternative.</t>
        </r>
      </text>
    </comment>
    <comment ref="D7" authorId="0">
      <text>
        <r>
          <rPr>
            <b/>
            <sz val="8"/>
            <color indexed="81"/>
            <rFont val="Tahoma"/>
            <family val="2"/>
          </rPr>
          <t xml:space="preserve"> :ProCost</t>
        </r>
        <r>
          <rPr>
            <sz val="8"/>
            <color indexed="81"/>
            <rFont val="Tahoma"/>
            <family val="2"/>
          </rPr>
          <t xml:space="preserve">
Physical life of the measure in years.  Must be &gt;=1.</t>
        </r>
      </text>
    </comment>
    <comment ref="E7" authorId="0">
      <text>
        <r>
          <rPr>
            <b/>
            <sz val="8"/>
            <color indexed="81"/>
            <rFont val="Tahoma"/>
            <family val="2"/>
          </rPr>
          <t xml:space="preserve"> :ProCost</t>
        </r>
        <r>
          <rPr>
            <sz val="8"/>
            <color indexed="81"/>
            <rFont val="Tahoma"/>
            <family val="2"/>
          </rPr>
          <t xml:space="preserve">
Initial cost to install the measure in dollars.  Costs are incremental to the baseline alternative.
Dollars must be denominated in the same year as 'Input Cost Reference Year' input on the ProData page.</t>
        </r>
      </text>
    </comment>
    <comment ref="F7" authorId="0">
      <text>
        <r>
          <rPr>
            <b/>
            <sz val="8"/>
            <color indexed="81"/>
            <rFont val="Tahoma"/>
            <family val="2"/>
          </rPr>
          <t xml:space="preserve"> :ProCost</t>
        </r>
        <r>
          <rPr>
            <sz val="8"/>
            <color indexed="81"/>
            <rFont val="Tahoma"/>
            <family val="2"/>
          </rPr>
          <t xml:space="preserve">
Annaul opperations and maintenace cost for the measure in dollars.  Must be incremental cost over the baseline alternative.  May be positive, negative or zero.  
Dollars must be denominated in the same year as 'Input Cost Reference Year' input on the ProData page. 
O&amp;M costs are enetered as positive values.    Negative values represent O&amp;M savings compared to the baseline alternative. 
Example:  Annualized maintenace cost for a heat pump heating system compared to a baseline electric resistance  heating system.
</t>
        </r>
      </text>
    </comment>
    <comment ref="G7" authorId="0">
      <text>
        <r>
          <rPr>
            <b/>
            <sz val="8"/>
            <color indexed="81"/>
            <rFont val="Tahoma"/>
            <family val="2"/>
          </rPr>
          <t xml:space="preserve"> :ProCost</t>
        </r>
        <r>
          <rPr>
            <sz val="8"/>
            <color indexed="81"/>
            <rFont val="Tahoma"/>
            <family val="2"/>
          </rPr>
          <t xml:space="preserve">
Name of the pointer to the shape of the savings.  
The shapes represent the daily and monthly shape of the savings in four time segments for each month of the year.  Shape of the savings is relative to the baseline alternative.
These shaps are in the MC_AND_Loadshape file.   
</t>
        </r>
      </text>
    </comment>
    <comment ref="H7" authorId="0">
      <text>
        <r>
          <rPr>
            <b/>
            <sz val="8"/>
            <color indexed="81"/>
            <rFont val="Tahoma"/>
            <family val="2"/>
          </rPr>
          <t xml:space="preserve"> :ProCost</t>
        </r>
        <r>
          <rPr>
            <sz val="8"/>
            <color indexed="81"/>
            <rFont val="Tahoma"/>
            <family val="2"/>
          </rPr>
          <t xml:space="preserve">
Annual value of any non-energy benefits of the measure, relative to the baseline alternative.  
Expressed in dollars per year and denominated in dollars of the 'Cost Reference Year'.
Positive value represents dollar savings.  Negative value represents dollar cost.
Example:  Water, detergent and sewer savings from efficient clothes washer.</t>
        </r>
      </text>
    </comment>
    <comment ref="I7" authorId="0">
      <text>
        <r>
          <rPr>
            <b/>
            <sz val="8"/>
            <color indexed="81"/>
            <rFont val="Tahoma"/>
            <family val="2"/>
          </rPr>
          <t xml:space="preserve"> :</t>
        </r>
        <r>
          <rPr>
            <sz val="8"/>
            <color indexed="81"/>
            <rFont val="Tahoma"/>
            <family val="2"/>
          </rPr>
          <t xml:space="preserve">
Cost in dollars that is incurred  for Period 1.  Positive value if cost.  Negative value if savings.
Dollars must be denominated in the same year as 'Input Cost Reference Year' input on the ProData page.</t>
        </r>
      </text>
    </comment>
    <comment ref="J7" authorId="0">
      <text>
        <r>
          <rPr>
            <b/>
            <sz val="8"/>
            <color indexed="81"/>
            <rFont val="Tahoma"/>
            <family val="2"/>
          </rPr>
          <t xml:space="preserve"> :ProCost</t>
        </r>
        <r>
          <rPr>
            <sz val="8"/>
            <color indexed="81"/>
            <rFont val="Tahoma"/>
            <family val="2"/>
          </rPr>
          <t xml:space="preserve">
Duration of Period1.  The time at which  Period 1 costs, or savings, occur.  
In years.</t>
        </r>
      </text>
    </comment>
    <comment ref="K7" authorId="0">
      <text>
        <r>
          <rPr>
            <b/>
            <sz val="8"/>
            <color indexed="81"/>
            <rFont val="Tahoma"/>
            <family val="2"/>
          </rPr>
          <t xml:space="preserve"> :</t>
        </r>
        <r>
          <rPr>
            <sz val="8"/>
            <color indexed="81"/>
            <rFont val="Tahoma"/>
            <family val="2"/>
          </rPr>
          <t xml:space="preserve">
Cost in dollars that is incurred  for Period 2  Positive value if cost.  Negative value if savings.
Dollars must be denominated in the same year as 'Input Cost Reference Year' input on the ProData page.</t>
        </r>
      </text>
    </comment>
    <comment ref="L7" authorId="0">
      <text>
        <r>
          <rPr>
            <b/>
            <sz val="8"/>
            <color indexed="81"/>
            <rFont val="Tahoma"/>
            <family val="2"/>
          </rPr>
          <t xml:space="preserve"> :ProCost</t>
        </r>
        <r>
          <rPr>
            <sz val="8"/>
            <color indexed="81"/>
            <rFont val="Tahoma"/>
            <family val="2"/>
          </rPr>
          <t xml:space="preserve">
Duration of Period 2.  The time at which  Period 2 costs, or savings, occur.  
In years.</t>
        </r>
      </text>
    </comment>
    <comment ref="M7" authorId="0">
      <text>
        <r>
          <rPr>
            <b/>
            <sz val="8"/>
            <color indexed="81"/>
            <rFont val="Tahoma"/>
            <family val="2"/>
          </rPr>
          <t xml:space="preserve"> :</t>
        </r>
        <r>
          <rPr>
            <sz val="8"/>
            <color indexed="81"/>
            <rFont val="Tahoma"/>
            <family val="2"/>
          </rPr>
          <t xml:space="preserve">
Cost in dollars that is incurred  for Period 3.  Positive value if cost.  Negative value if savings.
Dollars must be denominated in the same year as 'Input Cost Reference Year' input on the ProData page.</t>
        </r>
      </text>
    </comment>
    <comment ref="N7" authorId="0">
      <text>
        <r>
          <rPr>
            <b/>
            <sz val="8"/>
            <color indexed="81"/>
            <rFont val="Tahoma"/>
            <family val="2"/>
          </rPr>
          <t xml:space="preserve"> :ProCost</t>
        </r>
        <r>
          <rPr>
            <sz val="8"/>
            <color indexed="81"/>
            <rFont val="Tahoma"/>
            <family val="2"/>
          </rPr>
          <t xml:space="preserve">
Duration of Period 3.  The time at which  Period 3 costs, or savings, occur.  
In years.</t>
        </r>
      </text>
    </comment>
    <comment ref="O7" authorId="0">
      <text>
        <r>
          <rPr>
            <b/>
            <sz val="8"/>
            <color indexed="81"/>
            <rFont val="Tahoma"/>
            <family val="2"/>
          </rPr>
          <t xml:space="preserve"> :</t>
        </r>
        <r>
          <rPr>
            <sz val="8"/>
            <color indexed="81"/>
            <rFont val="Tahoma"/>
            <family val="2"/>
          </rPr>
          <t xml:space="preserve">
Annual gas savings, or increases, in therms.</t>
        </r>
      </text>
    </comment>
    <comment ref="P7" authorId="0">
      <text>
        <r>
          <rPr>
            <b/>
            <sz val="8"/>
            <color indexed="81"/>
            <rFont val="Tahoma"/>
            <family val="2"/>
          </rPr>
          <t xml:space="preserve"> :ProCost</t>
        </r>
        <r>
          <rPr>
            <sz val="8"/>
            <color indexed="81"/>
            <rFont val="Tahoma"/>
            <family val="2"/>
          </rPr>
          <t xml:space="preserve">
Name of the pointer to the shape of the savings.  
The shapes represent the daily and monthly shape of the savings in four time segments for each month of the year.  Shape of the savings is relative to the baseline alternative.
These shaps are in the MC_AND_Loadshape file.   
</t>
        </r>
      </text>
    </comment>
    <comment ref="BH58" authorId="1">
      <text>
        <r>
          <rPr>
            <sz val="9"/>
            <color indexed="81"/>
            <rFont val="Tahoma"/>
            <family val="2"/>
          </rPr>
          <t>Direct and program administrative costs incurred by the utility system minus benefits that accrue to the utility system.There are separate Utility System Net Levelized Costs for the electric and the gas system.  
Utility system benefits include deferred transmission and distribution system capacity, risk-mitigation and Regional Act credit all of which are user-determined inputs.Utility System benefits do not include any  non-energy benefits  such as, other-fuel benefits, O&amp;M benefits or periodic replacement benefits which generally accrue to the customer or to non-utility sponsors.
Utility System Net Levelized Costs correspond to Utility System B/C ratio with regard to the costs and benefits included.  Benefits are subtracted from costs, then levelized over the life of the measure
The Risk-Mitigation credit is used to determine program cost-effectiveness and impacts both the Utility System B/C ratio and the Utility System Net Levelized Cost.  If the Risk-Mitigation credit is non-zero, the Utility System Net Levelized Cost will be reduced by the Risk-Mitigation benefit.
When using ProCost to build conservation supply curves, the user should set the Risk-Mitigation Credit to zero so the credit is not reflected in the supply curves.</t>
        </r>
      </text>
    </comment>
    <comment ref="BM58" authorId="1">
      <text>
        <r>
          <rPr>
            <sz val="9"/>
            <color indexed="81"/>
            <rFont val="Tahoma"/>
            <family val="2"/>
          </rPr>
          <t>Direct and program administrative costs of the measure to sponsor.  Separate costs for each sponsor.
Depends on share of costs incurred by sponsor, sponsor cost of capital, and financing term which are user-defined inputs.  Includes applicable Capital, O&amp;M, Periodic Replacement and Program Administrative costs.  Sponsor costs are levelized over program life.
Does not include any adjustments for benefit.
NOTE:  Units are per kWh for 'Electric' runs and per therm for 'Gas' runs for all sponsors.</t>
        </r>
      </text>
    </comment>
    <comment ref="CE58" authorId="1">
      <text>
        <r>
          <rPr>
            <sz val="9"/>
            <color indexed="81"/>
            <rFont val="Tahoma"/>
            <family val="2"/>
          </rPr>
          <t xml:space="preserve">All costs minus all benefits regardless of which sponsor incurs the cost or accrues the benefits.
TRC Net Levelized Cost includes all applicable costs and all benefits.  In addition to energy system costs and benefits, TRC Net Levelized Cost includes non-energy, other-fuel, O&amp;M, periodic-replacement and risk-mitigation benefits and costs.
TRC Net Levelized Cost corresponds to TRC B/C ratios with regard to the costs and benefits included.  Benefits are subtracted from costs, then levelized over the life of the measure.
The Risk-Mitigation credit is used to determine program cost-effectiveness and impacts both the TRC B/C ratio and the TRC Net Levelized Cost.  If Risk-Mitigation credit is non-zero, TRC Levelized Cost will be reduced by the risk-mitigation benefit.
When using ProCost to build conservation supply curves, the user should set the Risk-Mitigation Credit to zero so the credit is not reflected in the supply curves. </t>
        </r>
      </text>
    </comment>
    <comment ref="CW58" authorId="1">
      <text>
        <r>
          <rPr>
            <sz val="9"/>
            <color indexed="81"/>
            <rFont val="Tahoma"/>
            <family val="2"/>
          </rPr>
          <t>Direct and program administrative costs incurred by the utility system minus benefits that accrue to the utility system.There are separate Utility System Net Levelized Costs for the electric and the gas system.  
Utility system benefits include deferred transmission and distribution system capacity, risk-mitigation and Regional Act credit all of which are user-determined inputs.Utility System benefits do not include any  non-energy benefits  such as, other-fuel benefits, O&amp;M benefits or periodic replacement benefits which generally accrue to the customer or to non-utility sponsors.
Utility System Net Levelized Costs correspond to Utility System B/C ratio with regard to the costs and benefits included.  Benefits are subtracted from costs, then levelized over the life of the measure
The Risk-Mitigation credit is used to determine program cost-effectiveness and impacts both the Utility System B/C ratio and the Utility System Net Levelized Cost.  If the Risk-Mitigation credit is non-zero, the Utility System Net Levelized Cost will be reduced by the Risk-Mitigation benefit.
When using ProCost to build conservation supply curves, the user should set the Risk-Mitigation Credit to zero so the credit is not reflected in the supply curves.</t>
        </r>
      </text>
    </comment>
    <comment ref="BH87" authorId="1">
      <text>
        <r>
          <rPr>
            <sz val="9"/>
            <color indexed="81"/>
            <rFont val="Tahoma"/>
            <family val="2"/>
          </rPr>
          <t>Direct and program administrative costs incurred by the utility system minus benefits that accrue to the utility system.There are separate Utility System Net Levelized Costs for the electric and the gas system.  
Utility system benefits include deferred transmission and distribution system capacity, risk-mitigation and Regional Act credit all of which are user-determined inputs.Utility System benefits do not include any  non-energy benefits  such as, other-fuel benefits, O&amp;M benefits or periodic replacement benefits which generally accrue to the customer or to non-utility sponsors.
Utility System Net Levelized Costs correspond to Utility System B/C ratio with regard to the costs and benefits included.  Benefits are subtracted from costs, then levelized over the life of the measure
The Risk-Mitigation credit is used to determine program cost-effectiveness and impacts both the Utility System B/C ratio and the Utility System Net Levelized Cost.  If the Risk-Mitigation credit is non-zero, the Utility System Net Levelized Cost will be reduced by the Risk-Mitigation benefit.
When using ProCost to build conservation supply curves, the user should set the Risk-Mitigation Credit to zero so the credit is not reflected in the supply curves.</t>
        </r>
      </text>
    </comment>
    <comment ref="BM87" authorId="1">
      <text>
        <r>
          <rPr>
            <sz val="9"/>
            <color indexed="81"/>
            <rFont val="Tahoma"/>
            <family val="2"/>
          </rPr>
          <t>Direct and program administrative costs of the measure to sponsor.  Separate costs for each sponsor.
Depends on share of costs incurred by sponsor, sponsor cost of capital, and financing term which are user-defined inputs.  Includes applicable Capital, O&amp;M, Periodic Replacement and Program Administrative costs.  Sponsor costs are levelized over program life.
Does not include any adjustments for benefit.
NOTE:  Units are per kWh for 'Electric' runs and per therm for 'Gas' runs for all sponsors.</t>
        </r>
      </text>
    </comment>
    <comment ref="CE87" authorId="1">
      <text>
        <r>
          <rPr>
            <sz val="9"/>
            <color indexed="81"/>
            <rFont val="Tahoma"/>
            <family val="2"/>
          </rPr>
          <t xml:space="preserve">All costs minus all benefits regardless of which sponsor incurs the cost or accrues the benefits.
TRC Net Levelized Cost includes all applicable costs and all benefits.  In addition to energy system costs and benefits, TRC Net Levelized Cost includes non-energy, other-fuel, O&amp;M, periodic-replacement and risk-mitigation benefits and costs.
TRC Net Levelized Cost corresponds to TRC B/C ratios with regard to the costs and benefits included.  Benefits are subtracted from costs, then levelized over the life of the measure.
The Risk-Mitigation credit is used to determine program cost-effectiveness and impacts both the TRC B/C ratio and the TRC Net Levelized Cost.  If Risk-Mitigation credit is non-zero, TRC Levelized Cost will be reduced by the risk-mitigation benefit.
When using ProCost to build conservation supply curves, the user should set the Risk-Mitigation Credit to zero so the credit is not reflected in the supply curves. </t>
        </r>
      </text>
    </comment>
    <comment ref="CW87" authorId="1">
      <text>
        <r>
          <rPr>
            <sz val="9"/>
            <color indexed="81"/>
            <rFont val="Tahoma"/>
            <family val="2"/>
          </rPr>
          <t>Direct and program administrative costs incurred by the utility system minus benefits that accrue to the utility system.There are separate Utility System Net Levelized Costs for the electric and the gas system.  
Utility system benefits include deferred transmission and distribution system capacity, risk-mitigation and Regional Act credit all of which are user-determined inputs.Utility System benefits do not include any  non-energy benefits  such as, other-fuel benefits, O&amp;M benefits or periodic replacement benefits which generally accrue to the customer or to non-utility sponsors.
Utility System Net Levelized Costs correspond to Utility System B/C ratio with regard to the costs and benefits included.  Benefits are subtracted from costs, then levelized over the life of the measure
The Risk-Mitigation credit is used to determine program cost-effectiveness and impacts both the Utility System B/C ratio and the Utility System Net Levelized Cost.  If the Risk-Mitigation credit is non-zero, the Utility System Net Levelized Cost will be reduced by the Risk-Mitigation benefit.
When using ProCost to build conservation supply curves, the user should set the Risk-Mitigation Credit to zero so the credit is not reflected in the supply curves.</t>
        </r>
      </text>
    </comment>
  </commentList>
</comments>
</file>

<file path=xl/comments4.xml><?xml version="1.0" encoding="utf-8"?>
<comments xmlns="http://schemas.openxmlformats.org/spreadsheetml/2006/main">
  <authors>
    <author xml:space="preserve"> </author>
    <author>Charlie Grist</author>
  </authors>
  <commentList>
    <comment ref="I6" authorId="0">
      <text>
        <r>
          <rPr>
            <b/>
            <sz val="8"/>
            <color indexed="81"/>
            <rFont val="Tahoma"/>
            <family val="2"/>
          </rPr>
          <t xml:space="preserve"> :ProCost</t>
        </r>
        <r>
          <rPr>
            <sz val="8"/>
            <color indexed="81"/>
            <rFont val="Tahoma"/>
            <family val="2"/>
          </rPr>
          <t xml:space="preserve">
Perioodic replacement costs and savinsg of the measure.
These are costs and savings that occur periodicially, but at different periods than annually.  
Can be positive or negative.  Periodic replacement costs for both the measure and the baseline measure should be included if applicable. 
ProCost can analysze these costs in two ways dependent on the 'Repeat Periodic Replacemetn' switch in the ProData page.  When set to 'On',  ProCost repeats  replacement costs for multiple times over the life of a measure depending on the  input period and measure life.  For example fluorescent lamps may have a 4-year replacement cycle that repeats 3 times in a 15-year measure life.  When set to 'Off', ProCost reads the period as the year after installation that the replacement cost occurs and does not subsequently  reinstall or repeat the replacement costs.  For example a compressor may be replaced only once in the life of a heat-pump system.
Example:  A new fluorescent lighting systems may have a measure life of 15 years, and a  lamp life of five years. Two lamps lamps per fixture must be replaced at years 6 and 11.  Lamp and labor costs, expressed as positive costs, are entered as a cost and the period would be enetered as 5.   The baseline measure may have a four year lamp life and would have required a three-lamp replacement at years 5, 9 and 13.  Lamp and labor replacement costs would be entered as annual savings in dollars with a 4-year period.  ProCost determines the net present value of the two cost streams.   </t>
        </r>
      </text>
    </comment>
    <comment ref="O6" authorId="0">
      <text>
        <r>
          <rPr>
            <b/>
            <sz val="8"/>
            <color indexed="81"/>
            <rFont val="Tahoma"/>
            <family val="2"/>
          </rPr>
          <t xml:space="preserve"> :ProCost</t>
        </r>
        <r>
          <rPr>
            <sz val="8"/>
            <color indexed="81"/>
            <rFont val="Tahoma"/>
            <family val="2"/>
          </rPr>
          <t xml:space="preserve">
If the measure has gas savings for incfreases, enter the annual savings and shape of the savings here.
Example:  Clothes washer saves electric motor and dryer energy and gas water heat.  </t>
        </r>
      </text>
    </comment>
    <comment ref="A7" authorId="0">
      <text>
        <r>
          <rPr>
            <b/>
            <sz val="8"/>
            <color indexed="81"/>
            <rFont val="Tahoma"/>
            <family val="2"/>
          </rPr>
          <t xml:space="preserve"> :Procost</t>
        </r>
        <r>
          <rPr>
            <sz val="8"/>
            <color indexed="81"/>
            <rFont val="Tahoma"/>
            <family val="2"/>
          </rPr>
          <t xml:space="preserve">
Category for the measure.  
Individual measures can be grouped into categories.  Procost output is reported by measure and by category.  
All measures must belong to at least one category.  Category name can be the same as measure name.  
Example:  Measures can be combined into one category if they have components with different load shapes or measure lives.  On wash machines there may be one load shape for the electric motor savings component, a second load shape for the electric water heat savings component and a third shape for electric dryer savings component.</t>
        </r>
      </text>
    </comment>
    <comment ref="B7" authorId="0">
      <text>
        <r>
          <rPr>
            <b/>
            <sz val="8"/>
            <color indexed="81"/>
            <rFont val="Tahoma"/>
            <family val="2"/>
          </rPr>
          <t xml:space="preserve"> :ProCost
</t>
        </r>
        <r>
          <rPr>
            <sz val="8"/>
            <color indexed="81"/>
            <rFont val="Tahoma"/>
            <family val="2"/>
          </rPr>
          <t>Name of Measure.  User-defined.  
For PTR measures, defined naming conventions apply.</t>
        </r>
        <r>
          <rPr>
            <sz val="8"/>
            <color indexed="81"/>
            <rFont val="Tahoma"/>
            <family val="2"/>
          </rPr>
          <t xml:space="preserve">
</t>
        </r>
      </text>
    </comment>
    <comment ref="C7" authorId="0">
      <text>
        <r>
          <rPr>
            <b/>
            <sz val="8"/>
            <color indexed="81"/>
            <rFont val="Tahoma"/>
            <family val="2"/>
          </rPr>
          <t xml:space="preserve"> :ProCost</t>
        </r>
        <r>
          <rPr>
            <sz val="8"/>
            <color indexed="81"/>
            <rFont val="Tahoma"/>
            <family val="2"/>
          </rPr>
          <t xml:space="preserve">
Annual electric savings for the measure in kWh at the site.  May be positive, negative or zero.
Savings are incremental to the baseline alternative.</t>
        </r>
      </text>
    </comment>
    <comment ref="D7" authorId="0">
      <text>
        <r>
          <rPr>
            <b/>
            <sz val="8"/>
            <color indexed="81"/>
            <rFont val="Tahoma"/>
            <family val="2"/>
          </rPr>
          <t xml:space="preserve"> :ProCost</t>
        </r>
        <r>
          <rPr>
            <sz val="8"/>
            <color indexed="81"/>
            <rFont val="Tahoma"/>
            <family val="2"/>
          </rPr>
          <t xml:space="preserve">
Physical life of the measure in years.  Must be &gt;=1.</t>
        </r>
      </text>
    </comment>
    <comment ref="E7" authorId="0">
      <text>
        <r>
          <rPr>
            <b/>
            <sz val="8"/>
            <color indexed="81"/>
            <rFont val="Tahoma"/>
            <family val="2"/>
          </rPr>
          <t xml:space="preserve"> :ProCost</t>
        </r>
        <r>
          <rPr>
            <sz val="8"/>
            <color indexed="81"/>
            <rFont val="Tahoma"/>
            <family val="2"/>
          </rPr>
          <t xml:space="preserve">
Initial cost to install the measure in dollars.  Costs are incremental to the baseline alternative.
Dollars must be denominated in the same year as 'Input Cost Reference Year' input on the ProData page.</t>
        </r>
      </text>
    </comment>
    <comment ref="F7" authorId="0">
      <text>
        <r>
          <rPr>
            <b/>
            <sz val="8"/>
            <color indexed="81"/>
            <rFont val="Tahoma"/>
            <family val="2"/>
          </rPr>
          <t xml:space="preserve"> :ProCost</t>
        </r>
        <r>
          <rPr>
            <sz val="8"/>
            <color indexed="81"/>
            <rFont val="Tahoma"/>
            <family val="2"/>
          </rPr>
          <t xml:space="preserve">
Annaul opperations and maintenace cost for the measure in dollars.  Must be incremental cost over the baseline alternative.  May be positive, negative or zero.  
Dollars must be denominated in the same year as 'Input Cost Reference Year' input on the ProData page. 
O&amp;M costs are enetered as positive values.    Negative values represent O&amp;M savings compared to the baseline alternative. 
Example:  Annualized maintenace cost for a heat pump heating system compared to a baseline electric resistance  heating system.
</t>
        </r>
      </text>
    </comment>
    <comment ref="G7" authorId="0">
      <text>
        <r>
          <rPr>
            <b/>
            <sz val="8"/>
            <color indexed="81"/>
            <rFont val="Tahoma"/>
            <family val="2"/>
          </rPr>
          <t xml:space="preserve"> :ProCost</t>
        </r>
        <r>
          <rPr>
            <sz val="8"/>
            <color indexed="81"/>
            <rFont val="Tahoma"/>
            <family val="2"/>
          </rPr>
          <t xml:space="preserve">
Name of the pointer to the shape of the savings.  
The shapes represent the daily and monthly shape of the savings in four time segments for each month of the year.  Shape of the savings is relative to the baseline alternative.
These shaps are in the MC_AND_Loadshape file.   
</t>
        </r>
      </text>
    </comment>
    <comment ref="H7" authorId="0">
      <text>
        <r>
          <rPr>
            <b/>
            <sz val="8"/>
            <color indexed="81"/>
            <rFont val="Tahoma"/>
            <family val="2"/>
          </rPr>
          <t xml:space="preserve"> :ProCost</t>
        </r>
        <r>
          <rPr>
            <sz val="8"/>
            <color indexed="81"/>
            <rFont val="Tahoma"/>
            <family val="2"/>
          </rPr>
          <t xml:space="preserve">
Annual value of any non-energy benefits of the measure, relative to the baseline alternative.  
Expressed in dollars per year and denominated in dollars of the 'Cost Reference Year'.
Positive value represents dollar savings.  Negative value represents dollar cost.
Example:  Water, detergent and sewer savings from efficient clothes washer.</t>
        </r>
      </text>
    </comment>
    <comment ref="I7" authorId="0">
      <text>
        <r>
          <rPr>
            <b/>
            <sz val="8"/>
            <color indexed="81"/>
            <rFont val="Tahoma"/>
            <family val="2"/>
          </rPr>
          <t xml:space="preserve"> :</t>
        </r>
        <r>
          <rPr>
            <sz val="8"/>
            <color indexed="81"/>
            <rFont val="Tahoma"/>
            <family val="2"/>
          </rPr>
          <t xml:space="preserve">
Cost in dollars that is incurred  for Period 1.  Positive value if cost.  Negative value if savings.
Dollars must be denominated in the same year as 'Input Cost Reference Year' input on the ProData page.</t>
        </r>
      </text>
    </comment>
    <comment ref="J7" authorId="0">
      <text>
        <r>
          <rPr>
            <b/>
            <sz val="8"/>
            <color indexed="81"/>
            <rFont val="Tahoma"/>
            <family val="2"/>
          </rPr>
          <t xml:space="preserve"> :ProCost</t>
        </r>
        <r>
          <rPr>
            <sz val="8"/>
            <color indexed="81"/>
            <rFont val="Tahoma"/>
            <family val="2"/>
          </rPr>
          <t xml:space="preserve">
Duration of Period1.  The time at which  Period 1 costs, or savings, occur.  
In years.</t>
        </r>
      </text>
    </comment>
    <comment ref="K7" authorId="0">
      <text>
        <r>
          <rPr>
            <b/>
            <sz val="8"/>
            <color indexed="81"/>
            <rFont val="Tahoma"/>
            <family val="2"/>
          </rPr>
          <t xml:space="preserve"> :</t>
        </r>
        <r>
          <rPr>
            <sz val="8"/>
            <color indexed="81"/>
            <rFont val="Tahoma"/>
            <family val="2"/>
          </rPr>
          <t xml:space="preserve">
Cost in dollars that is incurred  for Period 2  Positive value if cost.  Negative value if savings.
Dollars must be denominated in the same year as 'Input Cost Reference Year' input on the ProData page.</t>
        </r>
      </text>
    </comment>
    <comment ref="L7" authorId="0">
      <text>
        <r>
          <rPr>
            <b/>
            <sz val="8"/>
            <color indexed="81"/>
            <rFont val="Tahoma"/>
            <family val="2"/>
          </rPr>
          <t xml:space="preserve"> :ProCost</t>
        </r>
        <r>
          <rPr>
            <sz val="8"/>
            <color indexed="81"/>
            <rFont val="Tahoma"/>
            <family val="2"/>
          </rPr>
          <t xml:space="preserve">
Duration of Period 2.  The time at which  Period 2 costs, or savings, occur.  
In years.</t>
        </r>
      </text>
    </comment>
    <comment ref="M7" authorId="0">
      <text>
        <r>
          <rPr>
            <b/>
            <sz val="8"/>
            <color indexed="81"/>
            <rFont val="Tahoma"/>
            <family val="2"/>
          </rPr>
          <t xml:space="preserve"> :</t>
        </r>
        <r>
          <rPr>
            <sz val="8"/>
            <color indexed="81"/>
            <rFont val="Tahoma"/>
            <family val="2"/>
          </rPr>
          <t xml:space="preserve">
Cost in dollars that is incurred  for Period 3.  Positive value if cost.  Negative value if savings.
Dollars must be denominated in the same year as 'Input Cost Reference Year' input on the ProData page.</t>
        </r>
      </text>
    </comment>
    <comment ref="N7" authorId="0">
      <text>
        <r>
          <rPr>
            <b/>
            <sz val="8"/>
            <color indexed="81"/>
            <rFont val="Tahoma"/>
            <family val="2"/>
          </rPr>
          <t xml:space="preserve"> :ProCost</t>
        </r>
        <r>
          <rPr>
            <sz val="8"/>
            <color indexed="81"/>
            <rFont val="Tahoma"/>
            <family val="2"/>
          </rPr>
          <t xml:space="preserve">
Duration of Period 3.  The time at which  Period 3 costs, or savings, occur.  
In years.</t>
        </r>
      </text>
    </comment>
    <comment ref="O7" authorId="0">
      <text>
        <r>
          <rPr>
            <b/>
            <sz val="8"/>
            <color indexed="81"/>
            <rFont val="Tahoma"/>
            <family val="2"/>
          </rPr>
          <t xml:space="preserve"> :</t>
        </r>
        <r>
          <rPr>
            <sz val="8"/>
            <color indexed="81"/>
            <rFont val="Tahoma"/>
            <family val="2"/>
          </rPr>
          <t xml:space="preserve">
Annual gas savings, or increases, in therms.</t>
        </r>
      </text>
    </comment>
    <comment ref="P7" authorId="0">
      <text>
        <r>
          <rPr>
            <b/>
            <sz val="8"/>
            <color indexed="81"/>
            <rFont val="Tahoma"/>
            <family val="2"/>
          </rPr>
          <t xml:space="preserve"> :ProCost</t>
        </r>
        <r>
          <rPr>
            <sz val="8"/>
            <color indexed="81"/>
            <rFont val="Tahoma"/>
            <family val="2"/>
          </rPr>
          <t xml:space="preserve">
Name of the pointer to the shape of the savings.  
The shapes represent the daily and monthly shape of the savings in four time segments for each month of the year.  Shape of the savings is relative to the baseline alternative.
These shaps are in the MC_AND_Loadshape file.   
</t>
        </r>
      </text>
    </comment>
    <comment ref="BH58" authorId="1">
      <text>
        <r>
          <rPr>
            <sz val="9"/>
            <color indexed="81"/>
            <rFont val="Tahoma"/>
            <family val="2"/>
          </rPr>
          <t>Direct and program administrative costs incurred by the utility system minus benefits that accrue to the utility system.There are separate Utility System Net Levelized Costs for the electric and the gas system.  
Utility system benefits include deferred transmission and distribution system capacity, risk-mitigation and Regional Act credit all of which are user-determined inputs.Utility System benefits do not include any  non-energy benefits  such as, other-fuel benefits, O&amp;M benefits or periodic replacement benefits which generally accrue to the customer or to non-utility sponsors.
Utility System Net Levelized Costs correspond to Utility System B/C ratio with regard to the costs and benefits included.  Benefits are subtracted from costs, then levelized over the life of the measure
The Risk-Mitigation credit is used to determine program cost-effectiveness and impacts both the Utility System B/C ratio and the Utility System Net Levelized Cost.  If the Risk-Mitigation credit is non-zero, the Utility System Net Levelized Cost will be reduced by the Risk-Mitigation benefit.
When using ProCost to build conservation supply curves, the user should set the Risk-Mitigation Credit to zero so the credit is not reflected in the supply curves.</t>
        </r>
      </text>
    </comment>
    <comment ref="BM58" authorId="1">
      <text>
        <r>
          <rPr>
            <sz val="9"/>
            <color indexed="81"/>
            <rFont val="Tahoma"/>
            <family val="2"/>
          </rPr>
          <t>Direct and program administrative costs of the measure to sponsor.  Separate costs for each sponsor.
Depends on share of costs incurred by sponsor, sponsor cost of capital, and financing term which are user-defined inputs.  Includes applicable Capital, O&amp;M, Periodic Replacement and Program Administrative costs.  Sponsor costs are levelized over program life.
Does not include any adjustments for benefit.
NOTE:  Units are per kWh for 'Electric' runs and per therm for 'Gas' runs for all sponsors.</t>
        </r>
      </text>
    </comment>
    <comment ref="CE58" authorId="1">
      <text>
        <r>
          <rPr>
            <sz val="9"/>
            <color indexed="81"/>
            <rFont val="Tahoma"/>
            <family val="2"/>
          </rPr>
          <t xml:space="preserve">All costs minus all benefits regardless of which sponsor incurs the cost or accrues the benefits.
TRC Net Levelized Cost includes all applicable costs and all benefits.  In addition to energy system costs and benefits, TRC Net Levelized Cost includes non-energy, other-fuel, O&amp;M, periodic-replacement and risk-mitigation benefits and costs.
TRC Net Levelized Cost corresponds to TRC B/C ratios with regard to the costs and benefits included.  Benefits are subtracted from costs, then levelized over the life of the measure.
The Risk-Mitigation credit is used to determine program cost-effectiveness and impacts both the TRC B/C ratio and the TRC Net Levelized Cost.  If Risk-Mitigation credit is non-zero, TRC Levelized Cost will be reduced by the risk-mitigation benefit.
When using ProCost to build conservation supply curves, the user should set the Risk-Mitigation Credit to zero so the credit is not reflected in the supply curves. </t>
        </r>
      </text>
    </comment>
    <comment ref="CW58" authorId="1">
      <text>
        <r>
          <rPr>
            <sz val="9"/>
            <color indexed="81"/>
            <rFont val="Tahoma"/>
            <family val="2"/>
          </rPr>
          <t>Direct and program administrative costs incurred by the utility system minus benefits that accrue to the utility system.There are separate Utility System Net Levelized Costs for the electric and the gas system.  
Utility system benefits include deferred transmission and distribution system capacity, risk-mitigation and Regional Act credit all of which are user-determined inputs.Utility System benefits do not include any  non-energy benefits  such as, other-fuel benefits, O&amp;M benefits or periodic replacement benefits which generally accrue to the customer or to non-utility sponsors.
Utility System Net Levelized Costs correspond to Utility System B/C ratio with regard to the costs and benefits included.  Benefits are subtracted from costs, then levelized over the life of the measure
The Risk-Mitigation credit is used to determine program cost-effectiveness and impacts both the Utility System B/C ratio and the Utility System Net Levelized Cost.  If the Risk-Mitigation credit is non-zero, the Utility System Net Levelized Cost will be reduced by the Risk-Mitigation benefit.
When using ProCost to build conservation supply curves, the user should set the Risk-Mitigation Credit to zero so the credit is not reflected in the supply curves.</t>
        </r>
      </text>
    </comment>
    <comment ref="BH87" authorId="1">
      <text>
        <r>
          <rPr>
            <sz val="9"/>
            <color indexed="81"/>
            <rFont val="Tahoma"/>
            <family val="2"/>
          </rPr>
          <t>Direct and program administrative costs incurred by the utility system minus benefits that accrue to the utility system.There are separate Utility System Net Levelized Costs for the electric and the gas system.  
Utility system benefits include deferred transmission and distribution system capacity, risk-mitigation and Regional Act credit all of which are user-determined inputs.Utility System benefits do not include any  non-energy benefits  such as, other-fuel benefits, O&amp;M benefits or periodic replacement benefits which generally accrue to the customer or to non-utility sponsors.
Utility System Net Levelized Costs correspond to Utility System B/C ratio with regard to the costs and benefits included.  Benefits are subtracted from costs, then levelized over the life of the measure
The Risk-Mitigation credit is used to determine program cost-effectiveness and impacts both the Utility System B/C ratio and the Utility System Net Levelized Cost.  If the Risk-Mitigation credit is non-zero, the Utility System Net Levelized Cost will be reduced by the Risk-Mitigation benefit.
When using ProCost to build conservation supply curves, the user should set the Risk-Mitigation Credit to zero so the credit is not reflected in the supply curves.</t>
        </r>
      </text>
    </comment>
    <comment ref="BM87" authorId="1">
      <text>
        <r>
          <rPr>
            <sz val="9"/>
            <color indexed="81"/>
            <rFont val="Tahoma"/>
            <family val="2"/>
          </rPr>
          <t>Direct and program administrative costs of the measure to sponsor.  Separate costs for each sponsor.
Depends on share of costs incurred by sponsor, sponsor cost of capital, and financing term which are user-defined inputs.  Includes applicable Capital, O&amp;M, Periodic Replacement and Program Administrative costs.  Sponsor costs are levelized over program life.
Does not include any adjustments for benefit.
NOTE:  Units are per kWh for 'Electric' runs and per therm for 'Gas' runs for all sponsors.</t>
        </r>
      </text>
    </comment>
    <comment ref="CE87" authorId="1">
      <text>
        <r>
          <rPr>
            <sz val="9"/>
            <color indexed="81"/>
            <rFont val="Tahoma"/>
            <family val="2"/>
          </rPr>
          <t xml:space="preserve">All costs minus all benefits regardless of which sponsor incurs the cost or accrues the benefits.
TRC Net Levelized Cost includes all applicable costs and all benefits.  In addition to energy system costs and benefits, TRC Net Levelized Cost includes non-energy, other-fuel, O&amp;M, periodic-replacement and risk-mitigation benefits and costs.
TRC Net Levelized Cost corresponds to TRC B/C ratios with regard to the costs and benefits included.  Benefits are subtracted from costs, then levelized over the life of the measure.
The Risk-Mitigation credit is used to determine program cost-effectiveness and impacts both the TRC B/C ratio and the TRC Net Levelized Cost.  If Risk-Mitigation credit is non-zero, TRC Levelized Cost will be reduced by the risk-mitigation benefit.
When using ProCost to build conservation supply curves, the user should set the Risk-Mitigation Credit to zero so the credit is not reflected in the supply curves. </t>
        </r>
      </text>
    </comment>
    <comment ref="CW87" authorId="1">
      <text>
        <r>
          <rPr>
            <sz val="9"/>
            <color indexed="81"/>
            <rFont val="Tahoma"/>
            <family val="2"/>
          </rPr>
          <t>Direct and program administrative costs incurred by the utility system minus benefits that accrue to the utility system.There are separate Utility System Net Levelized Costs for the electric and the gas system.  
Utility system benefits include deferred transmission and distribution system capacity, risk-mitigation and Regional Act credit all of which are user-determined inputs.Utility System benefits do not include any  non-energy benefits  such as, other-fuel benefits, O&amp;M benefits or periodic replacement benefits which generally accrue to the customer or to non-utility sponsors.
Utility System Net Levelized Costs correspond to Utility System B/C ratio with regard to the costs and benefits included.  Benefits are subtracted from costs, then levelized over the life of the measure
The Risk-Mitigation credit is used to determine program cost-effectiveness and impacts both the Utility System B/C ratio and the Utility System Net Levelized Cost.  If the Risk-Mitigation credit is non-zero, the Utility System Net Levelized Cost will be reduced by the Risk-Mitigation benefit.
When using ProCost to build conservation supply curves, the user should set the Risk-Mitigation Credit to zero so the credit is not reflected in the supply curves.</t>
        </r>
      </text>
    </comment>
  </commentList>
</comments>
</file>

<file path=xl/comments5.xml><?xml version="1.0" encoding="utf-8"?>
<comments xmlns="http://schemas.openxmlformats.org/spreadsheetml/2006/main">
  <authors>
    <author xml:space="preserve"> </author>
    <author>Charlie Grist</author>
  </authors>
  <commentList>
    <comment ref="I6" authorId="0">
      <text>
        <r>
          <rPr>
            <b/>
            <sz val="8"/>
            <color indexed="81"/>
            <rFont val="Tahoma"/>
            <family val="2"/>
          </rPr>
          <t xml:space="preserve"> :ProCost</t>
        </r>
        <r>
          <rPr>
            <sz val="8"/>
            <color indexed="81"/>
            <rFont val="Tahoma"/>
            <family val="2"/>
          </rPr>
          <t xml:space="preserve">
Perioodic replacement costs and savinsg of the measure.
These are costs and savings that occur periodicially, but at different periods than annually.  
Can be positive or negative.  Periodic replacement costs for both the measure and the baseline measure should be included if applicable. 
ProCost can analysze these costs in two ways dependent on the 'Repeat Periodic Replacemetn' switch in the ProData page.  When set to 'On',  ProCost repeats  replacement costs for multiple times over the life of a measure depending on the  input period and measure life.  For example fluorescent lamps may have a 4-year replacement cycle that repeats 3 times in a 15-year measure life.  When set to 'Off', ProCost reads the period as the year after installation that the replacement cost occurs and does not subsequently  reinstall or repeat the replacement costs.  For example a compressor may be replaced only once in the life of a heat-pump system.
Example:  A new fluorescent lighting systems may have a measure life of 15 years, and a  lamp life of five years. Two lamps lamps per fixture must be replaced at years 6 and 11.  Lamp and labor costs, expressed as positive costs, are entered as a cost and the period would be enetered as 5.   The baseline measure may have a four year lamp life and would have required a three-lamp replacement at years 5, 9 and 13.  Lamp and labor replacement costs would be entered as annual savings in dollars with a 4-year period.  ProCost determines the net present value of the two cost streams.   </t>
        </r>
      </text>
    </comment>
    <comment ref="O6" authorId="0">
      <text>
        <r>
          <rPr>
            <b/>
            <sz val="8"/>
            <color indexed="81"/>
            <rFont val="Tahoma"/>
            <family val="2"/>
          </rPr>
          <t xml:space="preserve"> :ProCost</t>
        </r>
        <r>
          <rPr>
            <sz val="8"/>
            <color indexed="81"/>
            <rFont val="Tahoma"/>
            <family val="2"/>
          </rPr>
          <t xml:space="preserve">
If the measure has gas savings for incfreases, enter the annual savings and shape of the savings here.
Example:  Clothes washer saves electric motor and dryer energy and gas water heat.  </t>
        </r>
      </text>
    </comment>
    <comment ref="A7" authorId="0">
      <text>
        <r>
          <rPr>
            <b/>
            <sz val="8"/>
            <color indexed="81"/>
            <rFont val="Tahoma"/>
            <family val="2"/>
          </rPr>
          <t xml:space="preserve"> :Procost</t>
        </r>
        <r>
          <rPr>
            <sz val="8"/>
            <color indexed="81"/>
            <rFont val="Tahoma"/>
            <family val="2"/>
          </rPr>
          <t xml:space="preserve">
Category for the measure.  
Individual measures can be grouped into categories.  Procost output is reported by measure and by category.  
All measures must belong to at least one category.  Category name can be the same as measure name.  
Example:  Measures can be combined into one category if they have components with different load shapes or measure lives.  On wash machines there may be one load shape for the electric motor savings component, a second load shape for the electric water heat savings component and a third shape for electric dryer savings component.</t>
        </r>
      </text>
    </comment>
    <comment ref="B7" authorId="0">
      <text>
        <r>
          <rPr>
            <b/>
            <sz val="8"/>
            <color indexed="81"/>
            <rFont val="Tahoma"/>
            <family val="2"/>
          </rPr>
          <t xml:space="preserve"> :ProCost
</t>
        </r>
        <r>
          <rPr>
            <sz val="8"/>
            <color indexed="81"/>
            <rFont val="Tahoma"/>
            <family val="2"/>
          </rPr>
          <t>Name of Measure.  User-defined.  
For PTR measures, defined naming conventions apply.</t>
        </r>
        <r>
          <rPr>
            <sz val="8"/>
            <color indexed="81"/>
            <rFont val="Tahoma"/>
            <family val="2"/>
          </rPr>
          <t xml:space="preserve">
</t>
        </r>
      </text>
    </comment>
    <comment ref="C7" authorId="0">
      <text>
        <r>
          <rPr>
            <b/>
            <sz val="8"/>
            <color indexed="81"/>
            <rFont val="Tahoma"/>
            <family val="2"/>
          </rPr>
          <t xml:space="preserve"> :ProCost</t>
        </r>
        <r>
          <rPr>
            <sz val="8"/>
            <color indexed="81"/>
            <rFont val="Tahoma"/>
            <family val="2"/>
          </rPr>
          <t xml:space="preserve">
Annual electric savings for the measure in kWh at the site.  May be positive, negative or zero.
Savings are incremental to the baseline alternative.</t>
        </r>
      </text>
    </comment>
    <comment ref="D7" authorId="0">
      <text>
        <r>
          <rPr>
            <b/>
            <sz val="8"/>
            <color indexed="81"/>
            <rFont val="Tahoma"/>
            <family val="2"/>
          </rPr>
          <t xml:space="preserve"> :ProCost</t>
        </r>
        <r>
          <rPr>
            <sz val="8"/>
            <color indexed="81"/>
            <rFont val="Tahoma"/>
            <family val="2"/>
          </rPr>
          <t xml:space="preserve">
Physical life of the measure in years.  Must be &gt;=1.</t>
        </r>
      </text>
    </comment>
    <comment ref="E7" authorId="0">
      <text>
        <r>
          <rPr>
            <b/>
            <sz val="8"/>
            <color indexed="81"/>
            <rFont val="Tahoma"/>
            <family val="2"/>
          </rPr>
          <t xml:space="preserve"> :ProCost</t>
        </r>
        <r>
          <rPr>
            <sz val="8"/>
            <color indexed="81"/>
            <rFont val="Tahoma"/>
            <family val="2"/>
          </rPr>
          <t xml:space="preserve">
Initial cost to install the measure in dollars.  Costs are incremental to the baseline alternative.
Dollars must be denominated in the same year as 'Input Cost Reference Year' input on the ProData page.</t>
        </r>
      </text>
    </comment>
    <comment ref="F7" authorId="0">
      <text>
        <r>
          <rPr>
            <b/>
            <sz val="8"/>
            <color indexed="81"/>
            <rFont val="Tahoma"/>
            <family val="2"/>
          </rPr>
          <t xml:space="preserve"> :ProCost</t>
        </r>
        <r>
          <rPr>
            <sz val="8"/>
            <color indexed="81"/>
            <rFont val="Tahoma"/>
            <family val="2"/>
          </rPr>
          <t xml:space="preserve">
Annaul opperations and maintenace cost for the measure in dollars.  Must be incremental cost over the baseline alternative.  May be positive, negative or zero.  
Dollars must be denominated in the same year as 'Input Cost Reference Year' input on the ProData page. 
O&amp;M costs are enetered as positive values.    Negative values represent O&amp;M savings compared to the baseline alternative. 
Example:  Annualized maintenace cost for a heat pump heating system compared to a baseline electric resistance  heating system.
</t>
        </r>
      </text>
    </comment>
    <comment ref="G7" authorId="0">
      <text>
        <r>
          <rPr>
            <b/>
            <sz val="8"/>
            <color indexed="81"/>
            <rFont val="Tahoma"/>
            <family val="2"/>
          </rPr>
          <t xml:space="preserve"> :ProCost</t>
        </r>
        <r>
          <rPr>
            <sz val="8"/>
            <color indexed="81"/>
            <rFont val="Tahoma"/>
            <family val="2"/>
          </rPr>
          <t xml:space="preserve">
Name of the pointer to the shape of the savings.  
The shapes represent the daily and monthly shape of the savings in four time segments for each month of the year.  Shape of the savings is relative to the baseline alternative.
These shaps are in the MC_AND_Loadshape file.   
</t>
        </r>
      </text>
    </comment>
    <comment ref="H7" authorId="0">
      <text>
        <r>
          <rPr>
            <b/>
            <sz val="8"/>
            <color indexed="81"/>
            <rFont val="Tahoma"/>
            <family val="2"/>
          </rPr>
          <t xml:space="preserve"> :ProCost</t>
        </r>
        <r>
          <rPr>
            <sz val="8"/>
            <color indexed="81"/>
            <rFont val="Tahoma"/>
            <family val="2"/>
          </rPr>
          <t xml:space="preserve">
Annual value of any non-energy benefits of the measure, relative to the baseline alternative.  
Expressed in dollars per year and denominated in dollars of the 'Cost Reference Year'.
Positive value represents dollar savings.  Negative value represents dollar cost.
Example:  Water, detergent and sewer savings from efficient clothes washer.</t>
        </r>
      </text>
    </comment>
    <comment ref="I7" authorId="0">
      <text>
        <r>
          <rPr>
            <b/>
            <sz val="8"/>
            <color indexed="81"/>
            <rFont val="Tahoma"/>
            <family val="2"/>
          </rPr>
          <t xml:space="preserve"> :</t>
        </r>
        <r>
          <rPr>
            <sz val="8"/>
            <color indexed="81"/>
            <rFont val="Tahoma"/>
            <family val="2"/>
          </rPr>
          <t xml:space="preserve">
Cost in dollars that is incurred  for Period 1.  Positive value if cost.  Negative value if savings.
Dollars must be denominated in the same year as 'Input Cost Reference Year' input on the ProData page.</t>
        </r>
      </text>
    </comment>
    <comment ref="J7" authorId="0">
      <text>
        <r>
          <rPr>
            <b/>
            <sz val="8"/>
            <color indexed="81"/>
            <rFont val="Tahoma"/>
            <family val="2"/>
          </rPr>
          <t xml:space="preserve"> :ProCost</t>
        </r>
        <r>
          <rPr>
            <sz val="8"/>
            <color indexed="81"/>
            <rFont val="Tahoma"/>
            <family val="2"/>
          </rPr>
          <t xml:space="preserve">
Duration of Period1.  The time at which  Period 1 costs, or savings, occur.  
In years.</t>
        </r>
      </text>
    </comment>
    <comment ref="K7" authorId="0">
      <text>
        <r>
          <rPr>
            <b/>
            <sz val="8"/>
            <color indexed="81"/>
            <rFont val="Tahoma"/>
            <family val="2"/>
          </rPr>
          <t xml:space="preserve"> :</t>
        </r>
        <r>
          <rPr>
            <sz val="8"/>
            <color indexed="81"/>
            <rFont val="Tahoma"/>
            <family val="2"/>
          </rPr>
          <t xml:space="preserve">
Cost in dollars that is incurred  for Period 2  Positive value if cost.  Negative value if savings.
Dollars must be denominated in the same year as 'Input Cost Reference Year' input on the ProData page.</t>
        </r>
      </text>
    </comment>
    <comment ref="L7" authorId="0">
      <text>
        <r>
          <rPr>
            <b/>
            <sz val="8"/>
            <color indexed="81"/>
            <rFont val="Tahoma"/>
            <family val="2"/>
          </rPr>
          <t xml:space="preserve"> :ProCost</t>
        </r>
        <r>
          <rPr>
            <sz val="8"/>
            <color indexed="81"/>
            <rFont val="Tahoma"/>
            <family val="2"/>
          </rPr>
          <t xml:space="preserve">
Duration of Period 2.  The time at which  Period 2 costs, or savings, occur.  
In years.</t>
        </r>
      </text>
    </comment>
    <comment ref="M7" authorId="0">
      <text>
        <r>
          <rPr>
            <b/>
            <sz val="8"/>
            <color indexed="81"/>
            <rFont val="Tahoma"/>
            <family val="2"/>
          </rPr>
          <t xml:space="preserve"> :</t>
        </r>
        <r>
          <rPr>
            <sz val="8"/>
            <color indexed="81"/>
            <rFont val="Tahoma"/>
            <family val="2"/>
          </rPr>
          <t xml:space="preserve">
Cost in dollars that is incurred  for Period 3.  Positive value if cost.  Negative value if savings.
Dollars must be denominated in the same year as 'Input Cost Reference Year' input on the ProData page.</t>
        </r>
      </text>
    </comment>
    <comment ref="N7" authorId="0">
      <text>
        <r>
          <rPr>
            <b/>
            <sz val="8"/>
            <color indexed="81"/>
            <rFont val="Tahoma"/>
            <family val="2"/>
          </rPr>
          <t xml:space="preserve"> :ProCost</t>
        </r>
        <r>
          <rPr>
            <sz val="8"/>
            <color indexed="81"/>
            <rFont val="Tahoma"/>
            <family val="2"/>
          </rPr>
          <t xml:space="preserve">
Duration of Period 3.  The time at which  Period 3 costs, or savings, occur.  
In years.</t>
        </r>
      </text>
    </comment>
    <comment ref="O7" authorId="0">
      <text>
        <r>
          <rPr>
            <b/>
            <sz val="8"/>
            <color indexed="81"/>
            <rFont val="Tahoma"/>
            <family val="2"/>
          </rPr>
          <t xml:space="preserve"> :</t>
        </r>
        <r>
          <rPr>
            <sz val="8"/>
            <color indexed="81"/>
            <rFont val="Tahoma"/>
            <family val="2"/>
          </rPr>
          <t xml:space="preserve">
Annual gas savings, or increases, in therms.</t>
        </r>
      </text>
    </comment>
    <comment ref="P7" authorId="0">
      <text>
        <r>
          <rPr>
            <b/>
            <sz val="8"/>
            <color indexed="81"/>
            <rFont val="Tahoma"/>
            <family val="2"/>
          </rPr>
          <t xml:space="preserve"> :ProCost</t>
        </r>
        <r>
          <rPr>
            <sz val="8"/>
            <color indexed="81"/>
            <rFont val="Tahoma"/>
            <family val="2"/>
          </rPr>
          <t xml:space="preserve">
Name of the pointer to the shape of the savings.  
The shapes represent the daily and monthly shape of the savings in four time segments for each month of the year.  Shape of the savings is relative to the baseline alternative.
These shaps are in the MC_AND_Loadshape file.   
</t>
        </r>
      </text>
    </comment>
    <comment ref="BH58" authorId="1">
      <text>
        <r>
          <rPr>
            <sz val="9"/>
            <color indexed="81"/>
            <rFont val="Tahoma"/>
            <family val="2"/>
          </rPr>
          <t>Direct and program administrative costs incurred by the utility system minus benefits that accrue to the utility system.There are separate Utility System Net Levelized Costs for the electric and the gas system.  
Utility system benefits include deferred transmission and distribution system capacity, risk-mitigation and Regional Act credit all of which are user-determined inputs.Utility System benefits do not include any  non-energy benefits  such as, other-fuel benefits, O&amp;M benefits or periodic replacement benefits which generally accrue to the customer or to non-utility sponsors.
Utility System Net Levelized Costs correspond to Utility System B/C ratio with regard to the costs and benefits included.  Benefits are subtracted from costs, then levelized over the life of the measure
The Risk-Mitigation credit is used to determine program cost-effectiveness and impacts both the Utility System B/C ratio and the Utility System Net Levelized Cost.  If the Risk-Mitigation credit is non-zero, the Utility System Net Levelized Cost will be reduced by the Risk-Mitigation benefit.
When using ProCost to build conservation supply curves, the user should set the Risk-Mitigation Credit to zero so the credit is not reflected in the supply curves.</t>
        </r>
      </text>
    </comment>
    <comment ref="BM58" authorId="1">
      <text>
        <r>
          <rPr>
            <sz val="9"/>
            <color indexed="81"/>
            <rFont val="Tahoma"/>
            <family val="2"/>
          </rPr>
          <t>Direct and program administrative costs of the measure to sponsor.  Separate costs for each sponsor.
Depends on share of costs incurred by sponsor, sponsor cost of capital, and financing term which are user-defined inputs.  Includes applicable Capital, O&amp;M, Periodic Replacement and Program Administrative costs.  Sponsor costs are levelized over program life.
Does not include any adjustments for benefit.
NOTE:  Units are per kWh for 'Electric' runs and per therm for 'Gas' runs for all sponsors.</t>
        </r>
      </text>
    </comment>
    <comment ref="CE58" authorId="1">
      <text>
        <r>
          <rPr>
            <sz val="9"/>
            <color indexed="81"/>
            <rFont val="Tahoma"/>
            <family val="2"/>
          </rPr>
          <t xml:space="preserve">All costs minus all benefits regardless of which sponsor incurs the cost or accrues the benefits.
TRC Net Levelized Cost includes all applicable costs and all benefits.  In addition to energy system costs and benefits, TRC Net Levelized Cost includes non-energy, other-fuel, O&amp;M, periodic-replacement and risk-mitigation benefits and costs.
TRC Net Levelized Cost corresponds to TRC B/C ratios with regard to the costs and benefits included.  Benefits are subtracted from costs, then levelized over the life of the measure.
The Risk-Mitigation credit is used to determine program cost-effectiveness and impacts both the TRC B/C ratio and the TRC Net Levelized Cost.  If Risk-Mitigation credit is non-zero, TRC Levelized Cost will be reduced by the risk-mitigation benefit.
When using ProCost to build conservation supply curves, the user should set the Risk-Mitigation Credit to zero so the credit is not reflected in the supply curves. </t>
        </r>
      </text>
    </comment>
    <comment ref="CW58" authorId="1">
      <text>
        <r>
          <rPr>
            <sz val="9"/>
            <color indexed="81"/>
            <rFont val="Tahoma"/>
            <family val="2"/>
          </rPr>
          <t>Direct and program administrative costs incurred by the utility system minus benefits that accrue to the utility system.There are separate Utility System Net Levelized Costs for the electric and the gas system.  
Utility system benefits include deferred transmission and distribution system capacity, risk-mitigation and Regional Act credit all of which are user-determined inputs.Utility System benefits do not include any  non-energy benefits  such as, other-fuel benefits, O&amp;M benefits or periodic replacement benefits which generally accrue to the customer or to non-utility sponsors.
Utility System Net Levelized Costs correspond to Utility System B/C ratio with regard to the costs and benefits included.  Benefits are subtracted from costs, then levelized over the life of the measure
The Risk-Mitigation credit is used to determine program cost-effectiveness and impacts both the Utility System B/C ratio and the Utility System Net Levelized Cost.  If the Risk-Mitigation credit is non-zero, the Utility System Net Levelized Cost will be reduced by the Risk-Mitigation benefit.
When using ProCost to build conservation supply curves, the user should set the Risk-Mitigation Credit to zero so the credit is not reflected in the supply curves.</t>
        </r>
      </text>
    </comment>
    <comment ref="BH87" authorId="1">
      <text>
        <r>
          <rPr>
            <sz val="9"/>
            <color indexed="81"/>
            <rFont val="Tahoma"/>
            <family val="2"/>
          </rPr>
          <t>Direct and program administrative costs incurred by the utility system minus benefits that accrue to the utility system.There are separate Utility System Net Levelized Costs for the electric and the gas system.  
Utility system benefits include deferred transmission and distribution system capacity, risk-mitigation and Regional Act credit all of which are user-determined inputs.Utility System benefits do not include any  non-energy benefits  such as, other-fuel benefits, O&amp;M benefits or periodic replacement benefits which generally accrue to the customer or to non-utility sponsors.
Utility System Net Levelized Costs correspond to Utility System B/C ratio with regard to the costs and benefits included.  Benefits are subtracted from costs, then levelized over the life of the measure
The Risk-Mitigation credit is used to determine program cost-effectiveness and impacts both the Utility System B/C ratio and the Utility System Net Levelized Cost.  If the Risk-Mitigation credit is non-zero, the Utility System Net Levelized Cost will be reduced by the Risk-Mitigation benefit.
When using ProCost to build conservation supply curves, the user should set the Risk-Mitigation Credit to zero so the credit is not reflected in the supply curves.</t>
        </r>
      </text>
    </comment>
    <comment ref="BM87" authorId="1">
      <text>
        <r>
          <rPr>
            <sz val="9"/>
            <color indexed="81"/>
            <rFont val="Tahoma"/>
            <family val="2"/>
          </rPr>
          <t>Direct and program administrative costs of the measure to sponsor.  Separate costs for each sponsor.
Depends on share of costs incurred by sponsor, sponsor cost of capital, and financing term which are user-defined inputs.  Includes applicable Capital, O&amp;M, Periodic Replacement and Program Administrative costs.  Sponsor costs are levelized over program life.
Does not include any adjustments for benefit.
NOTE:  Units are per kWh for 'Electric' runs and per therm for 'Gas' runs for all sponsors.</t>
        </r>
      </text>
    </comment>
    <comment ref="CE87" authorId="1">
      <text>
        <r>
          <rPr>
            <sz val="9"/>
            <color indexed="81"/>
            <rFont val="Tahoma"/>
            <family val="2"/>
          </rPr>
          <t xml:space="preserve">All costs minus all benefits regardless of which sponsor incurs the cost or accrues the benefits.
TRC Net Levelized Cost includes all applicable costs and all benefits.  In addition to energy system costs and benefits, TRC Net Levelized Cost includes non-energy, other-fuel, O&amp;M, periodic-replacement and risk-mitigation benefits and costs.
TRC Net Levelized Cost corresponds to TRC B/C ratios with regard to the costs and benefits included.  Benefits are subtracted from costs, then levelized over the life of the measure.
The Risk-Mitigation credit is used to determine program cost-effectiveness and impacts both the TRC B/C ratio and the TRC Net Levelized Cost.  If Risk-Mitigation credit is non-zero, TRC Levelized Cost will be reduced by the risk-mitigation benefit.
When using ProCost to build conservation supply curves, the user should set the Risk-Mitigation Credit to zero so the credit is not reflected in the supply curves. </t>
        </r>
      </text>
    </comment>
    <comment ref="CW87" authorId="1">
      <text>
        <r>
          <rPr>
            <sz val="9"/>
            <color indexed="81"/>
            <rFont val="Tahoma"/>
            <family val="2"/>
          </rPr>
          <t>Direct and program administrative costs incurred by the utility system minus benefits that accrue to the utility system.There are separate Utility System Net Levelized Costs for the electric and the gas system.  
Utility system benefits include deferred transmission and distribution system capacity, risk-mitigation and Regional Act credit all of which are user-determined inputs.Utility System benefits do not include any  non-energy benefits  such as, other-fuel benefits, O&amp;M benefits or periodic replacement benefits which generally accrue to the customer or to non-utility sponsors.
Utility System Net Levelized Costs correspond to Utility System B/C ratio with regard to the costs and benefits included.  Benefits are subtracted from costs, then levelized over the life of the measure
The Risk-Mitigation credit is used to determine program cost-effectiveness and impacts both the Utility System B/C ratio and the Utility System Net Levelized Cost.  If the Risk-Mitigation credit is non-zero, the Utility System Net Levelized Cost will be reduced by the Risk-Mitigation benefit.
When using ProCost to build conservation supply curves, the user should set the Risk-Mitigation Credit to zero so the credit is not reflected in the supply curves.</t>
        </r>
      </text>
    </comment>
  </commentList>
</comments>
</file>

<file path=xl/comments6.xml><?xml version="1.0" encoding="utf-8"?>
<comments xmlns="http://schemas.openxmlformats.org/spreadsheetml/2006/main">
  <authors>
    <author xml:space="preserve"> </author>
  </authors>
  <commentList>
    <comment ref="K6" authorId="0">
      <text>
        <r>
          <rPr>
            <b/>
            <sz val="8"/>
            <color indexed="81"/>
            <rFont val="Tahoma"/>
            <family val="2"/>
          </rPr>
          <t xml:space="preserve"> :ProCost</t>
        </r>
        <r>
          <rPr>
            <sz val="8"/>
            <color indexed="81"/>
            <rFont val="Tahoma"/>
            <family val="2"/>
          </rPr>
          <t xml:space="preserve">
Perioodic replacement costs and savinsg of the measure.
These are costs and savings that occur periodicially, but at different periods than annually.  
Can be positive or negative.  Periodic replacement costs for both the measure and the baseline measure should be included if applicable. 
ProCost can analysze these costs in two ways dependent on the 'Repeat Periodic Replacemetn' switch in the ProData page.  When set to 'On',  ProCost repeats  replacement costs for multiple times over the life of a measure depending on the  input period and measure life.  For example fluorescent lamps may have a 4-year replacement cycle that repeats 3 times in a 15-year measure life.  When set to 'Off', ProCost reads the period as the year after installation that the replacement cost occurs and does not subsequently  reinstall or repeat the replacement costs.  For example a compressor may be replaced only once in the life of a heat-pump system.
Example:  A new fluorescent lighting systems may have a measure life of 15 years, and a  lamp life of five years. Two lamps lamps per fixture must be replaced at years 6 and 11.  Lamp and labor costs, expressed as positive costs, are entered as a cost and the period would be enetered as 5.   The baseline measure may have a four year lamp life and would have required a three-lamp replacement at years 5, 9 and 13.  Lamp and labor replacement costs would be entered as annual savings in dollars with a 4-year period.  ProCost determines the net present value of the two cost streams.   </t>
        </r>
      </text>
    </comment>
    <comment ref="Q6" authorId="0">
      <text>
        <r>
          <rPr>
            <b/>
            <sz val="8"/>
            <color indexed="81"/>
            <rFont val="Tahoma"/>
            <family val="2"/>
          </rPr>
          <t xml:space="preserve"> :ProCost</t>
        </r>
        <r>
          <rPr>
            <sz val="8"/>
            <color indexed="81"/>
            <rFont val="Tahoma"/>
            <family val="2"/>
          </rPr>
          <t xml:space="preserve">
If the measure has gas savings for incfreases, enter the annual savings and shape of the savings here.
Example:  Clothes washer saves electric motor and dryer energy and gas water heat.  </t>
        </r>
      </text>
    </comment>
    <comment ref="C7" authorId="0">
      <text>
        <r>
          <rPr>
            <b/>
            <sz val="8"/>
            <color indexed="81"/>
            <rFont val="Tahoma"/>
            <family val="2"/>
          </rPr>
          <t xml:space="preserve"> :Procost</t>
        </r>
        <r>
          <rPr>
            <sz val="8"/>
            <color indexed="81"/>
            <rFont val="Tahoma"/>
            <family val="2"/>
          </rPr>
          <t xml:space="preserve">
Category for the measure.  
Individual measures can be grouped into categories.  Procost output is reported by measure and by category.  
All measures must belong to at least one category.  Category name can be the same as measure name.  
Example:  Measures can be combined into one category if they have components with different load shapes or measure lives.  On wash machines there may be one load shape for the electric motor savings component, a second load shape for the electric water heat savings component and a third shape for electric dryer savings component.</t>
        </r>
      </text>
    </comment>
    <comment ref="D7" authorId="0">
      <text>
        <r>
          <rPr>
            <b/>
            <sz val="8"/>
            <color indexed="81"/>
            <rFont val="Tahoma"/>
            <family val="2"/>
          </rPr>
          <t xml:space="preserve"> :ProCost
</t>
        </r>
        <r>
          <rPr>
            <sz val="8"/>
            <color indexed="81"/>
            <rFont val="Tahoma"/>
            <family val="2"/>
          </rPr>
          <t>Name of Measure.  User-defined.  
For PTR measures, defined naming conventions apply.</t>
        </r>
        <r>
          <rPr>
            <sz val="8"/>
            <color indexed="81"/>
            <rFont val="Tahoma"/>
            <family val="2"/>
          </rPr>
          <t xml:space="preserve">
</t>
        </r>
      </text>
    </comment>
    <comment ref="E7" authorId="0">
      <text>
        <r>
          <rPr>
            <b/>
            <sz val="8"/>
            <color indexed="81"/>
            <rFont val="Tahoma"/>
            <family val="2"/>
          </rPr>
          <t xml:space="preserve"> :ProCost</t>
        </r>
        <r>
          <rPr>
            <sz val="8"/>
            <color indexed="81"/>
            <rFont val="Tahoma"/>
            <family val="2"/>
          </rPr>
          <t xml:space="preserve">
Annual electric savings for the measure in kWh at the site.  May be positive, negative or zero.
Savings are incremental to the baseline alternative.</t>
        </r>
      </text>
    </comment>
    <comment ref="F7" authorId="0">
      <text>
        <r>
          <rPr>
            <b/>
            <sz val="8"/>
            <color indexed="81"/>
            <rFont val="Tahoma"/>
            <family val="2"/>
          </rPr>
          <t xml:space="preserve"> :ProCost</t>
        </r>
        <r>
          <rPr>
            <sz val="8"/>
            <color indexed="81"/>
            <rFont val="Tahoma"/>
            <family val="2"/>
          </rPr>
          <t xml:space="preserve">
Physical life of the measure in years.  Must be &gt;=1.</t>
        </r>
      </text>
    </comment>
    <comment ref="G7" authorId="0">
      <text>
        <r>
          <rPr>
            <b/>
            <sz val="8"/>
            <color indexed="81"/>
            <rFont val="Tahoma"/>
            <family val="2"/>
          </rPr>
          <t xml:space="preserve"> :ProCost</t>
        </r>
        <r>
          <rPr>
            <sz val="8"/>
            <color indexed="81"/>
            <rFont val="Tahoma"/>
            <family val="2"/>
          </rPr>
          <t xml:space="preserve">
Initial cost to install the measure in dollars.  Costs are incremental to the baseline alternative.
Dollars must be denominated in the same year as 'Input Cost Reference Year' input on the ProData page.</t>
        </r>
      </text>
    </comment>
    <comment ref="H7" authorId="0">
      <text>
        <r>
          <rPr>
            <b/>
            <sz val="8"/>
            <color indexed="81"/>
            <rFont val="Tahoma"/>
            <family val="2"/>
          </rPr>
          <t xml:space="preserve"> :ProCost</t>
        </r>
        <r>
          <rPr>
            <sz val="8"/>
            <color indexed="81"/>
            <rFont val="Tahoma"/>
            <family val="2"/>
          </rPr>
          <t xml:space="preserve">
Annaul opperations and maintenace cost for the measure in dollars.  Must be incremental cost over the baseline alternative.  May be positive, negative or zero.  
Dollars must be denominated in the same year as 'Input Cost Reference Year' input on the ProData page. 
O&amp;M costs are enetered as positive values.    Negative values represent O&amp;M savings compared to the baseline alternative. 
Example:  Annualized maintenace cost for a heat pump heating system compared to a baseline electric resistance  heating system.
</t>
        </r>
      </text>
    </comment>
    <comment ref="I7" authorId="0">
      <text>
        <r>
          <rPr>
            <b/>
            <sz val="8"/>
            <color indexed="81"/>
            <rFont val="Tahoma"/>
            <family val="2"/>
          </rPr>
          <t xml:space="preserve"> :ProCost</t>
        </r>
        <r>
          <rPr>
            <sz val="8"/>
            <color indexed="81"/>
            <rFont val="Tahoma"/>
            <family val="2"/>
          </rPr>
          <t xml:space="preserve">
Name of the pointer to the shape of the savings.  
The shapes represent the daily and monthly shape of the savings in four time segments for each month of the year.  Shape of the savings is relative to the baseline alternative.
These shaps are in the MC_AND_Loadshape file.   
</t>
        </r>
      </text>
    </comment>
    <comment ref="J7" authorId="0">
      <text>
        <r>
          <rPr>
            <b/>
            <sz val="8"/>
            <color indexed="81"/>
            <rFont val="Tahoma"/>
            <family val="2"/>
          </rPr>
          <t xml:space="preserve"> :ProCost</t>
        </r>
        <r>
          <rPr>
            <sz val="8"/>
            <color indexed="81"/>
            <rFont val="Tahoma"/>
            <family val="2"/>
          </rPr>
          <t xml:space="preserve">
Annual value of any non-energy benefits of the measure, relative to the baseline alternative.  
Expressed in dollars per year and denominated in dollars of the 'Cost Reference Year'.
Positive value represents dollar savings.  Negative value represents dollar cost.
Example:  Water, detergent and sewer savings from efficient clothes washer.</t>
        </r>
      </text>
    </comment>
    <comment ref="K7" authorId="0">
      <text>
        <r>
          <rPr>
            <b/>
            <sz val="8"/>
            <color indexed="81"/>
            <rFont val="Tahoma"/>
            <family val="2"/>
          </rPr>
          <t xml:space="preserve"> :</t>
        </r>
        <r>
          <rPr>
            <sz val="8"/>
            <color indexed="81"/>
            <rFont val="Tahoma"/>
            <family val="2"/>
          </rPr>
          <t xml:space="preserve">
Cost in dollars that is incurred  for Period 1.  Positive value if cost.  Negative value if savings.
Dollars must be denominated in the same year as 'Input Cost Reference Year' input on the ProData page.</t>
        </r>
      </text>
    </comment>
    <comment ref="L7" authorId="0">
      <text>
        <r>
          <rPr>
            <b/>
            <sz val="8"/>
            <color indexed="81"/>
            <rFont val="Tahoma"/>
            <family val="2"/>
          </rPr>
          <t xml:space="preserve"> :ProCost</t>
        </r>
        <r>
          <rPr>
            <sz val="8"/>
            <color indexed="81"/>
            <rFont val="Tahoma"/>
            <family val="2"/>
          </rPr>
          <t xml:space="preserve">
Duration of Period1.  The time at which  Period 1 costs, or savings, occur.  
In years.</t>
        </r>
      </text>
    </comment>
    <comment ref="M7" authorId="0">
      <text>
        <r>
          <rPr>
            <b/>
            <sz val="8"/>
            <color indexed="81"/>
            <rFont val="Tahoma"/>
            <family val="2"/>
          </rPr>
          <t xml:space="preserve"> :</t>
        </r>
        <r>
          <rPr>
            <sz val="8"/>
            <color indexed="81"/>
            <rFont val="Tahoma"/>
            <family val="2"/>
          </rPr>
          <t xml:space="preserve">
Cost in dollars that is incurred  for Period 2  Positive value if cost.  Negative value if savings.
Dollars must be denominated in the same year as 'Input Cost Reference Year' input on the ProData page.</t>
        </r>
      </text>
    </comment>
    <comment ref="N7" authorId="0">
      <text>
        <r>
          <rPr>
            <b/>
            <sz val="8"/>
            <color indexed="81"/>
            <rFont val="Tahoma"/>
            <family val="2"/>
          </rPr>
          <t xml:space="preserve"> :ProCost</t>
        </r>
        <r>
          <rPr>
            <sz val="8"/>
            <color indexed="81"/>
            <rFont val="Tahoma"/>
            <family val="2"/>
          </rPr>
          <t xml:space="preserve">
Duration of Period 2.  The time at which  Period 2 costs, or savings, occur.  
In years.</t>
        </r>
      </text>
    </comment>
    <comment ref="O7" authorId="0">
      <text>
        <r>
          <rPr>
            <b/>
            <sz val="8"/>
            <color indexed="81"/>
            <rFont val="Tahoma"/>
            <family val="2"/>
          </rPr>
          <t xml:space="preserve"> :</t>
        </r>
        <r>
          <rPr>
            <sz val="8"/>
            <color indexed="81"/>
            <rFont val="Tahoma"/>
            <family val="2"/>
          </rPr>
          <t xml:space="preserve">
Cost in dollars that is incurred  for Period 3.  Positive value if cost.  Negative value if savings.
Dollars must be denominated in the same year as 'Input Cost Reference Year' input on the ProData page.</t>
        </r>
      </text>
    </comment>
    <comment ref="P7" authorId="0">
      <text>
        <r>
          <rPr>
            <b/>
            <sz val="8"/>
            <color indexed="81"/>
            <rFont val="Tahoma"/>
            <family val="2"/>
          </rPr>
          <t xml:space="preserve"> :ProCost</t>
        </r>
        <r>
          <rPr>
            <sz val="8"/>
            <color indexed="81"/>
            <rFont val="Tahoma"/>
            <family val="2"/>
          </rPr>
          <t xml:space="preserve">
Duration of Period 3.  The time at which  Period 3 costs, or savings, occur.  
In years.</t>
        </r>
      </text>
    </comment>
    <comment ref="Q7" authorId="0">
      <text>
        <r>
          <rPr>
            <b/>
            <sz val="8"/>
            <color indexed="81"/>
            <rFont val="Tahoma"/>
            <family val="2"/>
          </rPr>
          <t xml:space="preserve"> :</t>
        </r>
        <r>
          <rPr>
            <sz val="8"/>
            <color indexed="81"/>
            <rFont val="Tahoma"/>
            <family val="2"/>
          </rPr>
          <t xml:space="preserve">
Annual gas savings, or increases, in therms.</t>
        </r>
      </text>
    </comment>
    <comment ref="R7" authorId="0">
      <text>
        <r>
          <rPr>
            <b/>
            <sz val="8"/>
            <color indexed="81"/>
            <rFont val="Tahoma"/>
            <family val="2"/>
          </rPr>
          <t xml:space="preserve"> :ProCost</t>
        </r>
        <r>
          <rPr>
            <sz val="8"/>
            <color indexed="81"/>
            <rFont val="Tahoma"/>
            <family val="2"/>
          </rPr>
          <t xml:space="preserve">
Name of the pointer to the shape of the savings.  
The shapes represent the daily and monthly shape of the savings in four time segments for each month of the year.  Shape of the savings is relative to the baseline alternative.
These shaps are in the MC_AND_Loadshape file.   
</t>
        </r>
      </text>
    </comment>
  </commentList>
</comments>
</file>

<file path=xl/comments7.xml><?xml version="1.0" encoding="utf-8"?>
<comments xmlns="http://schemas.openxmlformats.org/spreadsheetml/2006/main">
  <authors>
    <author>Charlie Grist</author>
  </authors>
  <commentList>
    <comment ref="O57" authorId="0">
      <text>
        <r>
          <rPr>
            <b/>
            <sz val="9"/>
            <color indexed="81"/>
            <rFont val="Tahoma"/>
            <family val="2"/>
          </rPr>
          <t>Charlie Grist:</t>
        </r>
        <r>
          <rPr>
            <sz val="9"/>
            <color indexed="81"/>
            <rFont val="Tahoma"/>
            <family val="2"/>
          </rPr>
          <t xml:space="preserve">
University estimates from other data sources.  No data in CBSA 2014.</t>
        </r>
      </text>
    </comment>
    <comment ref="U57" authorId="0">
      <text>
        <r>
          <rPr>
            <b/>
            <sz val="9"/>
            <color indexed="81"/>
            <rFont val="Tahoma"/>
            <family val="2"/>
          </rPr>
          <t>Charlie Grist:</t>
        </r>
        <r>
          <rPr>
            <sz val="9"/>
            <color indexed="81"/>
            <rFont val="Tahoma"/>
            <family val="2"/>
          </rPr>
          <t xml:space="preserve">
Hospital estimates from other data sources.  No data in CBSA 2014.</t>
        </r>
      </text>
    </comment>
    <comment ref="E58" authorId="0">
      <text>
        <r>
          <rPr>
            <b/>
            <sz val="9"/>
            <color indexed="81"/>
            <rFont val="Tahoma"/>
            <family val="2"/>
          </rPr>
          <t>Charlie Grist:</t>
        </r>
        <r>
          <rPr>
            <sz val="9"/>
            <color indexed="81"/>
            <rFont val="Tahoma"/>
            <family val="2"/>
          </rPr>
          <t xml:space="preserve">
Value includes estimate for University and Hospital so is different than reported in CBSA</t>
        </r>
      </text>
    </comment>
  </commentList>
</comments>
</file>

<file path=xl/comments8.xml><?xml version="1.0" encoding="utf-8"?>
<comments xmlns="http://schemas.openxmlformats.org/spreadsheetml/2006/main">
  <authors>
    <author>Christian</author>
    <author>Charlie Grist</author>
  </authors>
  <commentList>
    <comment ref="H7" authorId="0">
      <text>
        <r>
          <rPr>
            <b/>
            <sz val="9"/>
            <color indexed="81"/>
            <rFont val="Tahoma"/>
            <family val="2"/>
          </rPr>
          <t>Christian:</t>
        </r>
        <r>
          <rPr>
            <sz val="9"/>
            <color indexed="81"/>
            <rFont val="Tahoma"/>
            <family val="2"/>
          </rPr>
          <t xml:space="preserve">
Include M_Input with no O&amp;M.</t>
        </r>
      </text>
    </comment>
    <comment ref="BL13" authorId="0">
      <text>
        <r>
          <rPr>
            <b/>
            <sz val="9"/>
            <color indexed="81"/>
            <rFont val="Tahoma"/>
            <family val="2"/>
          </rPr>
          <t>Christian:</t>
        </r>
        <r>
          <rPr>
            <sz val="9"/>
            <color indexed="81"/>
            <rFont val="Tahoma"/>
            <family val="2"/>
          </rPr>
          <t xml:space="preserve">
5 minutes</t>
        </r>
      </text>
    </comment>
    <comment ref="BM13" authorId="0">
      <text>
        <r>
          <rPr>
            <b/>
            <sz val="9"/>
            <color indexed="81"/>
            <rFont val="Tahoma"/>
            <family val="2"/>
          </rPr>
          <t>Christian:</t>
        </r>
        <r>
          <rPr>
            <sz val="9"/>
            <color indexed="81"/>
            <rFont val="Tahoma"/>
            <family val="2"/>
          </rPr>
          <t xml:space="preserve">
20 minutes</t>
        </r>
      </text>
    </comment>
    <comment ref="R14" authorId="1">
      <text>
        <r>
          <rPr>
            <b/>
            <sz val="9"/>
            <color indexed="81"/>
            <rFont val="Tahoma"/>
            <family val="2"/>
          </rPr>
          <t>Charlie Grist:</t>
        </r>
        <r>
          <rPr>
            <sz val="9"/>
            <color indexed="81"/>
            <rFont val="Tahoma"/>
            <family val="2"/>
          </rPr>
          <t xml:space="preserve">
Revised to $300 from $200 (Seattle invoice pricing)  to reflect lower volume purchase for parking lot.</t>
        </r>
      </text>
    </comment>
    <comment ref="U14" authorId="1">
      <text>
        <r>
          <rPr>
            <b/>
            <sz val="9"/>
            <color indexed="81"/>
            <rFont val="Tahoma"/>
            <family val="2"/>
          </rPr>
          <t>Charlie Grist:</t>
        </r>
        <r>
          <rPr>
            <sz val="9"/>
            <color indexed="81"/>
            <rFont val="Tahoma"/>
            <family val="2"/>
          </rPr>
          <t xml:space="preserve">
Revised to 50K per conversations with PNL.  See streetlight workbook.</t>
        </r>
      </text>
    </comment>
    <comment ref="AB25" authorId="0">
      <text>
        <r>
          <rPr>
            <b/>
            <sz val="9"/>
            <color indexed="81"/>
            <rFont val="Tahoma"/>
            <family val="2"/>
          </rPr>
          <t>Christian:</t>
        </r>
        <r>
          <rPr>
            <sz val="9"/>
            <color indexed="81"/>
            <rFont val="Tahoma"/>
            <family val="2"/>
          </rPr>
          <t xml:space="preserve">
175W or 185W system power depending on ballast type; assume the average</t>
        </r>
      </text>
    </comment>
    <comment ref="AH25" authorId="0">
      <text>
        <r>
          <rPr>
            <b/>
            <sz val="9"/>
            <color indexed="81"/>
            <rFont val="Tahoma"/>
            <family val="2"/>
          </rPr>
          <t>Christian:</t>
        </r>
        <r>
          <rPr>
            <sz val="9"/>
            <color indexed="81"/>
            <rFont val="Tahoma"/>
            <family val="2"/>
          </rPr>
          <t xml:space="preserve">
not listed</t>
        </r>
      </text>
    </comment>
    <comment ref="U26" authorId="0">
      <text>
        <r>
          <rPr>
            <b/>
            <sz val="9"/>
            <color indexed="81"/>
            <rFont val="Tahoma"/>
            <family val="2"/>
          </rPr>
          <t>Christian:</t>
        </r>
        <r>
          <rPr>
            <sz val="9"/>
            <color indexed="81"/>
            <rFont val="Tahoma"/>
            <family val="2"/>
          </rPr>
          <t xml:space="preserve">
was not listed. Assume ~70,000</t>
        </r>
      </text>
    </comment>
    <comment ref="AB26" authorId="0">
      <text>
        <r>
          <rPr>
            <b/>
            <sz val="9"/>
            <color indexed="81"/>
            <rFont val="Tahoma"/>
            <family val="2"/>
          </rPr>
          <t>Christian:</t>
        </r>
        <r>
          <rPr>
            <sz val="9"/>
            <color indexed="81"/>
            <rFont val="Tahoma"/>
            <family val="2"/>
          </rPr>
          <t xml:space="preserve">
not listed</t>
        </r>
      </text>
    </comment>
    <comment ref="AH26" authorId="0">
      <text>
        <r>
          <rPr>
            <b/>
            <sz val="9"/>
            <color indexed="81"/>
            <rFont val="Tahoma"/>
            <family val="2"/>
          </rPr>
          <t>Christian:</t>
        </r>
        <r>
          <rPr>
            <sz val="9"/>
            <color indexed="81"/>
            <rFont val="Tahoma"/>
            <family val="2"/>
          </rPr>
          <t xml:space="preserve">
not listed</t>
        </r>
      </text>
    </comment>
    <comment ref="AS28" authorId="0">
      <text>
        <r>
          <rPr>
            <b/>
            <sz val="9"/>
            <color indexed="81"/>
            <rFont val="Tahoma"/>
            <family val="2"/>
          </rPr>
          <t>Christian:</t>
        </r>
        <r>
          <rPr>
            <sz val="9"/>
            <color indexed="81"/>
            <rFont val="Tahoma"/>
            <family val="2"/>
          </rPr>
          <t xml:space="preserve">
Assume purchase of whole fixtures only.</t>
        </r>
      </text>
    </comment>
    <comment ref="BM28" authorId="0">
      <text>
        <r>
          <rPr>
            <b/>
            <sz val="9"/>
            <color indexed="81"/>
            <rFont val="Tahoma"/>
            <family val="2"/>
          </rPr>
          <t>Christian:</t>
        </r>
        <r>
          <rPr>
            <sz val="9"/>
            <color indexed="81"/>
            <rFont val="Tahoma"/>
            <family val="2"/>
          </rPr>
          <t xml:space="preserve">
No lift required; assume 15 minutes.</t>
        </r>
      </text>
    </comment>
    <comment ref="BN28" authorId="0">
      <text>
        <r>
          <rPr>
            <b/>
            <sz val="9"/>
            <color indexed="81"/>
            <rFont val="Tahoma"/>
            <family val="2"/>
          </rPr>
          <t>Christian:</t>
        </r>
        <r>
          <rPr>
            <sz val="9"/>
            <color indexed="81"/>
            <rFont val="Tahoma"/>
            <family val="2"/>
          </rPr>
          <t xml:space="preserve">
assume labor rate without vehicle</t>
        </r>
      </text>
    </comment>
    <comment ref="BO28" authorId="0">
      <text>
        <r>
          <rPr>
            <b/>
            <sz val="9"/>
            <color indexed="81"/>
            <rFont val="Tahoma"/>
            <family val="2"/>
          </rPr>
          <t>Christian:</t>
        </r>
        <r>
          <rPr>
            <sz val="9"/>
            <color indexed="81"/>
            <rFont val="Tahoma"/>
            <family val="2"/>
          </rPr>
          <t xml:space="preserve">
assume labor rate without vehicle</t>
        </r>
      </text>
    </comment>
    <comment ref="AB29" authorId="0">
      <text>
        <r>
          <rPr>
            <b/>
            <sz val="9"/>
            <color indexed="81"/>
            <rFont val="Tahoma"/>
            <family val="2"/>
          </rPr>
          <t>Christian:</t>
        </r>
        <r>
          <rPr>
            <sz val="9"/>
            <color indexed="81"/>
            <rFont val="Tahoma"/>
            <family val="2"/>
          </rPr>
          <t xml:space="preserve">
175W or 185W system power depending on ballast type; assume the average</t>
        </r>
      </text>
    </comment>
    <comment ref="AH29" authorId="0">
      <text>
        <r>
          <rPr>
            <b/>
            <sz val="9"/>
            <color indexed="81"/>
            <rFont val="Tahoma"/>
            <family val="2"/>
          </rPr>
          <t>Christian:</t>
        </r>
        <r>
          <rPr>
            <sz val="9"/>
            <color indexed="81"/>
            <rFont val="Tahoma"/>
            <family val="2"/>
          </rPr>
          <t xml:space="preserve">
not listed</t>
        </r>
      </text>
    </comment>
    <comment ref="BG29" authorId="0">
      <text>
        <r>
          <rPr>
            <b/>
            <sz val="9"/>
            <color indexed="81"/>
            <rFont val="Tahoma"/>
            <family val="2"/>
          </rPr>
          <t xml:space="preserve">Christian:
</t>
        </r>
        <r>
          <rPr>
            <sz val="9"/>
            <color indexed="81"/>
            <rFont val="Tahoma"/>
            <family val="2"/>
          </rPr>
          <t>Since these are largely screw-in products, assume incremental fixture cost is equal to incremental lamp costs.</t>
        </r>
      </text>
    </comment>
    <comment ref="BG30" authorId="0">
      <text>
        <r>
          <rPr>
            <b/>
            <sz val="9"/>
            <color indexed="81"/>
            <rFont val="Tahoma"/>
            <family val="2"/>
          </rPr>
          <t xml:space="preserve">Christian:
</t>
        </r>
        <r>
          <rPr>
            <sz val="9"/>
            <color indexed="81"/>
            <rFont val="Tahoma"/>
            <family val="2"/>
          </rPr>
          <t>Since these are largely screw-in products, assume incremental fixture cost is equal to incremental lamp costs.</t>
        </r>
      </text>
    </comment>
    <comment ref="AS31" authorId="0">
      <text>
        <r>
          <rPr>
            <b/>
            <sz val="9"/>
            <color indexed="81"/>
            <rFont val="Tahoma"/>
            <family val="2"/>
          </rPr>
          <t>Christian:</t>
        </r>
        <r>
          <rPr>
            <sz val="9"/>
            <color indexed="81"/>
            <rFont val="Tahoma"/>
            <family val="2"/>
          </rPr>
          <t xml:space="preserve">
Assume equal likelihood of fixture swaps and lamp swaps.</t>
        </r>
      </text>
    </comment>
    <comment ref="BP31" authorId="0">
      <text>
        <r>
          <rPr>
            <b/>
            <sz val="9"/>
            <color indexed="81"/>
            <rFont val="Tahoma"/>
            <family val="2"/>
          </rPr>
          <t>Christian:</t>
        </r>
        <r>
          <rPr>
            <sz val="9"/>
            <color indexed="81"/>
            <rFont val="Tahoma"/>
            <family val="2"/>
          </rPr>
          <t xml:space="preserve">
Assume lamp replacement is predominant; therefore NR incremental labor cost is the same in pre and post case, or zero.</t>
        </r>
      </text>
    </comment>
    <comment ref="BG32" authorId="0">
      <text>
        <r>
          <rPr>
            <b/>
            <sz val="9"/>
            <color indexed="81"/>
            <rFont val="Tahoma"/>
            <family val="2"/>
          </rPr>
          <t xml:space="preserve">Christian:
</t>
        </r>
        <r>
          <rPr>
            <sz val="9"/>
            <color indexed="81"/>
            <rFont val="Tahoma"/>
            <family val="2"/>
          </rPr>
          <t>Assume that lamp replacement is predominant; therefore NR incremental cost is equal to incremental lamp cost.</t>
        </r>
      </text>
    </comment>
    <comment ref="BG33" authorId="0">
      <text>
        <r>
          <rPr>
            <b/>
            <sz val="9"/>
            <color indexed="81"/>
            <rFont val="Tahoma"/>
            <family val="2"/>
          </rPr>
          <t xml:space="preserve">Christian:
</t>
        </r>
        <r>
          <rPr>
            <sz val="9"/>
            <color indexed="81"/>
            <rFont val="Tahoma"/>
            <family val="2"/>
          </rPr>
          <t>Assume that lamp replacement is predominant; therefore NR incremental cost is equal to incremental lamp cost.</t>
        </r>
      </text>
    </comment>
    <comment ref="AS34" authorId="0">
      <text>
        <r>
          <rPr>
            <b/>
            <sz val="9"/>
            <color indexed="81"/>
            <rFont val="Tahoma"/>
            <family val="2"/>
          </rPr>
          <t>Christian:</t>
        </r>
        <r>
          <rPr>
            <sz val="9"/>
            <color indexed="81"/>
            <rFont val="Tahoma"/>
            <family val="2"/>
          </rPr>
          <t xml:space="preserve">
Assume equal likelihood of fixture swaps and lamp swaps.</t>
        </r>
      </text>
    </comment>
    <comment ref="BG35" authorId="0">
      <text>
        <r>
          <rPr>
            <b/>
            <sz val="9"/>
            <color indexed="81"/>
            <rFont val="Tahoma"/>
            <family val="2"/>
          </rPr>
          <t xml:space="preserve">Christian:
</t>
        </r>
        <r>
          <rPr>
            <sz val="9"/>
            <color indexed="81"/>
            <rFont val="Tahoma"/>
            <family val="2"/>
          </rPr>
          <t>Assume that lamp replacement is predominant; therefore Retro incremental cost is equal to total LED lamp cost.</t>
        </r>
      </text>
    </comment>
    <comment ref="BG36" authorId="0">
      <text>
        <r>
          <rPr>
            <b/>
            <sz val="9"/>
            <color indexed="81"/>
            <rFont val="Tahoma"/>
            <family val="2"/>
          </rPr>
          <t xml:space="preserve">Christian:
</t>
        </r>
        <r>
          <rPr>
            <sz val="9"/>
            <color indexed="81"/>
            <rFont val="Tahoma"/>
            <family val="2"/>
          </rPr>
          <t>Assume that lamp replacement is predominant; therefore Retro incremental cost is equal to total LED lamp cost.</t>
        </r>
      </text>
    </comment>
    <comment ref="AH38" authorId="0">
      <text>
        <r>
          <rPr>
            <b/>
            <sz val="9"/>
            <color indexed="81"/>
            <rFont val="Tahoma"/>
            <family val="2"/>
          </rPr>
          <t>Christian:</t>
        </r>
        <r>
          <rPr>
            <sz val="9"/>
            <color indexed="81"/>
            <rFont val="Tahoma"/>
            <family val="2"/>
          </rPr>
          <t xml:space="preserve">
not listed</t>
        </r>
      </text>
    </comment>
    <comment ref="AB39" authorId="0">
      <text>
        <r>
          <rPr>
            <b/>
            <sz val="9"/>
            <color indexed="81"/>
            <rFont val="Tahoma"/>
            <family val="2"/>
          </rPr>
          <t>Christian:</t>
        </r>
        <r>
          <rPr>
            <sz val="9"/>
            <color indexed="81"/>
            <rFont val="Tahoma"/>
            <family val="2"/>
          </rPr>
          <t xml:space="preserve">
not listed</t>
        </r>
      </text>
    </comment>
    <comment ref="AH39" authorId="0">
      <text>
        <r>
          <rPr>
            <b/>
            <sz val="9"/>
            <color indexed="81"/>
            <rFont val="Tahoma"/>
            <family val="2"/>
          </rPr>
          <t>Christian:</t>
        </r>
        <r>
          <rPr>
            <sz val="9"/>
            <color indexed="81"/>
            <rFont val="Tahoma"/>
            <family val="2"/>
          </rPr>
          <t xml:space="preserve">
not listed</t>
        </r>
      </text>
    </comment>
    <comment ref="AB41" authorId="0">
      <text>
        <r>
          <rPr>
            <b/>
            <sz val="9"/>
            <color indexed="81"/>
            <rFont val="Tahoma"/>
            <family val="2"/>
          </rPr>
          <t>Christian:</t>
        </r>
        <r>
          <rPr>
            <sz val="9"/>
            <color indexed="81"/>
            <rFont val="Tahoma"/>
            <family val="2"/>
          </rPr>
          <t xml:space="preserve">
not listed</t>
        </r>
      </text>
    </comment>
    <comment ref="AH41" authorId="0">
      <text>
        <r>
          <rPr>
            <b/>
            <sz val="9"/>
            <color indexed="81"/>
            <rFont val="Tahoma"/>
            <family val="2"/>
          </rPr>
          <t>Christian:</t>
        </r>
        <r>
          <rPr>
            <sz val="9"/>
            <color indexed="81"/>
            <rFont val="Tahoma"/>
            <family val="2"/>
          </rPr>
          <t xml:space="preserve">
not listed</t>
        </r>
      </text>
    </comment>
    <comment ref="AB43" authorId="0">
      <text>
        <r>
          <rPr>
            <b/>
            <sz val="9"/>
            <color indexed="81"/>
            <rFont val="Tahoma"/>
            <family val="2"/>
          </rPr>
          <t>Christian:</t>
        </r>
        <r>
          <rPr>
            <sz val="9"/>
            <color indexed="81"/>
            <rFont val="Tahoma"/>
            <family val="2"/>
          </rPr>
          <t xml:space="preserve">
streetlighting fixture power for 400W HID: 458W</t>
        </r>
      </text>
    </comment>
    <comment ref="AH43" authorId="0">
      <text>
        <r>
          <rPr>
            <b/>
            <sz val="9"/>
            <color indexed="81"/>
            <rFont val="Tahoma"/>
            <family val="2"/>
          </rPr>
          <t>Christian:</t>
        </r>
        <r>
          <rPr>
            <sz val="9"/>
            <color indexed="81"/>
            <rFont val="Tahoma"/>
            <family val="2"/>
          </rPr>
          <t xml:space="preserve">
streetlighting 400W HID assumes 16,000 hrs</t>
        </r>
      </text>
    </comment>
    <comment ref="AB52" authorId="0">
      <text>
        <r>
          <rPr>
            <b/>
            <sz val="9"/>
            <color indexed="81"/>
            <rFont val="Tahoma"/>
            <family val="2"/>
          </rPr>
          <t>Christian:</t>
        </r>
        <r>
          <rPr>
            <sz val="9"/>
            <color indexed="81"/>
            <rFont val="Tahoma"/>
            <family val="2"/>
          </rPr>
          <t xml:space="preserve">
175W or 185W system power depending on ballast type; assume the average</t>
        </r>
      </text>
    </comment>
    <comment ref="U53" authorId="0">
      <text>
        <r>
          <rPr>
            <b/>
            <sz val="9"/>
            <color indexed="81"/>
            <rFont val="Tahoma"/>
            <family val="2"/>
          </rPr>
          <t>Christian:</t>
        </r>
        <r>
          <rPr>
            <sz val="9"/>
            <color indexed="81"/>
            <rFont val="Tahoma"/>
            <family val="2"/>
          </rPr>
          <t xml:space="preserve">
was not listed. Assume ~70,000</t>
        </r>
      </text>
    </comment>
    <comment ref="AB53" authorId="0">
      <text>
        <r>
          <rPr>
            <b/>
            <sz val="9"/>
            <color indexed="81"/>
            <rFont val="Tahoma"/>
            <family val="2"/>
          </rPr>
          <t>Christian:</t>
        </r>
        <r>
          <rPr>
            <sz val="9"/>
            <color indexed="81"/>
            <rFont val="Tahoma"/>
            <family val="2"/>
          </rPr>
          <t xml:space="preserve">
not listed</t>
        </r>
      </text>
    </comment>
    <comment ref="AB56" authorId="0">
      <text>
        <r>
          <rPr>
            <b/>
            <sz val="9"/>
            <color indexed="81"/>
            <rFont val="Tahoma"/>
            <family val="2"/>
          </rPr>
          <t>Christian:</t>
        </r>
        <r>
          <rPr>
            <sz val="9"/>
            <color indexed="81"/>
            <rFont val="Tahoma"/>
            <family val="2"/>
          </rPr>
          <t xml:space="preserve">
175W or 185W system power depending on ballast type; assume the average</t>
        </r>
      </text>
    </comment>
    <comment ref="AF65" authorId="0">
      <text>
        <r>
          <rPr>
            <b/>
            <sz val="9"/>
            <color indexed="81"/>
            <rFont val="Tahoma"/>
            <family val="2"/>
          </rPr>
          <t>Christian:</t>
        </r>
        <r>
          <rPr>
            <sz val="9"/>
            <color indexed="81"/>
            <rFont val="Tahoma"/>
            <family val="2"/>
          </rPr>
          <t xml:space="preserve">
2006$</t>
        </r>
      </text>
    </comment>
    <comment ref="AF66" authorId="0">
      <text>
        <r>
          <rPr>
            <b/>
            <sz val="9"/>
            <color indexed="81"/>
            <rFont val="Tahoma"/>
            <family val="2"/>
          </rPr>
          <t>Christian:</t>
        </r>
        <r>
          <rPr>
            <sz val="9"/>
            <color indexed="81"/>
            <rFont val="Tahoma"/>
            <family val="2"/>
          </rPr>
          <t xml:space="preserve">
2014$, Philips 75W lamp: https://www.1000bulbs.com/category/75-watt-incandescent-standard-shape-light-bulbs/</t>
        </r>
      </text>
    </comment>
    <comment ref="N67" authorId="0">
      <text>
        <r>
          <rPr>
            <b/>
            <sz val="9"/>
            <color indexed="81"/>
            <rFont val="Tahoma"/>
            <family val="2"/>
          </rPr>
          <t>Christian:</t>
        </r>
        <r>
          <rPr>
            <sz val="9"/>
            <color indexed="81"/>
            <rFont val="Tahoma"/>
            <family val="2"/>
          </rPr>
          <t xml:space="preserve">
Delivered lumens for CREE 75W equivalent LED:
https://www.1000bulbs.com/category/75-watt-equal-led-light-bulbs/</t>
        </r>
      </text>
    </comment>
  </commentList>
</comments>
</file>

<file path=xl/sharedStrings.xml><?xml version="1.0" encoding="utf-8"?>
<sst xmlns="http://schemas.openxmlformats.org/spreadsheetml/2006/main" count="9902" uniqueCount="1070">
  <si>
    <t>Measure:</t>
  </si>
  <si>
    <t>Item</t>
  </si>
  <si>
    <t>Methods &amp; Sources</t>
  </si>
  <si>
    <t>Note</t>
  </si>
  <si>
    <t>7P Updates</t>
  </si>
  <si>
    <t>Measures Described</t>
  </si>
  <si>
    <t>Energy Savings Calculation Basis</t>
  </si>
  <si>
    <t>Applicable Stock</t>
  </si>
  <si>
    <t>Baseline Saturation</t>
  </si>
  <si>
    <t>Permutations</t>
  </si>
  <si>
    <t>Costs</t>
  </si>
  <si>
    <t>Measure Life</t>
  </si>
  <si>
    <t>Savings Shape</t>
  </si>
  <si>
    <t>Achievability Ramp Rate</t>
  </si>
  <si>
    <t>Data Set Name</t>
  </si>
  <si>
    <t>Measure Index Name</t>
  </si>
  <si>
    <t>Costs must be denominated in the same year as 'Input Cost Reference Year' =</t>
  </si>
  <si>
    <t>Input Data</t>
  </si>
  <si>
    <t>Periodic Replacement Costs and Savings and Replacement Period</t>
  </si>
  <si>
    <t>Gas Inputs</t>
  </si>
  <si>
    <t>Retro or LO</t>
  </si>
  <si>
    <t>Early Retrofit Parameters</t>
  </si>
  <si>
    <t>Category Name</t>
  </si>
  <si>
    <t>Measure Name</t>
  </si>
  <si>
    <t>Savings (kwh/yr)</t>
  </si>
  <si>
    <t>Life (yrs)</t>
  </si>
  <si>
    <t>Capital Cost</t>
  </si>
  <si>
    <t>Annual O&amp;M</t>
  </si>
  <si>
    <t>Shape Pointer</t>
  </si>
  <si>
    <t>Non-E Val ($/yr)</t>
  </si>
  <si>
    <t>Cost 1 ($)</t>
  </si>
  <si>
    <t xml:space="preserve">Period 1 </t>
  </si>
  <si>
    <t>Cost 2 ($)</t>
  </si>
  <si>
    <t>Period 2</t>
  </si>
  <si>
    <t>Cost 3 ($)</t>
  </si>
  <si>
    <t>Period 3</t>
  </si>
  <si>
    <t>Savings (therms/yr)</t>
  </si>
  <si>
    <t>R or L</t>
  </si>
  <si>
    <t>Savings 2
(kWh)</t>
  </si>
  <si>
    <t>Remaining
Life (yrs)</t>
  </si>
  <si>
    <t>Salvage Value ($)</t>
  </si>
  <si>
    <t>New</t>
  </si>
  <si>
    <t>MOPP</t>
  </si>
  <si>
    <t>Baseline Energy Use</t>
  </si>
  <si>
    <t>Baseline Penetration</t>
  </si>
  <si>
    <t xml:space="preserve">Description </t>
  </si>
  <si>
    <t>Date Done</t>
  </si>
  <si>
    <t>Who</t>
  </si>
  <si>
    <t>Result</t>
  </si>
  <si>
    <t>New cost data</t>
  </si>
  <si>
    <t>New performance data</t>
  </si>
  <si>
    <t>Update Source Summary</t>
  </si>
  <si>
    <t>Build Measure Map</t>
  </si>
  <si>
    <t>Figure out weighting scheme</t>
  </si>
  <si>
    <t>Build SC models</t>
  </si>
  <si>
    <t>Get saturation estimate</t>
  </si>
  <si>
    <t>Run ProCost</t>
  </si>
  <si>
    <t>Check savings against total load estimate</t>
  </si>
  <si>
    <t>Calibrate baseline use and turnover with Massoud's forecast</t>
  </si>
  <si>
    <t>Estimate baseline energy use and frozen efficiency points</t>
  </si>
  <si>
    <t>Update APPLIC, BASE, TURN, ACHIEV and CHAR in ComMaster</t>
  </si>
  <si>
    <t>Costs to 2012$</t>
  </si>
  <si>
    <t>Develop shape of savings and put in GLS</t>
  </si>
  <si>
    <t>Outdoor</t>
  </si>
  <si>
    <t>Location</t>
  </si>
  <si>
    <t>Fixture_Category</t>
  </si>
  <si>
    <t>(All)</t>
  </si>
  <si>
    <t>Outdoor_Light_Use_Type</t>
  </si>
  <si>
    <t>P</t>
  </si>
  <si>
    <t>Column Labels</t>
  </si>
  <si>
    <t>Sum of Wt_PNW_Site_Watts2</t>
  </si>
  <si>
    <t>Values</t>
  </si>
  <si>
    <t>Pole</t>
  </si>
  <si>
    <t>Pole Total</t>
  </si>
  <si>
    <t>Row Labels</t>
  </si>
  <si>
    <t>Sum of Wt_PNW_Site_Watts</t>
  </si>
  <si>
    <t>Average of Watts_Per_Fixture</t>
  </si>
  <si>
    <t>Average of Watts_Per_Lamp</t>
  </si>
  <si>
    <t>POLE25</t>
  </si>
  <si>
    <t>POLE40</t>
  </si>
  <si>
    <t>POLE60</t>
  </si>
  <si>
    <t>ES</t>
  </si>
  <si>
    <t>F</t>
  </si>
  <si>
    <t>O</t>
  </si>
  <si>
    <t>S</t>
  </si>
  <si>
    <t>SF</t>
  </si>
  <si>
    <t>UN</t>
  </si>
  <si>
    <t>W</t>
  </si>
  <si>
    <t>CFL</t>
  </si>
  <si>
    <t>Can</t>
  </si>
  <si>
    <t>Manual</t>
  </si>
  <si>
    <t>HID</t>
  </si>
  <si>
    <t>Office</t>
  </si>
  <si>
    <t>Fluorescent T12</t>
  </si>
  <si>
    <t>Display</t>
  </si>
  <si>
    <t>None (Continuous)</t>
  </si>
  <si>
    <t>Fluorescent T5</t>
  </si>
  <si>
    <t>CMH</t>
  </si>
  <si>
    <t>Retail/Service</t>
  </si>
  <si>
    <t>Exit</t>
  </si>
  <si>
    <t>Other</t>
  </si>
  <si>
    <t>Fluorescent T8</t>
  </si>
  <si>
    <t>HPS</t>
  </si>
  <si>
    <t>School K-12</t>
  </si>
  <si>
    <t>Flood</t>
  </si>
  <si>
    <t>Photocell</t>
  </si>
  <si>
    <t>Grand Total</t>
  </si>
  <si>
    <t>IN</t>
  </si>
  <si>
    <t>Warehouse</t>
  </si>
  <si>
    <t>Head/Track</t>
  </si>
  <si>
    <t>Timeclock</t>
  </si>
  <si>
    <t>Incandescent</t>
  </si>
  <si>
    <t>LPS</t>
  </si>
  <si>
    <t>Grocery</t>
  </si>
  <si>
    <t>LF Ceiling Mount</t>
  </si>
  <si>
    <t>Timeclock/Photocell</t>
  </si>
  <si>
    <t>LED</t>
  </si>
  <si>
    <t>MH</t>
  </si>
  <si>
    <t>Restaurant</t>
  </si>
  <si>
    <t>NA</t>
  </si>
  <si>
    <t>Misc</t>
  </si>
  <si>
    <t>MV</t>
  </si>
  <si>
    <t>Lodging</t>
  </si>
  <si>
    <t>Other Fluorescent</t>
  </si>
  <si>
    <t>Un</t>
  </si>
  <si>
    <t>Residential Care</t>
  </si>
  <si>
    <t>Other Ceiling Mount</t>
  </si>
  <si>
    <t>Assembly</t>
  </si>
  <si>
    <t>Strip</t>
  </si>
  <si>
    <t>Task</t>
  </si>
  <si>
    <t>Wall</t>
  </si>
  <si>
    <t xml:space="preserve">Data are from file:  </t>
  </si>
  <si>
    <t>Q:\CG\Main\CBSA\CBSA 2013\Data and Reports\CBSA Raw Data CONFIDENTIAL\CBSA Oct 31 2014\GRISTv1_CBSA Public Detailed Lighting Table 2014-10-31.xlsx</t>
  </si>
  <si>
    <t>Sheet Used for Development of Reference Fixtures</t>
  </si>
  <si>
    <t>Data below are from:</t>
  </si>
  <si>
    <t>Sum of _Sf_PNW</t>
  </si>
  <si>
    <t>Count of Sf_PNW_LPD_Out</t>
  </si>
  <si>
    <t>Sum of Sf_PNW_LPD_Out2</t>
  </si>
  <si>
    <t>Q:\CG\Main\CBSA\CBSA 2013\Data and Reports\CBSA Raw Data CONFIDENTIAL\CBSA Oct 31 2014\GRISTv3_CBSA Public Site Summary Table 2014-10-31.xlsx</t>
  </si>
  <si>
    <t>Average of Calc_Out_Fixtures/KSF_Indoor</t>
  </si>
  <si>
    <t>Outdoor W per SF Indoor Space</t>
  </si>
  <si>
    <t>Count of Watts_Per_Lamp</t>
  </si>
  <si>
    <t>Parking Lot</t>
  </si>
  <si>
    <t>Lamp Watts</t>
  </si>
  <si>
    <t>Lamps per Fixture</t>
  </si>
  <si>
    <t>Fraction of Watts</t>
  </si>
  <si>
    <t>Fraction of Fixtures</t>
  </si>
  <si>
    <t>Fixtures per KSF Indoor Space</t>
  </si>
  <si>
    <t>Fixture_Type</t>
  </si>
  <si>
    <t>Sum of Wt_PNW_Site_Fixture_Qty</t>
  </si>
  <si>
    <t>Façade</t>
  </si>
  <si>
    <t>Walkway</t>
  </si>
  <si>
    <t>Fixture Type</t>
  </si>
  <si>
    <t>Pole Mount</t>
  </si>
  <si>
    <t>Wall Pack</t>
  </si>
  <si>
    <t>Lamp Type</t>
  </si>
  <si>
    <t>INC</t>
  </si>
  <si>
    <t>Data summarized from sheet CBSA Data.  Used to develop proxy measure costs and savings.</t>
  </si>
  <si>
    <t>Various</t>
  </si>
  <si>
    <t>Mine CBSA for reference fixtures, saturation</t>
  </si>
  <si>
    <t>CG</t>
  </si>
  <si>
    <t>CD</t>
  </si>
  <si>
    <t>HID 150W</t>
  </si>
  <si>
    <t>Make/Model</t>
  </si>
  <si>
    <t>Source</t>
  </si>
  <si>
    <t>Web</t>
  </si>
  <si>
    <t>LED 30W</t>
  </si>
  <si>
    <t>1000bulbs</t>
  </si>
  <si>
    <t>LED 38W</t>
  </si>
  <si>
    <t>HID 400W</t>
  </si>
  <si>
    <t>LPP Energy</t>
  </si>
  <si>
    <t>Style</t>
  </si>
  <si>
    <t>LED 32W</t>
  </si>
  <si>
    <t>LPP Energy LE-DLI-32-57-MV-5</t>
  </si>
  <si>
    <t>pole/wall mount</t>
  </si>
  <si>
    <t>http://lppenergy.com/led-flood/10-led-down-light-iris/32w-led-10-down-light-iris-120-277v-4431-nominal-lumens-75-175w-hid-replace-usa-made-fits-1-75-od-tube/</t>
  </si>
  <si>
    <t>Efficient Case Product Specifications and Costs</t>
  </si>
  <si>
    <t>Base Case Product Specifications and Costs</t>
  </si>
  <si>
    <t>Reference Fixtures</t>
  </si>
  <si>
    <t>Candidate Replacements</t>
  </si>
  <si>
    <t>Base Lamp/Fixt</t>
  </si>
  <si>
    <t>Platt</t>
  </si>
  <si>
    <t>wallpack</t>
  </si>
  <si>
    <t>Lamp Wattage</t>
  </si>
  <si>
    <t>https://www.platt.com/platt-electric-supply/Wallpacks-LED-Wallpack-LED/Lumark/XTOR3A/product.aspx?zpid=887100</t>
  </si>
  <si>
    <t>LED 85W</t>
  </si>
  <si>
    <t>https://www.platt.com/platt-electric-supply/Wallpacks-LED-Wallpack-LED/Lumark/XTOR9ARL/product.aspx?zpid=17772</t>
  </si>
  <si>
    <t>Lumark WPS15</t>
  </si>
  <si>
    <t>https://www.platt.com/platt-electric-supply/Wallpacks-H-I-D-CFL-Wallpack-High-Pressure-Sodium/Lumark/WPS15/product.aspx?zpid=842182</t>
  </si>
  <si>
    <t>Lithonia Lighting TWR1</t>
  </si>
  <si>
    <t>https://www.platt.com/platt-electric-supply/Wallpacks-H-I-D-CFL-Wallpack-Metal-Halide/Lithonia-Lighting/TWR1-150M-TB/product.aspx?zpid=794785</t>
  </si>
  <si>
    <t>https://www.platt.com/platt-electric-supply/Wallpacks-H-I-D-CFL-Wallpack-Metal-Halide/Lumark/WPP40/product.aspx?zpid=819040</t>
  </si>
  <si>
    <t>Lumark WPP40</t>
  </si>
  <si>
    <t>Lithonia Lighting TWH-400S-TB-LPI</t>
  </si>
  <si>
    <t>https://www.platt.com/platt-electric-supply/Wallpacks-H-I-D-CFL-Wallpack-High-Pressure-Sodium/Lithonia-Lighting/TWH-400S-TB-LPI/product.aspx?zpid=25999</t>
  </si>
  <si>
    <t>https://www.1000bulbs.com/product/64874/RAB-WP2SN150.html</t>
  </si>
  <si>
    <t>RAB WP2SN150</t>
  </si>
  <si>
    <t>PLT DC150150MHMTLP</t>
  </si>
  <si>
    <t>https://www.1000bulbs.com/product/112102/TF-DC150150MHMTLP.html</t>
  </si>
  <si>
    <t>RAB WP4CH400PSQ</t>
  </si>
  <si>
    <t>https://www.1000bulbs.com/product/64532/RAB-WP4CH400PSQ.html</t>
  </si>
  <si>
    <t>https://www.1000bulbs.com/product/59402/PLT-79084.html</t>
  </si>
  <si>
    <t>PLT 79084</t>
  </si>
  <si>
    <t>Base Fixt</t>
  </si>
  <si>
    <t>Fixture Make/Model</t>
  </si>
  <si>
    <t>Lumark XTOR3A 30W LED Wallpack</t>
  </si>
  <si>
    <t>wall pack</t>
  </si>
  <si>
    <t>Delivered Lumens per Watt</t>
  </si>
  <si>
    <t>Life (hours)</t>
  </si>
  <si>
    <t>Cree Lighting BXSPWA03FG-UZ 25W XSP Series LED Wallpack</t>
  </si>
  <si>
    <t>LED 25W</t>
  </si>
  <si>
    <t>https://www.platt.com/platt-electric-supply/Wallpacks-LED-Wallpack-LED/Cree-Lighting/BXSPWA03FG-UZ/product.aspx?zpid=119585</t>
  </si>
  <si>
    <t>Cooper Lighting XTOR3A Crosstour</t>
  </si>
  <si>
    <t>Crescent Electric</t>
  </si>
  <si>
    <t>http://www.cesco.com/b2c/product/Cooper-Lighting-XTOR3A-Crosstour-Junction-Box/587235</t>
  </si>
  <si>
    <t>Cooper Lighting AL2050LPCGY All-Pro</t>
  </si>
  <si>
    <t>Delivered Lumens</t>
  </si>
  <si>
    <t>LED 42W</t>
  </si>
  <si>
    <t>http://www.cesco.com/b2c/product/Cooper-Lighting-AL2050LPCGY-All-Pro-1-Light-LED/3228</t>
  </si>
  <si>
    <t>MaxLite LEDF-71130</t>
  </si>
  <si>
    <t>https://www.1000bulbs.com/product/88360/LEDF-71130.html</t>
  </si>
  <si>
    <t>wall/area light</t>
  </si>
  <si>
    <t>Luminaire Wattage</t>
  </si>
  <si>
    <t>$/klm (2012$)</t>
  </si>
  <si>
    <t>(RTF Standard Information Workbook)</t>
  </si>
  <si>
    <t>2014$ to 2012$ Adjustment, based on GDP Deflator:</t>
  </si>
  <si>
    <t>Lumark XTOR9ARL LED Wallpack</t>
  </si>
  <si>
    <t>Lithonia Lighting TWH LED 30C 50K 104W LED Wallpack</t>
  </si>
  <si>
    <t>LED 104W</t>
  </si>
  <si>
    <t>https://www.platt.com/platt-electric-supply/Wallpacks-LED-Wallpack-LED/Lithonia-Lighting/TWH-LED-30C-50K/product.aspx?zpid=21321</t>
  </si>
  <si>
    <t>Cooper Lighting XTOR9A-PC2</t>
  </si>
  <si>
    <t>http://www.cesco.com/b2c/product/Cooper-Lighting-XTOR9A-PC2-Lumark-Crosstour-Full/119370</t>
  </si>
  <si>
    <t>https://www.1000bulbs.com/product/96043/RAB-WPLEDC104.html</t>
  </si>
  <si>
    <t>RAB Lighting WPLEDC104</t>
  </si>
  <si>
    <t>Lamp Replacements</t>
  </si>
  <si>
    <t>Lamp/Luminaire Cost (2014$)</t>
  </si>
  <si>
    <t>Lamp Cost</t>
  </si>
  <si>
    <t>lamp</t>
  </si>
  <si>
    <t>Lamp/Luminaire Cost (2012$)</t>
  </si>
  <si>
    <t>2017 Forecasted Lamp/Luminaire Cost (2012$)</t>
  </si>
  <si>
    <t>2017 Forecasted Lamp/Luminaire Wattage</t>
  </si>
  <si>
    <t>Luminaire Replacements</t>
  </si>
  <si>
    <t>Luminaire Cost</t>
  </si>
  <si>
    <t>Light Efficient Design LED-8033E30</t>
  </si>
  <si>
    <t>https://www.platt.com/platt-electric-supply/LED-Post-Top-Site-Wall-Pack-Lamps-Pack/Light-Efficient-Design/LED-8033E30/Product.aspx?zpid=70941</t>
  </si>
  <si>
    <r>
      <t xml:space="preserve">2017 </t>
    </r>
    <r>
      <rPr>
        <u/>
        <sz val="10"/>
        <rFont val="Arial"/>
        <family val="2"/>
      </rPr>
      <t>Efficacy</t>
    </r>
    <r>
      <rPr>
        <sz val="10"/>
        <rFont val="Arial"/>
        <family val="2"/>
      </rPr>
      <t xml:space="preserve"> Adjustment for LED Parking Garage </t>
    </r>
    <r>
      <rPr>
        <u/>
        <sz val="10"/>
        <rFont val="Arial"/>
        <family val="2"/>
      </rPr>
      <t>Luminaire</t>
    </r>
    <r>
      <rPr>
        <sz val="10"/>
        <rFont val="Arial"/>
        <family val="2"/>
      </rPr>
      <t>:</t>
    </r>
  </si>
  <si>
    <t xml:space="preserve"> </t>
  </si>
  <si>
    <t>Light Efficient Design  LED-8033E57</t>
  </si>
  <si>
    <t>https://www.1000bulbs.com/product/101092/LED-8033E57.html</t>
  </si>
  <si>
    <t>Luminaire Watt</t>
  </si>
  <si>
    <t>Lamp Watt</t>
  </si>
  <si>
    <r>
      <t xml:space="preserve">2017 </t>
    </r>
    <r>
      <rPr>
        <u/>
        <sz val="10"/>
        <rFont val="Arial"/>
        <family val="2"/>
      </rPr>
      <t>Cost</t>
    </r>
    <r>
      <rPr>
        <sz val="10"/>
        <rFont val="Arial"/>
        <family val="2"/>
      </rPr>
      <t xml:space="preserve"> Adjustment for LED </t>
    </r>
    <r>
      <rPr>
        <u/>
        <sz val="10"/>
        <rFont val="Arial"/>
        <family val="2"/>
      </rPr>
      <t>Luminaire</t>
    </r>
    <r>
      <rPr>
        <sz val="10"/>
        <rFont val="Arial"/>
        <family val="2"/>
      </rPr>
      <t>:</t>
    </r>
  </si>
  <si>
    <r>
      <t xml:space="preserve">2017 </t>
    </r>
    <r>
      <rPr>
        <u/>
        <sz val="10"/>
        <rFont val="Arial"/>
        <family val="2"/>
      </rPr>
      <t>Cost</t>
    </r>
    <r>
      <rPr>
        <sz val="10"/>
        <rFont val="Arial"/>
        <family val="2"/>
      </rPr>
      <t xml:space="preserve"> Adjustment for LED </t>
    </r>
    <r>
      <rPr>
        <u/>
        <sz val="10"/>
        <rFont val="Arial"/>
        <family val="2"/>
      </rPr>
      <t>Lamp</t>
    </r>
    <r>
      <rPr>
        <sz val="10"/>
        <rFont val="Arial"/>
        <family val="2"/>
      </rPr>
      <t>:</t>
    </r>
  </si>
  <si>
    <r>
      <t xml:space="preserve">2017 </t>
    </r>
    <r>
      <rPr>
        <u/>
        <sz val="10"/>
        <rFont val="Arial"/>
        <family val="2"/>
      </rPr>
      <t>Efficacy</t>
    </r>
    <r>
      <rPr>
        <sz val="10"/>
        <rFont val="Arial"/>
        <family val="2"/>
      </rPr>
      <t xml:space="preserve"> Adjustment for LED Downlight </t>
    </r>
    <r>
      <rPr>
        <u/>
        <sz val="10"/>
        <rFont val="Arial"/>
        <family val="2"/>
      </rPr>
      <t>Luminaire</t>
    </r>
    <r>
      <rPr>
        <sz val="10"/>
        <rFont val="Arial"/>
        <family val="2"/>
      </rPr>
      <t>:</t>
    </r>
  </si>
  <si>
    <t>Cooper Lighting HPFZ15</t>
  </si>
  <si>
    <t>http://www.cesco.com/b2c/product/Cooper-Lighting-HPFZ15-Lumark-Z-PAK-Junction-Box/435560</t>
  </si>
  <si>
    <t>Cooper Lighting WPS40</t>
  </si>
  <si>
    <t>http://www.cesco.com/b2c/product/Cooper-Lighting-WPS40-Lumark-WP-Series-High/86119</t>
  </si>
  <si>
    <t>https://www.platt.com/platt-electric-supply/HID-High-Pressure-Sodium-Lamps-Standard/Philips-Lighting/C150S55-M/product.aspx?zpid=48763</t>
  </si>
  <si>
    <t>Philips Lighting C150S55/M 150 Watt Bulb Clear Ceramalux High Pressure Sodium</t>
  </si>
  <si>
    <t>https://www.platt.com/platt-electric-supply/HID-Metal-Halide-Traditional/Philips-Lighting/MH150-U-M/product.aspx?zpid=267260</t>
  </si>
  <si>
    <t>Philips Lighting MH150/U/M 150 Watt Standard Metal Halide Bulb</t>
  </si>
  <si>
    <t>Philips Lighting MHC150/U/M/4K ALTO 150 Watt Pulse Start Metal Halide Bulb</t>
  </si>
  <si>
    <t>https://www.platt.com/platt-electric-supply/HID-Metal-Halide-Pulse-Start-Traditional/Philips-Lighting/MHC150-U-M-4K-ALTO/product.aspx?zpid=528210</t>
  </si>
  <si>
    <t>Philips Lighting MH400/U/E 400 Watt Standard Metal Halide Bulb</t>
  </si>
  <si>
    <t>https://www.platt.com/platt-electric-supply/HID-Metal-Halide-Traditional/Philips-Lighting/MH400-U-E/product.aspx?zpid=882680</t>
  </si>
  <si>
    <t>Philips Lighting MS400/U/PS 400 Watt Pulse Start Metal Halide Bulb</t>
  </si>
  <si>
    <t>https://www.platt.com/platt-electric-supply/HID-Metal-Halide-Pulse-Start-Traditional/Philips-Lighting/MS400-U-PS/product.aspx?zpid=786890</t>
  </si>
  <si>
    <t xml:space="preserve">Philips Lighting C400S51/ALTO 400 Watt Bulb Clear Ceramalux High Pressure </t>
  </si>
  <si>
    <t>CFL 26W / INC 75W</t>
  </si>
  <si>
    <t>LED 135W</t>
  </si>
  <si>
    <t>LED 180W</t>
  </si>
  <si>
    <t>LED 421W</t>
  </si>
  <si>
    <t>N/A - fixture data from 7th Plan Streetlighting workbook</t>
  </si>
  <si>
    <t>N/A</t>
  </si>
  <si>
    <t>NWPCC 7th Plan Streetlighting analysis</t>
  </si>
  <si>
    <t>pole mount</t>
  </si>
  <si>
    <t>HPS 250W</t>
  </si>
  <si>
    <t>MH 400W</t>
  </si>
  <si>
    <t>MH 1000W</t>
  </si>
  <si>
    <t>N/A - lamp data from 7th Plan Streetlighting workbook</t>
  </si>
  <si>
    <t>Energy Savings and Incremental Cost</t>
  </si>
  <si>
    <t>N/A - data from RTF Residential Lighting analysis</t>
  </si>
  <si>
    <t>CFL 26W</t>
  </si>
  <si>
    <t>INC 75W</t>
  </si>
  <si>
    <t>RTF Residential Lighting analysis</t>
  </si>
  <si>
    <t>RTF Standard Information Workbook</t>
  </si>
  <si>
    <t>2006$ to 2012$ Adjustment, based on GDP Deflator:</t>
  </si>
  <si>
    <r>
      <t xml:space="preserve">2017 </t>
    </r>
    <r>
      <rPr>
        <u/>
        <sz val="10"/>
        <rFont val="Arial"/>
        <family val="2"/>
      </rPr>
      <t>Efficacy</t>
    </r>
    <r>
      <rPr>
        <sz val="10"/>
        <rFont val="Arial"/>
        <family val="2"/>
      </rPr>
      <t xml:space="preserve"> Adjustment for LED Omnidirectional </t>
    </r>
    <r>
      <rPr>
        <u/>
        <sz val="10"/>
        <rFont val="Arial"/>
        <family val="2"/>
      </rPr>
      <t>Lamp</t>
    </r>
    <r>
      <rPr>
        <sz val="10"/>
        <rFont val="Arial"/>
        <family val="2"/>
      </rPr>
      <t>:</t>
    </r>
  </si>
  <si>
    <t>http://www.nwcouncil.org/energy/powerplan/7/technical</t>
  </si>
  <si>
    <t>LED 12W</t>
  </si>
  <si>
    <t>http://rtf.nwcouncil.org/measures/res/ResLightingCFLandLEDLamps_v3_3.xlsm</t>
  </si>
  <si>
    <t>http://rtf.nwcouncil.org/measures/support/files/RTFStandardInformationWorkbook_v2_0.xlsx</t>
  </si>
  <si>
    <t>general purpose LED lamp</t>
  </si>
  <si>
    <t>Lamp Cost (2006$)</t>
  </si>
  <si>
    <t>Watts &amp; Life - RTF Residential Lighting analysis
Cost - RTF Standard Information Workbook</t>
  </si>
  <si>
    <t>N/A - data from RTF &amp; Council 7th Plan Residential Lighting analyses</t>
  </si>
  <si>
    <t>NWPCC 7th Plan Res Lighting Analysis</t>
  </si>
  <si>
    <t>From</t>
  </si>
  <si>
    <t>To</t>
  </si>
  <si>
    <t>Application</t>
  </si>
  <si>
    <t>Measure Index</t>
  </si>
  <si>
    <t>Reference Fixture</t>
  </si>
  <si>
    <t>NR</t>
  </si>
  <si>
    <t>Retro</t>
  </si>
  <si>
    <t>Annual Hours of Operation</t>
  </si>
  <si>
    <t>Fixture Watts Pre</t>
  </si>
  <si>
    <t>Fixture Watts Post</t>
  </si>
  <si>
    <t>Annual Energy Consumption Pre (kWh)</t>
  </si>
  <si>
    <t>Annual Energy Consumption Post (kWh)</t>
  </si>
  <si>
    <t>Annual Energy Savings (kWh)</t>
  </si>
  <si>
    <t>Fixture Watt Reduct</t>
  </si>
  <si>
    <t>Lamp Cost Pre (2012$)</t>
  </si>
  <si>
    <t>Lamp Cost Post (2012$)</t>
  </si>
  <si>
    <t>Fixture Cost Pre (2012$)</t>
  </si>
  <si>
    <t>Fixture Cost Post (2012$)</t>
  </si>
  <si>
    <t>Energy Use and Savings</t>
  </si>
  <si>
    <t>Delivered Lumens Post</t>
  </si>
  <si>
    <t>Equipment Costs</t>
  </si>
  <si>
    <t>Lifetime</t>
  </si>
  <si>
    <t>Lookup IDs --&gt;</t>
  </si>
  <si>
    <t>Lifetime Pre (Hours)</t>
  </si>
  <si>
    <t>Lifetime Post (Hours)</t>
  </si>
  <si>
    <t>Lifetime Pre (Yrs)</t>
  </si>
  <si>
    <t>Lifetime Post (Yrs)</t>
  </si>
  <si>
    <t>Labor Rate</t>
  </si>
  <si>
    <t>$/hr</t>
  </si>
  <si>
    <t>Vehicle Rate</t>
  </si>
  <si>
    <t>Total Rate</t>
  </si>
  <si>
    <t>Source: NWPCC 7th Plan Streetlight workbook.</t>
  </si>
  <si>
    <t>Lamp Change Hours</t>
  </si>
  <si>
    <t>Fixture Change Hours</t>
  </si>
  <si>
    <t>Lamp Change Labor Cost (2012$)</t>
  </si>
  <si>
    <t>Fixture Change Labor Cost (2012$)</t>
  </si>
  <si>
    <t>Incremental Equip Cost  (2012$)</t>
  </si>
  <si>
    <t>Incremental Labor Cost  (2012$)</t>
  </si>
  <si>
    <t>Total Incremental Cost, Equip + Labor  (2012$)</t>
  </si>
  <si>
    <t>Install Labor Costs</t>
  </si>
  <si>
    <t>O&amp;M Labor Cost, Pre</t>
  </si>
  <si>
    <t>O&amp;M Materials Cost, Pre</t>
  </si>
  <si>
    <t>Periodic O&amp;M Interval (Yrs)</t>
  </si>
  <si>
    <t>O&amp;M Total Cost (2012$)</t>
  </si>
  <si>
    <t>PROGRAMCODE</t>
  </si>
  <si>
    <t>RECOGNIZEDDT</t>
  </si>
  <si>
    <t>MEASURECODE</t>
  </si>
  <si>
    <t>MEASUREDESC</t>
  </si>
  <si>
    <t>QTY</t>
  </si>
  <si>
    <t>UNITCOSTINSTALL</t>
  </si>
  <si>
    <t>TOTALCOSTINSTALL</t>
  </si>
  <si>
    <t>BE</t>
  </si>
  <si>
    <t>EXLED90W</t>
  </si>
  <si>
    <t>Exterior LED Fixture, 90W or Less</t>
  </si>
  <si>
    <t>EXTLED350W</t>
  </si>
  <si>
    <t>Exterior LED Fixture, 350W or Less</t>
  </si>
  <si>
    <t>EXTLED150W</t>
  </si>
  <si>
    <t>Exterior LED Fixture, 150W or Less</t>
  </si>
  <si>
    <t>EXLED40W</t>
  </si>
  <si>
    <t>Exterior LED Fixture, 40W or Less</t>
  </si>
  <si>
    <t>EXTLED110W</t>
  </si>
  <si>
    <t>Exterior LED Fixture, 110W or Less</t>
  </si>
  <si>
    <t>EXTLED400W</t>
  </si>
  <si>
    <t>Exterior LED Fixture, 400W or Less</t>
  </si>
  <si>
    <t>BEM</t>
  </si>
  <si>
    <t>PEF</t>
  </si>
  <si>
    <t>PEL</t>
  </si>
  <si>
    <t>Periodic O&amp;M Costs</t>
  </si>
  <si>
    <t>(within Lifetime of Measure)</t>
  </si>
  <si>
    <t>Other ProCost Inputs</t>
  </si>
  <si>
    <t>S-All-Lgt-Streetlight-All-All-U</t>
  </si>
  <si>
    <t>Retrofit [R] or Lost-Opportunity [LO]?</t>
  </si>
  <si>
    <t>Exterior Lighting: Parking Lot</t>
  </si>
  <si>
    <t>Exterior Lighting: Façade</t>
  </si>
  <si>
    <t>All Exterior Fixtures</t>
  </si>
  <si>
    <t>Avg.</t>
  </si>
  <si>
    <t>Median</t>
  </si>
  <si>
    <t>Lower Quartile</t>
  </si>
  <si>
    <t>Avg. Unit Installed Cost (2014$)</t>
  </si>
  <si>
    <t>Median Unit Installed Cost (2014$)</t>
  </si>
  <si>
    <t>Lower Quartile Installed Cost (2014$)</t>
  </si>
  <si>
    <t>Exterior Lighting: Walkway</t>
  </si>
  <si>
    <t>Avg HID 150W Replacement</t>
  </si>
  <si>
    <t>N/A - assume equal likelihood of lamp replacement vs. fixture replacement</t>
  </si>
  <si>
    <t>Discussions w/ Evergreen Consulting. Noted that "corn-cob" style LED lamp replacements are common in walkway luminaires.</t>
  </si>
  <si>
    <t>Fixture form factors vary widely; see comments at right.</t>
  </si>
  <si>
    <t>Shaped Savings Results; By Category and sorted by TRC BC ratio</t>
  </si>
  <si>
    <t>Savings Allocation by Category and Month for Segments 1</t>
  </si>
  <si>
    <t>Savings Allocation by Category and Month for Segments 2</t>
  </si>
  <si>
    <t>Category</t>
  </si>
  <si>
    <t>Measure</t>
  </si>
  <si>
    <t>Busbar Savings</t>
  </si>
  <si>
    <t>First Cost</t>
  </si>
  <si>
    <t>Admin Cost</t>
  </si>
  <si>
    <t>First Year Program Cost</t>
  </si>
  <si>
    <t>PV Cost</t>
  </si>
  <si>
    <t>PV Benefits</t>
  </si>
  <si>
    <t>Unit Program Cost: First Year Program Cost in $/average annual kW saved</t>
  </si>
  <si>
    <t>Utility System Net Levelized Cost (Net of T&amp;D Capacity Benefits, Act Credit &amp; Risk-Mitigation) in mills/kWh</t>
  </si>
  <si>
    <t>TRC Net Levelized Cost (Net of All Benefits) in mills/kWh</t>
  </si>
  <si>
    <t>TRC B/C Ratio</t>
  </si>
  <si>
    <t>Net Electric &amp; Gas System CO2 Avoided (Lifetime Tons)</t>
  </si>
  <si>
    <t>Wholesale KW</t>
  </si>
  <si>
    <t>Jan</t>
  </si>
  <si>
    <t>Feb</t>
  </si>
  <si>
    <t>Mar</t>
  </si>
  <si>
    <t>Apr</t>
  </si>
  <si>
    <t>May</t>
  </si>
  <si>
    <t>Jun</t>
  </si>
  <si>
    <t>Jul</t>
  </si>
  <si>
    <t>Aug</t>
  </si>
  <si>
    <t>Sep</t>
  </si>
  <si>
    <t>Oct</t>
  </si>
  <si>
    <t>Nov</t>
  </si>
  <si>
    <t>Dec</t>
  </si>
  <si>
    <t>Exterior Lighting: Parking Lot - HPS 250W - New</t>
  </si>
  <si>
    <t>Exterior Lighting: Walkway - HID 150W - New</t>
  </si>
  <si>
    <t>Exterior Lighting: Façade - HID 150W - New</t>
  </si>
  <si>
    <t>Exterior Lighting: Walkway - INC 75W - New</t>
  </si>
  <si>
    <t>Exterior Lighting: Walkway - INC 75W - NR</t>
  </si>
  <si>
    <t>Exterior Lighting: Façade - HID 400W - New</t>
  </si>
  <si>
    <t>Exterior Lighting: Walkway - HID 150W - Retro</t>
  </si>
  <si>
    <t>Exterior Lighting: Walkway - CFL 26W - New</t>
  </si>
  <si>
    <t>Exterior Lighting: Walkway - CFL 26W - NR</t>
  </si>
  <si>
    <t>Exterior Lighting: Walkway - INC 75W - Retro</t>
  </si>
  <si>
    <t>Exterior Lighting: Parking Lot - MH 400W - New</t>
  </si>
  <si>
    <t>Exterior Lighting: Parking Lot - MH 1000W - New</t>
  </si>
  <si>
    <t>Exterior Lighting: Façade - HID 400W - NR</t>
  </si>
  <si>
    <t>Exterior Lighting: Façade - HID 400W - Retro</t>
  </si>
  <si>
    <t>Exterior Lighting: Parking Lot - HPS 250W - NR</t>
  </si>
  <si>
    <t>Exterior Lighting: Walkway - HID 150W - NR</t>
  </si>
  <si>
    <t>Exterior Lighting: Parking Lot - MH 400W - NR</t>
  </si>
  <si>
    <t>Exterior Lighting: Façade - HID 150W - NR</t>
  </si>
  <si>
    <t>Exterior Lighting: Parking Lot - HPS 250W - Retro</t>
  </si>
  <si>
    <t>Exterior Lighting: Parking Lot - MH 400W - Retro</t>
  </si>
  <si>
    <t>Exterior Lighting: Parking Lot - MH 1000W - NR</t>
  </si>
  <si>
    <t>Exterior Lighting: Parking Lot - MH 1000W - Retro</t>
  </si>
  <si>
    <t>Exterior Lighting: Façade - HID 150W - Retro</t>
  </si>
  <si>
    <t>Exterior Lighting: Walkway - CFL 26W - Retro</t>
  </si>
  <si>
    <t>ProCost Results</t>
  </si>
  <si>
    <t xml:space="preserve">Version:    </t>
  </si>
  <si>
    <t>ProCost 3.0 - Beta04</t>
  </si>
  <si>
    <t>Run Time:</t>
  </si>
  <si>
    <t>Regurgitation of ProData input parameters which were used for this run</t>
  </si>
  <si>
    <t>Run Parameters</t>
  </si>
  <si>
    <t>Marginal Cost &amp; Conservation Load Shape Parameters</t>
  </si>
  <si>
    <t>Sponsor Parameters</t>
  </si>
  <si>
    <t>Program Parameters</t>
  </si>
  <si>
    <t>Utility System Parameters</t>
  </si>
  <si>
    <t>Run Type</t>
  </si>
  <si>
    <t>Electric</t>
  </si>
  <si>
    <t>Marginal Costs and Savings Shape File</t>
  </si>
  <si>
    <t>6P MidC Final (with carbon)</t>
  </si>
  <si>
    <t>Customer</t>
  </si>
  <si>
    <t>Wholesale Elec</t>
  </si>
  <si>
    <t>Retail Elec</t>
  </si>
  <si>
    <t>Nat Gas</t>
  </si>
  <si>
    <t>Program Life (yrs)</t>
  </si>
  <si>
    <t>Gas</t>
  </si>
  <si>
    <t>Negative B/C Ratios</t>
  </si>
  <si>
    <t>Off</t>
  </si>
  <si>
    <t>Marginal Elec Avoided Cost Input Worksheet</t>
  </si>
  <si>
    <t>7P Mid</t>
  </si>
  <si>
    <t>Conservation Load Shapes</t>
  </si>
  <si>
    <t>Real After-Tax Cost of Capital</t>
  </si>
  <si>
    <t>Program Start Date</t>
  </si>
  <si>
    <t>Bulk System T&amp;D Loss Factor</t>
  </si>
  <si>
    <t>Admin Cost @ Category Level</t>
  </si>
  <si>
    <t>On</t>
  </si>
  <si>
    <t>Elec Savings Shape Input Worksheet</t>
  </si>
  <si>
    <t>GLSShapes</t>
  </si>
  <si>
    <t>6P_Gas_Final</t>
  </si>
  <si>
    <t>Financial Life (years)</t>
  </si>
  <si>
    <t>Present Value Time Zero</t>
  </si>
  <si>
    <t>Bulk System T&amp;D Credit ($/kw-yr)($/dailytherm-yr)</t>
  </si>
  <si>
    <t xml:space="preserve">Repeat Periodic Replacement </t>
  </si>
  <si>
    <t>Marginal Gas Avoided Cost Input Worksheet</t>
  </si>
  <si>
    <t>7P Gas</t>
  </si>
  <si>
    <t>Input Cost Reference Year</t>
  </si>
  <si>
    <t>Bulk System T&amp;D I2R Loss Component (%)</t>
  </si>
  <si>
    <t>Gas Savings Shape Input Worksheet</t>
  </si>
  <si>
    <t xml:space="preserve">Sponsor Share of Initial Capital Cost </t>
  </si>
  <si>
    <t>Real Discount Rate</t>
  </si>
  <si>
    <t>Local System Dist Loss Factor</t>
  </si>
  <si>
    <t>Run Type:</t>
  </si>
  <si>
    <t>Marginal Elec CO2 per kWh Input Worksheet</t>
  </si>
  <si>
    <t>CO2 lbs per kWh .95</t>
  </si>
  <si>
    <t>CO2 lbs per therm</t>
  </si>
  <si>
    <t>Sponsor Share of Annual O&amp;M</t>
  </si>
  <si>
    <t>Capital Real Escalation Rate</t>
  </si>
  <si>
    <t>Local System Dist Credit ($/kw-yr)($/dailytherm-yr)</t>
  </si>
  <si>
    <t>Negative B/C Ratios:</t>
  </si>
  <si>
    <t>False:  (Converts Negative B/C Ratios)</t>
  </si>
  <si>
    <t>Marginal Gas CO2 per therm Input Worksheet</t>
  </si>
  <si>
    <t>Zero Dollars per ton CO2</t>
  </si>
  <si>
    <t>Sponsor Share of Periodic Replacement Cost</t>
  </si>
  <si>
    <t>Admin Cost (as % of Initial Capital Cost)</t>
  </si>
  <si>
    <t>Local System Dist I2R Loss Component (%)</t>
  </si>
  <si>
    <t>Admin Cost / Category Level:</t>
  </si>
  <si>
    <t>True:  Admin Costs added at Category Results</t>
  </si>
  <si>
    <t>Marginal Avoided Cost CO2 Input Worksheet</t>
  </si>
  <si>
    <t>LineLossShapes</t>
  </si>
  <si>
    <t>Sponsor Share of Admin Cost</t>
  </si>
  <si>
    <t>Regional Act Conservation Credit (%)</t>
  </si>
  <si>
    <t>Risk-Mitigation Credit (mills/kWh)(mills/therm) - Retro.</t>
  </si>
  <si>
    <t>Periodic O&amp;M Treatment:</t>
  </si>
  <si>
    <t>True:  (Periodic O&amp;M Repeats over measure life)</t>
  </si>
  <si>
    <t>Line Loss Shape Input Worksheet</t>
  </si>
  <si>
    <t>Last Year of Non-Customer O&amp;M &amp; Period Replacement</t>
  </si>
  <si>
    <t>Report Annual Carbon Saved for Year</t>
  </si>
  <si>
    <t>Risk-Mitigation Credit (mills/kWh)(mills/therm) - Lost Op.</t>
  </si>
  <si>
    <t>Measure Results; Sorted in same order as input</t>
  </si>
  <si>
    <t>Total Results</t>
  </si>
  <si>
    <t>Measure Input Data</t>
  </si>
  <si>
    <t>Savings</t>
  </si>
  <si>
    <t>PV Capital</t>
  </si>
  <si>
    <t>PV Admin</t>
  </si>
  <si>
    <t>PV O&amp;M</t>
  </si>
  <si>
    <t>PV Periodic Repl.</t>
  </si>
  <si>
    <t>Total PV Capital, O&amp;M and Periodic Repl Costs</t>
  </si>
  <si>
    <t>PV Wholesale Electric Utility Costs &amp; Benefits</t>
  </si>
  <si>
    <t>PV Retail Electric Utility Costs &amp; Benefits</t>
  </si>
  <si>
    <t>PV Electric Utility System Costs &amp; Benefits</t>
  </si>
  <si>
    <t>Electric Utility System Economics</t>
  </si>
  <si>
    <t>Sponsor Levelized Cost (mills/kwh)</t>
  </si>
  <si>
    <t>PV Regional Costs &amp; Benefits</t>
  </si>
  <si>
    <t>TRC Economics</t>
  </si>
  <si>
    <t>Physical CO2</t>
  </si>
  <si>
    <t>PV Gas Utility System Costs &amp; Benefits</t>
  </si>
  <si>
    <t>Gas Utility System Economics</t>
  </si>
  <si>
    <t>Site Savings (kWh)</t>
  </si>
  <si>
    <t>Site Savings (therms)</t>
  </si>
  <si>
    <t>Capital Cost ($/unit)</t>
  </si>
  <si>
    <t>Annual O&amp;M Cost ($/unit)</t>
  </si>
  <si>
    <t>PV Per. Repl. Cost ($/unit)</t>
  </si>
  <si>
    <t>Load Shape (electric)</t>
  </si>
  <si>
    <t>Diversified Load Factor (electric)</t>
  </si>
  <si>
    <t>Wholesale Power Coincidence Factor (electric)</t>
  </si>
  <si>
    <t>Wholesale Electric Energy (kWh)</t>
  </si>
  <si>
    <t>Wholesale Electric Demand (kw)</t>
  </si>
  <si>
    <t>Retail Electric Demand (kW)</t>
  </si>
  <si>
    <t>Wholesale Gas Energy (therms/yr)</t>
  </si>
  <si>
    <t>Wholesale Gas Demand (therms/day)</t>
  </si>
  <si>
    <t>Retail Gas Demand (therms/day)</t>
  </si>
  <si>
    <t>Wholesale Electric</t>
  </si>
  <si>
    <t>Retail Electric</t>
  </si>
  <si>
    <t>Natural Gas</t>
  </si>
  <si>
    <t>Total</t>
  </si>
  <si>
    <t>Wholesale Utility System Energy</t>
  </si>
  <si>
    <t>Wholesale Utility System T&amp;D Def. Cap.</t>
  </si>
  <si>
    <t>Wholesale Utility System Act C-E Credit</t>
  </si>
  <si>
    <t>Wholesale Utility System Risk Mitigation Benefit</t>
  </si>
  <si>
    <t>Wholesale Utility System Total System Benefit</t>
  </si>
  <si>
    <t>Wholesale Utility System Total Non-Consumer Cost</t>
  </si>
  <si>
    <t>Wholesale Utility System B/C Ratio</t>
  </si>
  <si>
    <t>Retail Utility System Energy</t>
  </si>
  <si>
    <t>Retail Utility System T&amp;D Def. Cap.</t>
  </si>
  <si>
    <t>Retail Utility System Act C-E Credit</t>
  </si>
  <si>
    <t>Retail Utility System Risk Mitigation Benefit</t>
  </si>
  <si>
    <t>Retail Utility System Total System Benefit</t>
  </si>
  <si>
    <t>Retail Utility System Total Non-Consumer Cost</t>
  </si>
  <si>
    <t>Retail Utility System System B/C Ratio</t>
  </si>
  <si>
    <t>Utility System Energy</t>
  </si>
  <si>
    <t>Utility System T&amp;D Def. Cap.</t>
  </si>
  <si>
    <t>Utility System Act C-E Credit</t>
  </si>
  <si>
    <t>Utility System Total Risk Mitigation Benefit</t>
  </si>
  <si>
    <t>Utility System Total System Benefit</t>
  </si>
  <si>
    <t>Utility System Total Non-Consumer Cost</t>
  </si>
  <si>
    <t>Utility System Net Levelized Cost (Net of Elec T&amp;D Capacity Benefits, Act Credit &amp; Risk-Mitigation Benefit) in mills/kwh</t>
  </si>
  <si>
    <t>Utility System System B/C Ratio</t>
  </si>
  <si>
    <t>Wholesale Electric Levelized Cost</t>
  </si>
  <si>
    <t>Retail Electric Levelized Cost</t>
  </si>
  <si>
    <t>Natural Gas Levelized Cost</t>
  </si>
  <si>
    <t>Customer Levelized Cost</t>
  </si>
  <si>
    <t>Total Levelized Cost</t>
  </si>
  <si>
    <t>PV Regional Electric Energy</t>
  </si>
  <si>
    <t>PV Regional Gas Energy</t>
  </si>
  <si>
    <t>PV Regional Electric T&amp;D Def. Cap.</t>
  </si>
  <si>
    <t>PV Regional Gas T&amp;D Def. Cap.</t>
  </si>
  <si>
    <t>PV Regional Electric System CO2</t>
  </si>
  <si>
    <t>PV Regional Gas System CO2</t>
  </si>
  <si>
    <t>PV Regional Electric System Risk-Mitigation Benefit</t>
  </si>
  <si>
    <t>PV Regional Gas System Risk-Mitigation Benefit</t>
  </si>
  <si>
    <t>PV Regional Non-E Value</t>
  </si>
  <si>
    <t>PV Regional Act Credit</t>
  </si>
  <si>
    <t>PV Regional Capital Cost</t>
  </si>
  <si>
    <t>PV Regional Admin Cost</t>
  </si>
  <si>
    <t>PV Regional Annual O&amp;M Cost</t>
  </si>
  <si>
    <t>PV Regional Periodic Replacement Cost</t>
  </si>
  <si>
    <t>PV Total Regional Benefit</t>
  </si>
  <si>
    <t>PV Total Regional Cost</t>
  </si>
  <si>
    <t>Electric System CO2 Avoided (Lifetime Tons)</t>
  </si>
  <si>
    <t>Gas System CO2 Avoided (Lifetime Tons)</t>
  </si>
  <si>
    <t>Total System CO2 Avoided (Lifetime Tons)</t>
  </si>
  <si>
    <t>Electric System CO2 Avoided (Annual Tons in 2018)</t>
  </si>
  <si>
    <t>Gas System CO2 Avoided (Annual Tons in 2018)</t>
  </si>
  <si>
    <t>Total System CO2 Avoided (Annual Tons in 2018)</t>
  </si>
  <si>
    <t>Gas Site Savings (therms)</t>
  </si>
  <si>
    <t>Load Shape (gas)</t>
  </si>
  <si>
    <t>Diversitfied Load Factor (gas)</t>
  </si>
  <si>
    <t>Wholesale Coincidence Factor (gas)</t>
  </si>
  <si>
    <t>Total Gas Utility System Energy</t>
  </si>
  <si>
    <t>Gas Utility System T&amp;D Def. Cap.</t>
  </si>
  <si>
    <t>Gas Utility System Risk Mitigation Benefit</t>
  </si>
  <si>
    <t>Gas Utility System Total System Benefit</t>
  </si>
  <si>
    <t>Gas Utility System Total Non-Consumer Cost</t>
  </si>
  <si>
    <t>Gas Utility System Net Levelized Cost (Net of Gas T&amp;D Capacity Benefits &amp; Risk-Mitigation Benefits) in cents/therm</t>
  </si>
  <si>
    <t>Gas Utility System System B/C Ratio</t>
  </si>
  <si>
    <t>Exterior Lighting: Parking Lot - HPS 250W to LED 135W - New</t>
  </si>
  <si>
    <t>(na)</t>
  </si>
  <si>
    <t>Exterior Lighting: Parking Lot - MH 400W to LED 180W - New</t>
  </si>
  <si>
    <t>Exterior Lighting: Parking Lot - MH 1000W to LED 421W - New</t>
  </si>
  <si>
    <t>Exterior Lighting: Parking Lot - HPS 250W to LED 135W - NR</t>
  </si>
  <si>
    <t>Exterior Lighting: Parking Lot - MH 400W to LED 180W - NR</t>
  </si>
  <si>
    <t>Exterior Lighting: Parking Lot - MH 1000W to LED 421W - NR</t>
  </si>
  <si>
    <t>Exterior Lighting: Parking Lot - HPS 250W to LED 135W - Retro</t>
  </si>
  <si>
    <t>Exterior Lighting: Parking Lot - MH 400W to LED 180W - Retro</t>
  </si>
  <si>
    <t>Exterior Lighting: Parking Lot - MH 1000W to LED 421W - Retro</t>
  </si>
  <si>
    <t>Exterior Lighting: Façade - HID 150W to LED 27W - New</t>
  </si>
  <si>
    <t>Exterior Lighting: Façade - HID 400W to LED 82W - New</t>
  </si>
  <si>
    <t>Exterior Lighting: Façade - HID 150W to LED 27W - NR</t>
  </si>
  <si>
    <t>Exterior Lighting: Façade - HID 400W to LED 82W - NR</t>
  </si>
  <si>
    <t>Exterior Lighting: Façade - HID 150W to LED 27W - Retro</t>
  </si>
  <si>
    <t>Exterior Lighting: Façade - HID 400W to LED 82W - Retro</t>
  </si>
  <si>
    <t>Exterior Lighting: Walkway - HID 150W to LED 28W - New</t>
  </si>
  <si>
    <t>Exterior Lighting: Walkway - CFL 26W to LED 12W - New</t>
  </si>
  <si>
    <t>Exterior Lighting: Walkway - INC 75W to LED 12W - New</t>
  </si>
  <si>
    <t>Exterior Lighting: Walkway - HID 150W to LED 29W - NR</t>
  </si>
  <si>
    <t>Exterior Lighting: Walkway - CFL 26W to LED 12W - NR</t>
  </si>
  <si>
    <t>Exterior Lighting: Walkway - INC 75W to LED 12W - NR</t>
  </si>
  <si>
    <t>Exterior Lighting: Walkway - HID 150W to LED 29W - Retro</t>
  </si>
  <si>
    <t>Exterior Lighting: Walkway - CFL 26W to LED 12W - Retro</t>
  </si>
  <si>
    <t>Exterior Lighting: Walkway - INC 75W to LED 12W - Retro</t>
  </si>
  <si>
    <t>Category Results; Sorted by TRC Levelized Cost</t>
  </si>
  <si>
    <t>Supply Curve Results; Categories sorted by TRC Net Levelized Cost</t>
  </si>
  <si>
    <t>Totals for Categories with Benefits Exceeding Costs.    Levelized cost is TRC Net Levelized Cost (Net of Benefits)</t>
  </si>
  <si>
    <t>Savings Allocation by Cost Bin and Month for Segments 1</t>
  </si>
  <si>
    <t>Savings Allocation by Cost Bin and Month for Segments 2</t>
  </si>
  <si>
    <t>Totals Basis</t>
  </si>
  <si>
    <t>Busbar Electric Savings in kWh</t>
  </si>
  <si>
    <t>Measures with B/C &gt; 1.00</t>
  </si>
  <si>
    <t>Categories with B/C &gt; 1.00</t>
  </si>
  <si>
    <t>Supply Curve Results:  By TRC Net Levelized Cost - Net of Benefits</t>
  </si>
  <si>
    <t>Block 1: &lt;= 0 mills/kWh</t>
  </si>
  <si>
    <t>Block 2: &lt;= 10 mills/kWh</t>
  </si>
  <si>
    <t>Block 3: 10-20 mills/kWh</t>
  </si>
  <si>
    <t>Block 4: 20-30 mills/kWh</t>
  </si>
  <si>
    <t>Block 5: 30-40 mills/kWh</t>
  </si>
  <si>
    <t>Block 6: 40-50 mills/kWh</t>
  </si>
  <si>
    <t>Block 7: 50-60 mills/kWh</t>
  </si>
  <si>
    <t>Block 8: 60-70 mills/kWh</t>
  </si>
  <si>
    <t>Block 9: 70-80 mills/kWh</t>
  </si>
  <si>
    <t>Block 10: 80-90 mills/kWh</t>
  </si>
  <si>
    <t>Block 11: 90-100 mills/kWh</t>
  </si>
  <si>
    <t>Block 12: 100-110 mills/kWh</t>
  </si>
  <si>
    <t>Block 13: 110-120 mills/kWh</t>
  </si>
  <si>
    <t>Block 14: 120-130 mills/kWh</t>
  </si>
  <si>
    <t>Block 15: 130-140 mills/kWh</t>
  </si>
  <si>
    <t>Block 16: 140-150 mills/kWh</t>
  </si>
  <si>
    <t>Block 17: 150-160 mills/kWh</t>
  </si>
  <si>
    <t>Block 18: 160-170 mills/kWh</t>
  </si>
  <si>
    <t>Block 19: 170-180 mills/kWh</t>
  </si>
  <si>
    <t>Block 20: 180-190 mills/kWh</t>
  </si>
  <si>
    <t>Block 21: 190-200 mills/kWh</t>
  </si>
  <si>
    <t>Block 22: &gt; 200 mills/kWh</t>
  </si>
  <si>
    <t>Convert to Table w/ 2012$</t>
  </si>
  <si>
    <t>Avg. Unit Installed Cost (2012$)</t>
  </si>
  <si>
    <t>Median Unit Installed Cost (2012$)</t>
  </si>
  <si>
    <t>Lower Quartile Installed Cost (2012$)</t>
  </si>
  <si>
    <t>Fixtures per Pole?</t>
  </si>
  <si>
    <t>Poles per KSF Indoor Space?</t>
  </si>
  <si>
    <t>Total Inc. Cost per Delta Watt</t>
  </si>
  <si>
    <t>slope</t>
  </si>
  <si>
    <t>int</t>
  </si>
  <si>
    <t>Chart Label</t>
  </si>
  <si>
    <t>7th Plan Built-Up Cost</t>
  </si>
  <si>
    <t>Use ETO Data Trendline to Estimate In Between Wattages (2012$)</t>
  </si>
  <si>
    <t>ETO Avg Cost</t>
  </si>
  <si>
    <t>ETO Median Cost</t>
  </si>
  <si>
    <t>ETO Lower Quartile Cost</t>
  </si>
  <si>
    <t>LED Fixture W</t>
  </si>
  <si>
    <t>i.e. from 400W (the largest category in the ETO data) to 421W.</t>
  </si>
  <si>
    <t xml:space="preserve">*Note that n (number of instances of a fixture in the ETO database) is small for the very large LED exterior fixtures. For example, </t>
  </si>
  <si>
    <t>n=6 for 400W fixtures, whereas n=191 for 90W fixtures. In addition, we are extrapolating slightly beyond the ETO data's limits,</t>
  </si>
  <si>
    <t>n, ETO dataset</t>
  </si>
  <si>
    <t>Representative Fixture W</t>
  </si>
  <si>
    <t>WattPost/WattPre</t>
  </si>
  <si>
    <t>Total Inc. Cost per  Watt Pre</t>
  </si>
  <si>
    <t>Build-Up of Other Metrics for Supply Curve Development</t>
  </si>
  <si>
    <t>Fraction Watts Non-LED</t>
  </si>
  <si>
    <t>Units Methodology</t>
  </si>
  <si>
    <t>Forecast Version</t>
  </si>
  <si>
    <t>Vintage</t>
  </si>
  <si>
    <t>Measure Bundle</t>
  </si>
  <si>
    <t>Report Year</t>
  </si>
  <si>
    <t>Total Potential (aMW)</t>
  </si>
  <si>
    <t>TOTAL</t>
  </si>
  <si>
    <t>TOTAL MAX</t>
  </si>
  <si>
    <t>Measure Applicability Factor</t>
  </si>
  <si>
    <t>Max Units</t>
  </si>
  <si>
    <t>Units</t>
  </si>
  <si>
    <t>Acheivable and 85% Max Per Year</t>
  </si>
  <si>
    <t>Achievability =&gt;</t>
  </si>
  <si>
    <t>Sum with 85% max</t>
  </si>
  <si>
    <t>Max Units 85%</t>
  </si>
  <si>
    <t>SUPPLY CURVE SAVINGS BY BUNDLE</t>
  </si>
  <si>
    <t>MWa</t>
  </si>
  <si>
    <t>lvlcost</t>
  </si>
  <si>
    <t>segment</t>
  </si>
  <si>
    <t>measure</t>
  </si>
  <si>
    <t>Program Ramp Annual Energy</t>
  </si>
  <si>
    <t>RECOMBINE MEASURE BUNDLES INTO SUPPLY CURVE CUMULATIVE</t>
  </si>
  <si>
    <t>&gt;=-9999</t>
  </si>
  <si>
    <t>&lt;=0</t>
  </si>
  <si>
    <t>&gt;0</t>
  </si>
  <si>
    <t>&lt;=10</t>
  </si>
  <si>
    <t>&gt;10</t>
  </si>
  <si>
    <t>&lt;=20</t>
  </si>
  <si>
    <t>&gt;20</t>
  </si>
  <si>
    <t>&lt;=30</t>
  </si>
  <si>
    <t>&gt;30</t>
  </si>
  <si>
    <t>&lt;=40</t>
  </si>
  <si>
    <t>&gt;40</t>
  </si>
  <si>
    <t>&lt;=50</t>
  </si>
  <si>
    <t>&gt;50</t>
  </si>
  <si>
    <t>&lt;=60</t>
  </si>
  <si>
    <t>&gt;60</t>
  </si>
  <si>
    <t>&lt;=70</t>
  </si>
  <si>
    <t>&gt;70</t>
  </si>
  <si>
    <t>&lt;=80</t>
  </si>
  <si>
    <t>&gt;80</t>
  </si>
  <si>
    <t>&lt;=90</t>
  </si>
  <si>
    <t>&gt;90</t>
  </si>
  <si>
    <t>&lt;=100</t>
  </si>
  <si>
    <t>&gt;100</t>
  </si>
  <si>
    <t>&lt;=110</t>
  </si>
  <si>
    <t>&gt;110</t>
  </si>
  <si>
    <t>&lt;=120</t>
  </si>
  <si>
    <t>&gt;120</t>
  </si>
  <si>
    <t>&lt;=130</t>
  </si>
  <si>
    <t>&gt;130</t>
  </si>
  <si>
    <t>&lt;=140</t>
  </si>
  <si>
    <t>&gt;140</t>
  </si>
  <si>
    <t>&lt;=150</t>
  </si>
  <si>
    <t>&gt;150</t>
  </si>
  <si>
    <t>&lt;=160</t>
  </si>
  <si>
    <t>&gt;160</t>
  </si>
  <si>
    <t>&lt;=170</t>
  </si>
  <si>
    <t>&gt;170</t>
  </si>
  <si>
    <t>&lt;=180</t>
  </si>
  <si>
    <t>&gt;180</t>
  </si>
  <si>
    <t>&lt;=190</t>
  </si>
  <si>
    <t>&gt;190</t>
  </si>
  <si>
    <t>&lt;=200</t>
  </si>
  <si>
    <t>Block 22: 200-210 mills/kWh</t>
  </si>
  <si>
    <t>&gt;200</t>
  </si>
  <si>
    <t>&lt;=210</t>
  </si>
  <si>
    <t>Block 23: 210-220 mills/kWh</t>
  </si>
  <si>
    <t>&gt;210</t>
  </si>
  <si>
    <t>&lt;=220</t>
  </si>
  <si>
    <t>Block 24: 220-230 mills/kWh</t>
  </si>
  <si>
    <t>&gt;220</t>
  </si>
  <si>
    <t>&lt;=230</t>
  </si>
  <si>
    <t>Block 25: 230-240 mills/kWh</t>
  </si>
  <si>
    <t>&gt;230</t>
  </si>
  <si>
    <t>&lt;=240</t>
  </si>
  <si>
    <t>Block 26: 240-250 mills/kWh</t>
  </si>
  <si>
    <t>&gt;240</t>
  </si>
  <si>
    <t>&lt;=250</t>
  </si>
  <si>
    <t>Block 27: 250-260 mills/kWh</t>
  </si>
  <si>
    <t>&gt;250</t>
  </si>
  <si>
    <t>&lt;=260</t>
  </si>
  <si>
    <t>Block 28: 260-270 mills/kWh</t>
  </si>
  <si>
    <t>&gt;260</t>
  </si>
  <si>
    <t>&lt;=270</t>
  </si>
  <si>
    <t>Block 29: 270-280 mills/kWh</t>
  </si>
  <si>
    <t>&gt;270</t>
  </si>
  <si>
    <t>&lt;=280</t>
  </si>
  <si>
    <t>Block 30: 280-290 mills/kWh</t>
  </si>
  <si>
    <t>&gt;280</t>
  </si>
  <si>
    <t>&lt;=290</t>
  </si>
  <si>
    <t>Block 31: 290-300 mills/kWh</t>
  </si>
  <si>
    <t>&gt;290</t>
  </si>
  <si>
    <t>&lt;=300</t>
  </si>
  <si>
    <t>Block 32: &gt;300 mills/kWh</t>
  </si>
  <si>
    <t>&gt;300</t>
  </si>
  <si>
    <t>&lt;=999</t>
  </si>
  <si>
    <t>RECOMBINE MEASURE BUNDLES INTO SUPPLY CURVE INREMENETAL</t>
  </si>
  <si>
    <t>SC_New</t>
  </si>
  <si>
    <t>Total per Year</t>
  </si>
  <si>
    <t>Total Cumulative</t>
  </si>
  <si>
    <t># UNITS RESIDUAL &amp; AVAILABLE TO NR/RETROFIT POOL</t>
  </si>
  <si>
    <t>Luminaires</t>
  </si>
  <si>
    <t>Life Offset</t>
  </si>
  <si>
    <t>Residual from Ramp Rate</t>
  </si>
  <si>
    <t>Available Residuals (do-overs)</t>
  </si>
  <si>
    <t>Max Annual Carryover to SC-NR</t>
  </si>
  <si>
    <t>CHECK</t>
  </si>
  <si>
    <t>Residual</t>
  </si>
  <si>
    <t>Achiev plus Residual</t>
  </si>
  <si>
    <t>Total Units</t>
  </si>
  <si>
    <t>Diff between ACH plus Resid and Total</t>
  </si>
  <si>
    <t>85% per year check</t>
  </si>
  <si>
    <t>Total Opportuntiies over 20 years</t>
  </si>
  <si>
    <t>REG_Office</t>
  </si>
  <si>
    <t>Large Off</t>
  </si>
  <si>
    <t>Medium Off</t>
  </si>
  <si>
    <t>Small Off</t>
  </si>
  <si>
    <t>REG_Retail</t>
  </si>
  <si>
    <t>XLarge Ret</t>
  </si>
  <si>
    <t>Large Ret</t>
  </si>
  <si>
    <t>Medium Ret</t>
  </si>
  <si>
    <t>Small Ret</t>
  </si>
  <si>
    <t>REG_K-12</t>
  </si>
  <si>
    <t>REG_University</t>
  </si>
  <si>
    <t>University</t>
  </si>
  <si>
    <t>REG_Warehouse</t>
  </si>
  <si>
    <t>REG_Grocery</t>
  </si>
  <si>
    <t>Supermarket</t>
  </si>
  <si>
    <t>REG_Grocery Other</t>
  </si>
  <si>
    <t>MiniMart</t>
  </si>
  <si>
    <t>REG_Restaurant</t>
  </si>
  <si>
    <t>REG_Hotel</t>
  </si>
  <si>
    <t>REG_hospital</t>
  </si>
  <si>
    <t>Hospital</t>
  </si>
  <si>
    <t>REG_Hospital Other</t>
  </si>
  <si>
    <t>REG_Assembly</t>
  </si>
  <si>
    <t>REG_Other</t>
  </si>
  <si>
    <t>Total Incremental</t>
  </si>
  <si>
    <t>Retail</t>
  </si>
  <si>
    <t>School</t>
  </si>
  <si>
    <t>Food
Service</t>
  </si>
  <si>
    <t>Residential
Care</t>
  </si>
  <si>
    <t>Exterior</t>
  </si>
  <si>
    <t>Source:  CBSA Report Lighitng Tables 2014-11-26.xlsx</t>
  </si>
  <si>
    <t>Health</t>
  </si>
  <si>
    <t>All</t>
  </si>
  <si>
    <t>Look Up Name</t>
  </si>
  <si>
    <t>Variable</t>
  </si>
  <si>
    <t>Xlarge Retail</t>
  </si>
  <si>
    <t>Large Retail</t>
  </si>
  <si>
    <t>Medium Retail</t>
  </si>
  <si>
    <t>Small Retail</t>
  </si>
  <si>
    <t>K-12</t>
  </si>
  <si>
    <t>Res Care</t>
  </si>
  <si>
    <t>LPD_Out_IndoorSF</t>
  </si>
  <si>
    <t>Sum of kw.pnw.frac</t>
  </si>
  <si>
    <t>Fluorescent T8/T5</t>
  </si>
  <si>
    <t>building_type</t>
  </si>
  <si>
    <t>lpd.o.mean</t>
  </si>
  <si>
    <t>n</t>
  </si>
  <si>
    <t>eb</t>
  </si>
  <si>
    <t>Signage</t>
  </si>
  <si>
    <t>Distribution of Outdoor Watts</t>
  </si>
  <si>
    <t>Sum Check</t>
  </si>
  <si>
    <t>Floor Area 2013 from CBSA</t>
  </si>
  <si>
    <t>variable</t>
  </si>
  <si>
    <t>value.mean.lpd</t>
  </si>
  <si>
    <t>Sum of kw.pnw.tot</t>
  </si>
  <si>
    <t>Distribution of Wattage By Use Type in Watts</t>
  </si>
  <si>
    <t>Distribution of Wattage By Use Type in %Watts</t>
  </si>
  <si>
    <t>From Grist CBSA State Case Weights 2014-12-19.xlsx</t>
  </si>
  <si>
    <t>Sum of Sf_State</t>
  </si>
  <si>
    <t>Distribtuion of LPD in W/KSF Building Floor Area including Hospital and Univeristy</t>
  </si>
  <si>
    <t>Proxy Measure Name</t>
  </si>
  <si>
    <t>Use Type</t>
  </si>
  <si>
    <t>Non-Building Stock</t>
  </si>
  <si>
    <t>Baseline Lamp Type</t>
  </si>
  <si>
    <t>LPD in W/KSF</t>
  </si>
  <si>
    <t>Fixture Share</t>
  </si>
  <si>
    <t>LPD for Measure &amp; Fixture</t>
  </si>
  <si>
    <t>Watt Saved per KSF</t>
  </si>
  <si>
    <t>Baseline Lamp Type LPD in W/KSF</t>
  </si>
  <si>
    <t>kWh Saved per KSF Floor Space</t>
  </si>
  <si>
    <t>aMW</t>
  </si>
  <si>
    <t xml:space="preserve">aMW Savings </t>
  </si>
  <si>
    <t>Total Inc. Cost per KSF</t>
  </si>
  <si>
    <t>cost per kWh in KSF</t>
  </si>
  <si>
    <t>cost per kWh in fixture</t>
  </si>
  <si>
    <t>kWh/kWh</t>
  </si>
  <si>
    <t>Cost/Cost</t>
  </si>
  <si>
    <t>Units per KSF Floor Area</t>
  </si>
  <si>
    <t>Weight by KSF Floor Area</t>
  </si>
  <si>
    <t>UNITS FOR NEW STOCK</t>
  </si>
  <si>
    <t>DOE 2014 SSL Assessment</t>
  </si>
  <si>
    <t>Type</t>
  </si>
  <si>
    <t>Sub Type</t>
  </si>
  <si>
    <t>General Service</t>
  </si>
  <si>
    <t>Decorative</t>
  </si>
  <si>
    <t>Directional</t>
  </si>
  <si>
    <t>PAR Lamp</t>
  </si>
  <si>
    <t>MR Lamp</t>
  </si>
  <si>
    <t>PAR Fixture</t>
  </si>
  <si>
    <t>MR Fixture</t>
  </si>
  <si>
    <t>Downlight</t>
  </si>
  <si>
    <t>DL Lamp</t>
  </si>
  <si>
    <t>DL Luminaire</t>
  </si>
  <si>
    <t>Linear Fluorescent Fixture</t>
  </si>
  <si>
    <t>Commercial</t>
  </si>
  <si>
    <t>Industrtial</t>
  </si>
  <si>
    <t>Low/High Bay</t>
  </si>
  <si>
    <t>Street &amp; Roadway</t>
  </si>
  <si>
    <t>Parking</t>
  </si>
  <si>
    <t>Lot</t>
  </si>
  <si>
    <t>Garage</t>
  </si>
  <si>
    <t>NEW FLOOR AREA APPLICABLE &amp; ACHIEVABLE BY YEAR FOR BUNDLE</t>
  </si>
  <si>
    <t>UNITS APPLICABLE BY YEAR</t>
  </si>
  <si>
    <t>Unit Multiplier (per KSF Floor Area)</t>
  </si>
  <si>
    <t>Normalize to Total Wattage</t>
  </si>
  <si>
    <t>Calculate Outdoor LPD per Builidng Floor Area</t>
  </si>
  <si>
    <t>Add Wattage for missing Hospital and University</t>
  </si>
  <si>
    <t>Start with map of total wattage by Use Type and Lamp Type.</t>
  </si>
  <si>
    <t># UNITS FOR EXISTING STOCK</t>
  </si>
  <si>
    <t># UNITS CARRYOVER FROM UNTREATED NEW STOCK</t>
  </si>
  <si>
    <t># UNITS TOTAL FOR NR POOL</t>
  </si>
  <si>
    <t>Annual Pool</t>
  </si>
  <si>
    <t>Total Pool (Max)</t>
  </si>
  <si>
    <t>APPLY MEASURE APPLICABILITY, SATURATION TURNOVER RATE FOR MAX ANNUAL # UNITS</t>
  </si>
  <si>
    <t>Existing Stock</t>
  </si>
  <si>
    <t>Applicability</t>
  </si>
  <si>
    <t>Saturation</t>
  </si>
  <si>
    <t>Turnover Rate</t>
  </si>
  <si>
    <t>Annual Max</t>
  </si>
  <si>
    <t>Carryover from Untreated New</t>
  </si>
  <si>
    <t>INCREMENTAL ACHIEVABILITY</t>
  </si>
  <si>
    <t>Program Max</t>
  </si>
  <si>
    <t>CUMULATIVE ADOPTION</t>
  </si>
  <si>
    <t>kWh per Luminaire</t>
  </si>
  <si>
    <t>Max Annual Available</t>
  </si>
  <si>
    <t>SC-NR</t>
  </si>
  <si>
    <t>Cumulative at Earliest Deployment</t>
  </si>
  <si>
    <t>Weight LPD for Measure &amp; Fixture</t>
  </si>
  <si>
    <t>HPS 250W-New</t>
  </si>
  <si>
    <t>MH 400W-New</t>
  </si>
  <si>
    <t>MH 1000W-New</t>
  </si>
  <si>
    <t>HID 150W-New</t>
  </si>
  <si>
    <t>HID 400W-New</t>
  </si>
  <si>
    <t>CFL 26W-New</t>
  </si>
  <si>
    <t>INC 75W-New</t>
  </si>
  <si>
    <t>User total stock.  Not differentiaed by Btype.</t>
  </si>
  <si>
    <t>Use sector total.  Measure not differentiated by Btype</t>
  </si>
  <si>
    <t>Turnover for NR</t>
  </si>
  <si>
    <t>HPS 250W-NR</t>
  </si>
  <si>
    <t>MH 400W-NR</t>
  </si>
  <si>
    <t>MH 1000W-NR</t>
  </si>
  <si>
    <t>HID 150W-NR</t>
  </si>
  <si>
    <t>HID 400W-NR</t>
  </si>
  <si>
    <t>CFL 26W-NR</t>
  </si>
  <si>
    <t>INC 75W-NR</t>
  </si>
  <si>
    <t xml:space="preserve">SSL fixtures are now available for the outdoor lighting in many form factors.  </t>
  </si>
  <si>
    <t>CBSA</t>
  </si>
  <si>
    <t>Measure applies to all floor area including new.</t>
  </si>
  <si>
    <t>LED has a small share of existing stock per CBSA.  About 2% by Watts and 4% by count.</t>
  </si>
  <si>
    <t>30% in New and NR for parking lot.  For façade and walkway and other exterior sites - about 25%.</t>
  </si>
  <si>
    <t>Based on Navigant 2014 estimates.  See DOE 2014 Sales Pen</t>
  </si>
  <si>
    <t>Varies by measure.  Typically 50K to 70K hours.</t>
  </si>
  <si>
    <t>Streetlight</t>
  </si>
  <si>
    <t>Exterior Building Lighting</t>
  </si>
  <si>
    <t xml:space="preserve">Exterior Building Lighting.  Includes Parking Lot, Façade, Walkway, Outdoor Sales, Signage and Other.  Does not include embedded Parking Garage or stand alone parking structures. </t>
  </si>
  <si>
    <t>Calculations normalized to W per 1000 SF of total building area.  Outdoor LPD is Outdoor W/KSF IndoorFloorArea.</t>
  </si>
  <si>
    <t>Used CBSA outdoor wattage by baseline technology type; HID, CFL and INC.  LF and LED make up small shares of existing stock.  CBSA used to produce a 49 cell matrix of wattage distribution by Use Type and Baseline Technology.  Calculation is Post/Pre Watts times 4300 hours per year times LPD for the major cells of the matrix.</t>
  </si>
  <si>
    <t xml:space="preserve"> Proxy measures were developed to reflect measures that would be applicable to the most prevalent fixture types, lamps types, wattages.  These proxy fixtures &amp; lamp replacements were aligned to the three most prevalent outdoor use types; parking lot, facade lighting, and walkway.    Several size categories each.  </t>
  </si>
  <si>
    <t>Based on retail costs from www sites as noted.  Also considered costs from recent ETO program and advice of Evergreen Consulting.  Included lamp and labor replacement cost avoidance in the POM cycle.</t>
  </si>
  <si>
    <t>Fast.  SSL technology and cost for outdoor application is rapidly falling.  New fixture costs are a small premium over incumbent in some applications</t>
  </si>
  <si>
    <t>Find suitable proxy measures</t>
  </si>
  <si>
    <t>Check ETO data</t>
  </si>
  <si>
    <t xml:space="preserve">Use total building floor area as the driver.  Savings and costs are calculated per KSF of indoor floor area.  </t>
  </si>
  <si>
    <t>Use total building floor area as the driver.  Savings and costs are calculated per KSF of indoor floor area.  Rfesidual flows to SC-NR</t>
  </si>
  <si>
    <t>Add controls measures for façade and walkway and potentially parking</t>
  </si>
  <si>
    <t>Add RPM Page</t>
  </si>
  <si>
    <t>Automate Forecast Population</t>
  </si>
  <si>
    <t xml:space="preserve">Review Proxy Measure selection and watt reduction with Evergreen, BPA others. </t>
  </si>
  <si>
    <t>Revise penetration with sales data from BPA/NEEA when available</t>
  </si>
  <si>
    <t>Review Proxy Measure selection and watt reduction with Evergreen, BPA others.  SSL applications for HID can show large power reductions due to better fixture performance and control of light output.  Find out what contractors are installing to replace the common fixture classes.</t>
  </si>
  <si>
    <t>ParkingLot</t>
  </si>
  <si>
    <t>BuildingFacade</t>
  </si>
  <si>
    <t>Walkway/Area</t>
  </si>
  <si>
    <t>HPS 250WParkingLot</t>
  </si>
  <si>
    <t>MH 400WParkingLot</t>
  </si>
  <si>
    <t>MH 1000WParkingLot</t>
  </si>
  <si>
    <t>HID 150WBuildingFacade</t>
  </si>
  <si>
    <t>HID 400WBuildingFacade</t>
  </si>
  <si>
    <t>HID 150WWalkway/Area</t>
  </si>
  <si>
    <t>CFL 26WWalkway/Area</t>
  </si>
  <si>
    <t>INC 75WWalkway/Area</t>
  </si>
  <si>
    <t>ExteriorSales</t>
  </si>
  <si>
    <t>SportingField</t>
  </si>
  <si>
    <t>Per KSF/Per Fixture</t>
  </si>
  <si>
    <t>Fixtures/KSF</t>
  </si>
  <si>
    <t>Convert Savings and Cost per fixture to savings and costs per KSF floor area for sup[ply curve unts</t>
  </si>
  <si>
    <t>Ramp Rate</t>
  </si>
  <si>
    <t>Resource Type</t>
  </si>
  <si>
    <t>Measure Category</t>
  </si>
  <si>
    <t>Sector</t>
  </si>
  <si>
    <t>End Use</t>
  </si>
  <si>
    <t>kW per unit</t>
  </si>
  <si>
    <t>kWh per unit</t>
  </si>
  <si>
    <t>TRC Net Levelized Cost (Net of All Benefits)</t>
  </si>
  <si>
    <t>MAX</t>
  </si>
  <si>
    <t>Lighting</t>
  </si>
  <si>
    <t>Parking Garage</t>
  </si>
  <si>
    <t>Description</t>
  </si>
  <si>
    <t>When</t>
  </si>
  <si>
    <t>3//5/2015</t>
  </si>
  <si>
    <t>Street</t>
  </si>
  <si>
    <t>400W</t>
  </si>
  <si>
    <t>150W</t>
  </si>
  <si>
    <t>Table I.1—Energy Conservation Standards for MHLFs</t>
  </si>
  <si>
    <t>Designed to be operated with lamps of the following rated lamp wattage</t>
  </si>
  <si>
    <t>Indoor/outdoor</t>
  </si>
  <si>
    <t>Test input voltage †</t>
  </si>
  <si>
    <r>
      <t>Minimum standard equation ‡ </t>
    </r>
    <r>
      <rPr>
        <b/>
        <i/>
        <sz val="11"/>
        <color rgb="FF333333"/>
        <rFont val="Arial"/>
        <family val="2"/>
      </rPr>
      <t>%</t>
    </r>
  </si>
  <si>
    <t>≥50 W and ≤100 W</t>
  </si>
  <si>
    <t>Indoor</t>
  </si>
  <si>
    <t>480 V</t>
  </si>
  <si>
    <t>(1/(1+1.24×P^(−0.351))) − 0.0200.</t>
  </si>
  <si>
    <t>All others</t>
  </si>
  <si>
    <t>1/(1+1.24×P^(−0.351)).</t>
  </si>
  <si>
    <t>1/(1+1.24×P(−0.351)).</t>
  </si>
  <si>
    <t>&gt;100 W and &lt;150 W *</t>
  </si>
  <si>
    <t>≥150 W ** and ≤250 W</t>
  </si>
  <si>
    <t>0.880.</t>
  </si>
  <si>
    <t>For ≥150 W and ≤200 W: 0.880.For &gt;200 W and ≤250 W:1/(1+0.876×P^(−0.351)).</t>
  </si>
  <si>
    <t>For ≥150 W and ≤200 W: 0.88.For &gt;200 W and ≤250 W:1/(1+0.876×P^(−0.351)).</t>
  </si>
  <si>
    <t>&gt;250 W and ≤500 W</t>
  </si>
  <si>
    <t>For &gt;250 W and &lt;265 W: 0.880.For ≥265 W and ≤500 W: (1/(1+0.876×P^(−0.351))) − 0.0100.</t>
  </si>
  <si>
    <t>1/(1+0.876×P^(−0.351)).</t>
  </si>
  <si>
    <t>&gt;500 W and ≤1000 W</t>
  </si>
  <si>
    <t>&gt;500 W and ≤750 W: 0.900.&gt;750 W and ≤1000 W:0.000104×P + 0.822.For &gt;500 W and ≤1000 W: may not utilize a probe-start ballast.</t>
  </si>
  <si>
    <t>For &gt;500 W and ≤750 W: 0.910.For &gt;750 W and ≤1000 W: 0.000104×P+0.832.For &gt;500 W and ≤1000 W: may not utilize a probe-start ballast.</t>
  </si>
  <si>
    <t>1/(1+0.876×P^(−0.351))) − 0.0100</t>
  </si>
  <si>
    <t>meets standard for 400W</t>
  </si>
  <si>
    <t>Linear Interpolation of DOE forecast 2013 to 2020</t>
  </si>
  <si>
    <t>From DOE Forecast Curve Chart</t>
  </si>
  <si>
    <t>Sales Penetration Estimates for Solid State Lighting</t>
  </si>
  <si>
    <t>Lookup Value</t>
  </si>
  <si>
    <t>DOE Forecast for 2015</t>
  </si>
  <si>
    <t>NEEA/BPA Sales Estimates 2014</t>
  </si>
  <si>
    <t>Council FC Forecast Baseline (2016)</t>
  </si>
  <si>
    <t>Estimates based on NEMA data; qualitative interviews and market expertise</t>
  </si>
  <si>
    <t>Notes</t>
  </si>
  <si>
    <t>LED_OMNI</t>
  </si>
  <si>
    <t>?</t>
  </si>
  <si>
    <t>this is directional-not to be replaed with omni?</t>
  </si>
  <si>
    <t>DISP_LED_PAR_MR</t>
  </si>
  <si>
    <t>DISP_LED_FIX_KIT</t>
  </si>
  <si>
    <t>CAN_LED_FIX_KIT</t>
  </si>
  <si>
    <t>LF_LED_FIX_KIT</t>
  </si>
  <si>
    <t>HIGHBAY_LED_FIX_KIT</t>
  </si>
  <si>
    <t>HIGHBAY_LF2018</t>
  </si>
  <si>
    <t>LF_LF2018</t>
  </si>
  <si>
    <t>LF_TLED_PIN_DIRECT_LINE_V</t>
  </si>
  <si>
    <t>LF_TLED_PIN_OVER_BALLAST</t>
  </si>
  <si>
    <t>CAN_LED_CAN_LAMP</t>
  </si>
  <si>
    <t>DISP_HID_CMH</t>
  </si>
  <si>
    <t>OTHER_CFL</t>
  </si>
  <si>
    <t>Q:\SeventhPlan\Conservation Analysis\Global EE Inputs\MC Files\MC_AND_LOADSHAPE_v3.0_24segment-7P-D9 - NewSegValues.xlsx</t>
  </si>
  <si>
    <t>ExteriorAll</t>
  </si>
  <si>
    <t>These data linked to IntLightComp which is the master</t>
  </si>
  <si>
    <t xml:space="preserve">From Nevin Lock and Carrie Cobb.  </t>
  </si>
  <si>
    <t>Revised life of LED pole mount to 50000 hours</t>
  </si>
  <si>
    <t>Revised cost of 135W LED to reflect lower volume pricing</t>
  </si>
  <si>
    <t>Revised interpolated DOE2014 forecast for Parking Garage and Parking Lot.  Now linked to IntLightComp version of DOE sales pen which serves as the master.</t>
  </si>
  <si>
    <t>Wednesday, 11 March , 2015 at 11:09 PM</t>
  </si>
  <si>
    <t>Stock 2016</t>
  </si>
  <si>
    <t>3/172015</t>
  </si>
  <si>
    <t>ks</t>
  </si>
  <si>
    <t>Added high/low forecast lookups</t>
  </si>
  <si>
    <t>v14.</t>
  </si>
  <si>
    <t>End-Use:</t>
  </si>
  <si>
    <t>Clean up</t>
  </si>
  <si>
    <t>3/172016</t>
  </si>
</sst>
</file>

<file path=xl/styles.xml><?xml version="1.0" encoding="utf-8"?>
<styleSheet xmlns="http://schemas.openxmlformats.org/spreadsheetml/2006/main">
  <numFmts count="23">
    <numFmt numFmtId="5" formatCode="&quot;$&quot;#,##0_);\(&quot;$&quot;#,##0\)"/>
    <numFmt numFmtId="44" formatCode="_(&quot;$&quot;* #,##0.00_);_(&quot;$&quot;* \(#,##0.00\);_(&quot;$&quot;* &quot;-&quot;??_);_(@_)"/>
    <numFmt numFmtId="43" formatCode="_(* #,##0.00_);_(* \(#,##0.00\);_(* &quot;-&quot;??_);_(@_)"/>
    <numFmt numFmtId="164" formatCode="0.0"/>
    <numFmt numFmtId="165" formatCode="0.00000000000000"/>
    <numFmt numFmtId="166" formatCode="0.000000"/>
    <numFmt numFmtId="167" formatCode="0.0000"/>
    <numFmt numFmtId="168" formatCode="_(* #,##0_);_(* \(#,##0\);_(* &quot;-&quot;??_);_(@_)"/>
    <numFmt numFmtId="169" formatCode="_(&quot;$&quot;* #,##0_);_(&quot;$&quot;* \(#,##0\);_(&quot;$&quot;* &quot;-&quot;??_);_(@_)"/>
    <numFmt numFmtId="170" formatCode="m/d/\ h:mm"/>
    <numFmt numFmtId="171" formatCode="0.000"/>
    <numFmt numFmtId="172" formatCode="&quot;$&quot;#,##0.00"/>
    <numFmt numFmtId="173" formatCode="&quot;$&quot;#,##0"/>
    <numFmt numFmtId="174" formatCode="0.0;[Red]\-0.0"/>
    <numFmt numFmtId="175" formatCode="\ "/>
    <numFmt numFmtId="176" formatCode="_(* #,##0.000_);_(* \(#,##0.000\);_(* &quot;-&quot;?_);_(@_)"/>
    <numFmt numFmtId="177" formatCode="_(* #,##0.0_);_(* \(#,##0.0\);_(* &quot;-&quot;?_);_(@_)"/>
    <numFmt numFmtId="178" formatCode="_(* #,##0.0_);_(* \(#,##0.0\);_(* &quot;-&quot;??_);_(@_)"/>
    <numFmt numFmtId="179" formatCode="_(* #,##0.0000_);_(* \(#,##0.0000\);_(* &quot;-&quot;??_);_(@_)"/>
    <numFmt numFmtId="180" formatCode="_(&quot;$&quot;* #,##0.0000_);_(&quot;$&quot;* \(#,##0.0000\);_(&quot;$&quot;* &quot;-&quot;??_);_(@_)"/>
    <numFmt numFmtId="181" formatCode="0.0%"/>
    <numFmt numFmtId="182" formatCode="_(* #,##0.000_);_(* \(#,##0.000\);_(* &quot;-&quot;??_);_(@_)"/>
    <numFmt numFmtId="183" formatCode="_(&quot;$&quot;* #,##0.0_);_(&quot;$&quot;* \(#,##0.0\);_(&quot;$&quot;* &quot;-&quot;??_);_(@_)"/>
  </numFmts>
  <fonts count="69">
    <font>
      <sz val="10"/>
      <color theme="1"/>
      <name val="Arial"/>
      <family val="2"/>
    </font>
    <font>
      <sz val="10"/>
      <color theme="1"/>
      <name val="Arial"/>
      <family val="2"/>
    </font>
    <font>
      <sz val="11"/>
      <color theme="1"/>
      <name val="Calibri"/>
      <family val="2"/>
      <scheme val="minor"/>
    </font>
    <font>
      <b/>
      <sz val="14"/>
      <color theme="1"/>
      <name val="Calibri"/>
      <family val="2"/>
      <scheme val="minor"/>
    </font>
    <font>
      <sz val="10"/>
      <name val="Arial"/>
      <family val="2"/>
    </font>
    <font>
      <b/>
      <sz val="11"/>
      <name val="Calibri"/>
      <family val="2"/>
      <scheme val="minor"/>
    </font>
    <font>
      <sz val="11"/>
      <name val="Calibri"/>
      <family val="2"/>
      <scheme val="minor"/>
    </font>
    <font>
      <sz val="12"/>
      <name val="Arial"/>
      <family val="2"/>
    </font>
    <font>
      <b/>
      <i/>
      <sz val="10"/>
      <name val="Arial"/>
      <family val="2"/>
    </font>
    <font>
      <b/>
      <sz val="10"/>
      <color rgb="FFFF0000"/>
      <name val="Arial"/>
      <family val="2"/>
    </font>
    <font>
      <b/>
      <sz val="10"/>
      <color indexed="9"/>
      <name val="Arial"/>
      <family val="2"/>
    </font>
    <font>
      <sz val="10"/>
      <color indexed="22"/>
      <name val="Arial"/>
      <family val="2"/>
    </font>
    <font>
      <sz val="10"/>
      <color indexed="12"/>
      <name val="Arial"/>
      <family val="2"/>
    </font>
    <font>
      <sz val="10"/>
      <color indexed="8"/>
      <name val="Arial"/>
      <family val="2"/>
    </font>
    <font>
      <b/>
      <sz val="10"/>
      <name val="Arial"/>
      <family val="2"/>
    </font>
    <font>
      <b/>
      <sz val="8"/>
      <color indexed="81"/>
      <name val="Tahoma"/>
      <family val="2"/>
    </font>
    <font>
      <sz val="8"/>
      <color indexed="81"/>
      <name val="Tahoma"/>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2"/>
      <name val="Times New Roman"/>
      <family val="1"/>
    </font>
    <font>
      <i/>
      <sz val="11"/>
      <color indexed="23"/>
      <name val="Calibri"/>
      <family val="2"/>
    </font>
    <font>
      <sz val="11"/>
      <color indexed="17"/>
      <name val="Calibri"/>
      <family val="2"/>
    </font>
    <font>
      <b/>
      <sz val="12"/>
      <name val="Times New Roman"/>
      <family val="1"/>
    </font>
    <font>
      <b/>
      <sz val="15"/>
      <color indexed="56"/>
      <name val="Calibri"/>
      <family val="2"/>
    </font>
    <font>
      <b/>
      <sz val="15"/>
      <color indexed="62"/>
      <name val="Calibri"/>
      <family val="2"/>
    </font>
    <font>
      <b/>
      <sz val="11"/>
      <color indexed="56"/>
      <name val="Calibri"/>
      <family val="2"/>
    </font>
    <font>
      <b/>
      <sz val="11"/>
      <color indexed="62"/>
      <name val="Calibri"/>
      <family val="2"/>
    </font>
    <font>
      <u/>
      <sz val="10"/>
      <color indexed="12"/>
      <name val="Arial"/>
      <family val="2"/>
    </font>
    <font>
      <u/>
      <sz val="10"/>
      <color theme="10"/>
      <name val="Arial"/>
      <family val="2"/>
    </font>
    <font>
      <sz val="11"/>
      <color indexed="62"/>
      <name val="Calibri"/>
      <family val="2"/>
    </font>
    <font>
      <sz val="11"/>
      <color indexed="52"/>
      <name val="Calibri"/>
      <family val="2"/>
    </font>
    <font>
      <sz val="11"/>
      <color indexed="60"/>
      <name val="Calibri"/>
      <family val="2"/>
    </font>
    <font>
      <sz val="12"/>
      <color theme="1"/>
      <name val="Palatino Linotype"/>
      <family val="2"/>
    </font>
    <font>
      <sz val="10"/>
      <name val="MS Sans Serif"/>
      <family val="2"/>
    </font>
    <font>
      <b/>
      <sz val="11"/>
      <color indexed="63"/>
      <name val="Calibri"/>
      <family val="2"/>
    </font>
    <font>
      <b/>
      <sz val="18"/>
      <color indexed="56"/>
      <name val="Cambria"/>
      <family val="2"/>
    </font>
    <font>
      <b/>
      <sz val="18"/>
      <color indexed="62"/>
      <name val="Cambria"/>
      <family val="2"/>
    </font>
    <font>
      <b/>
      <sz val="11"/>
      <color indexed="8"/>
      <name val="Calibri"/>
      <family val="2"/>
    </font>
    <font>
      <sz val="11"/>
      <color indexed="10"/>
      <name val="Calibri"/>
      <family val="2"/>
    </font>
    <font>
      <i/>
      <sz val="26"/>
      <color rgb="FF000000"/>
      <name val="Calibri"/>
      <family val="2"/>
    </font>
    <font>
      <sz val="11"/>
      <color theme="1"/>
      <name val="Calibri"/>
      <family val="2"/>
    </font>
    <font>
      <i/>
      <sz val="10"/>
      <color theme="1"/>
      <name val="Arial"/>
      <family val="2"/>
    </font>
    <font>
      <i/>
      <u/>
      <sz val="10"/>
      <color theme="10"/>
      <name val="Arial"/>
      <family val="2"/>
    </font>
    <font>
      <i/>
      <sz val="12"/>
      <color theme="1"/>
      <name val="Arial"/>
      <family val="2"/>
    </font>
    <font>
      <sz val="12"/>
      <color theme="1"/>
      <name val="Arial"/>
      <family val="2"/>
    </font>
    <font>
      <i/>
      <sz val="14"/>
      <color theme="1"/>
      <name val="Arial"/>
      <family val="2"/>
    </font>
    <font>
      <sz val="14"/>
      <color theme="1"/>
      <name val="Arial"/>
      <family val="2"/>
    </font>
    <font>
      <i/>
      <u/>
      <sz val="12"/>
      <color theme="10"/>
      <name val="Arial"/>
      <family val="2"/>
    </font>
    <font>
      <sz val="9"/>
      <color rgb="FF000000"/>
      <name val="Arial"/>
      <family val="2"/>
    </font>
    <font>
      <sz val="9"/>
      <color indexed="81"/>
      <name val="Tahoma"/>
      <family val="2"/>
    </font>
    <font>
      <b/>
      <sz val="9"/>
      <color indexed="81"/>
      <name val="Tahoma"/>
      <family val="2"/>
    </font>
    <font>
      <u/>
      <sz val="10"/>
      <name val="Arial"/>
      <family val="2"/>
    </font>
    <font>
      <b/>
      <sz val="10"/>
      <color theme="1"/>
      <name val="Arial"/>
      <family val="2"/>
    </font>
    <font>
      <sz val="10"/>
      <color theme="0" tint="-0.34998626667073579"/>
      <name val="Arial"/>
      <family val="2"/>
    </font>
    <font>
      <sz val="10"/>
      <color indexed="9"/>
      <name val="Arial"/>
      <family val="2"/>
    </font>
    <font>
      <sz val="10"/>
      <color indexed="10"/>
      <name val="Arial"/>
      <family val="2"/>
    </font>
    <font>
      <sz val="10"/>
      <color theme="0"/>
      <name val="Arial"/>
      <family val="2"/>
    </font>
    <font>
      <b/>
      <sz val="11"/>
      <color theme="1"/>
      <name val="Calibri"/>
      <family val="2"/>
      <scheme val="minor"/>
    </font>
    <font>
      <sz val="10"/>
      <color theme="0" tint="-0.499984740745262"/>
      <name val="Arial"/>
      <family val="2"/>
    </font>
    <font>
      <sz val="11"/>
      <color indexed="8"/>
      <name val="Calibri"/>
      <family val="2"/>
      <scheme val="minor"/>
    </font>
    <font>
      <b/>
      <sz val="11"/>
      <color indexed="8"/>
      <name val="Calibri"/>
      <family val="2"/>
      <scheme val="minor"/>
    </font>
    <font>
      <b/>
      <sz val="11"/>
      <color theme="0"/>
      <name val="Calibri"/>
      <family val="2"/>
      <scheme val="minor"/>
    </font>
    <font>
      <b/>
      <sz val="11"/>
      <color rgb="FF333333"/>
      <name val="Arial"/>
      <family val="2"/>
    </font>
    <font>
      <b/>
      <i/>
      <sz val="11"/>
      <color rgb="FF333333"/>
      <name val="Arial"/>
      <family val="2"/>
    </font>
    <font>
      <sz val="11"/>
      <color rgb="FF333333"/>
      <name val="Arial"/>
      <family val="2"/>
    </font>
    <font>
      <sz val="10"/>
      <color rgb="FF808080"/>
      <name val="Arial"/>
      <family val="2"/>
    </font>
  </fonts>
  <fills count="56">
    <fill>
      <patternFill patternType="none"/>
    </fill>
    <fill>
      <patternFill patternType="gray125"/>
    </fill>
    <fill>
      <patternFill patternType="solid">
        <fgColor theme="3" tint="0.79998168889431442"/>
        <bgColor indexed="64"/>
      </patternFill>
    </fill>
    <fill>
      <patternFill patternType="solid">
        <fgColor theme="2" tint="-9.9978637043366805E-2"/>
        <bgColor indexed="64"/>
      </patternFill>
    </fill>
    <fill>
      <patternFill patternType="solid">
        <fgColor indexed="18"/>
        <bgColor indexed="64"/>
      </patternFill>
    </fill>
    <fill>
      <patternFill patternType="solid">
        <fgColor indexed="26"/>
        <bgColor indexed="64"/>
      </patternFill>
    </fill>
    <fill>
      <patternFill patternType="solid">
        <fgColor indexed="12"/>
        <bgColor indexed="64"/>
      </patternFill>
    </fill>
    <fill>
      <patternFill patternType="solid">
        <fgColor theme="3"/>
        <bgColor indexed="64"/>
      </patternFill>
    </fill>
    <fill>
      <patternFill patternType="solid">
        <fgColor theme="6" tint="0.59999389629810485"/>
        <bgColor indexed="64"/>
      </patternFill>
    </fill>
    <fill>
      <patternFill patternType="solid">
        <fgColor indexed="22"/>
        <bgColor indexed="64"/>
      </patternFill>
    </fill>
    <fill>
      <patternFill patternType="solid">
        <fgColor theme="0" tint="-0.249977111117893"/>
        <bgColor indexed="64"/>
      </patternFill>
    </fill>
    <fill>
      <patternFill patternType="solid">
        <fgColor indexed="31"/>
      </patternFill>
    </fill>
    <fill>
      <patternFill patternType="solid">
        <fgColor indexed="9"/>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2"/>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49"/>
      </patternFill>
    </fill>
    <fill>
      <patternFill patternType="solid">
        <fgColor indexed="36"/>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55"/>
      </patternFill>
    </fill>
    <fill>
      <patternFill patternType="solid">
        <fgColor indexed="44"/>
        <bgColor indexed="64"/>
      </patternFill>
    </fill>
    <fill>
      <patternFill patternType="solid">
        <fgColor indexed="47"/>
        <bgColor indexed="64"/>
      </patternFill>
    </fill>
    <fill>
      <patternFill patternType="solid">
        <fgColor indexed="43"/>
      </patternFill>
    </fill>
    <fill>
      <patternFill patternType="solid">
        <fgColor indexed="26"/>
      </patternFill>
    </fill>
    <fill>
      <patternFill patternType="solid">
        <fgColor theme="2"/>
        <bgColor indexed="64"/>
      </patternFill>
    </fill>
    <fill>
      <patternFill patternType="solid">
        <fgColor rgb="FFDDD9C3"/>
        <bgColor rgb="FF000000"/>
      </patternFill>
    </fill>
    <fill>
      <patternFill patternType="solid">
        <fgColor theme="6" tint="0.39997558519241921"/>
        <bgColor indexed="64"/>
      </patternFill>
    </fill>
    <fill>
      <patternFill patternType="solid">
        <fgColor theme="8" tint="0.79998168889431442"/>
        <bgColor indexed="64"/>
      </patternFill>
    </fill>
    <fill>
      <patternFill patternType="solid">
        <fgColor rgb="FFFFFF00"/>
        <bgColor indexed="64"/>
      </patternFill>
    </fill>
    <fill>
      <patternFill patternType="solid">
        <fgColor theme="4" tint="0.79998168889431442"/>
        <bgColor indexed="64"/>
      </patternFill>
    </fill>
    <fill>
      <patternFill patternType="solid">
        <fgColor theme="0" tint="-0.499984740745262"/>
        <bgColor indexed="64"/>
      </patternFill>
    </fill>
    <fill>
      <patternFill patternType="solid">
        <fgColor indexed="57"/>
        <bgColor indexed="64"/>
      </patternFill>
    </fill>
    <fill>
      <patternFill patternType="solid">
        <fgColor indexed="60"/>
        <bgColor indexed="64"/>
      </patternFill>
    </fill>
    <fill>
      <patternFill patternType="solid">
        <fgColor indexed="31"/>
        <bgColor indexed="64"/>
      </patternFill>
    </fill>
    <fill>
      <patternFill patternType="solid">
        <fgColor rgb="FFFFC000"/>
        <bgColor indexed="64"/>
      </patternFill>
    </fill>
    <fill>
      <patternFill patternType="solid">
        <fgColor theme="4" tint="-0.249977111117893"/>
        <bgColor indexed="64"/>
      </patternFill>
    </fill>
    <fill>
      <patternFill patternType="solid">
        <fgColor theme="0" tint="-0.14999847407452621"/>
        <bgColor indexed="64"/>
      </patternFill>
    </fill>
    <fill>
      <patternFill patternType="solid">
        <fgColor theme="8" tint="0.39997558519241921"/>
        <bgColor indexed="64"/>
      </patternFill>
    </fill>
    <fill>
      <patternFill patternType="solid">
        <fgColor theme="6" tint="0.79998168889431442"/>
        <bgColor indexed="64"/>
      </patternFill>
    </fill>
    <fill>
      <patternFill patternType="solid">
        <fgColor theme="8" tint="0.59999389629810485"/>
        <bgColor indexed="64"/>
      </patternFill>
    </fill>
    <fill>
      <patternFill patternType="solid">
        <fgColor theme="8" tint="-0.249977111117893"/>
        <bgColor indexed="64"/>
      </patternFill>
    </fill>
    <fill>
      <patternFill patternType="solid">
        <fgColor rgb="FFFFFFFF"/>
        <bgColor indexed="64"/>
      </patternFill>
    </fill>
    <fill>
      <patternFill patternType="solid">
        <fgColor rgb="FFDDD9C4"/>
        <bgColor rgb="FF000000"/>
      </patternFill>
    </fill>
  </fills>
  <borders count="47">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49"/>
      </bottom>
      <diagonal/>
    </border>
    <border>
      <left/>
      <right/>
      <top/>
      <bottom style="medium">
        <color indexed="30"/>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49"/>
      </top>
      <bottom style="double">
        <color indexed="49"/>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top/>
      <bottom style="medium">
        <color rgb="FFCCCCCC"/>
      </bottom>
      <diagonal/>
    </border>
    <border>
      <left style="medium">
        <color rgb="FFCCCCCC"/>
      </left>
      <right/>
      <top style="medium">
        <color rgb="FFCCCCCC"/>
      </top>
      <bottom style="medium">
        <color rgb="FFCCCCCC"/>
      </bottom>
      <diagonal/>
    </border>
    <border>
      <left/>
      <right/>
      <top style="medium">
        <color rgb="FFCCCCCC"/>
      </top>
      <bottom style="medium">
        <color rgb="FFCCCCCC"/>
      </bottom>
      <diagonal/>
    </border>
    <border>
      <left/>
      <right style="medium">
        <color rgb="FFCCCCCC"/>
      </right>
      <top style="medium">
        <color rgb="FFCCCCCC"/>
      </top>
      <bottom style="medium">
        <color rgb="FFCCCCCC"/>
      </bottom>
      <diagonal/>
    </border>
    <border>
      <left style="medium">
        <color rgb="FFCCCCCC"/>
      </left>
      <right/>
      <top/>
      <bottom style="medium">
        <color rgb="FFCCCCCC"/>
      </bottom>
      <diagonal/>
    </border>
    <border>
      <left/>
      <right style="medium">
        <color rgb="FFCCCCCC"/>
      </right>
      <top/>
      <bottom style="medium">
        <color rgb="FFCCCCCC"/>
      </bottom>
      <diagonal/>
    </border>
  </borders>
  <cellStyleXfs count="191">
    <xf numFmtId="0" fontId="0" fillId="0" borderId="0"/>
    <xf numFmtId="43" fontId="1" fillId="0" borderId="0" applyFont="0" applyFill="0" applyBorder="0" applyAlignment="0" applyProtection="0"/>
    <xf numFmtId="44" fontId="1" fillId="0" borderId="0" applyFont="0" applyFill="0" applyBorder="0" applyAlignment="0" applyProtection="0"/>
    <xf numFmtId="0" fontId="4" fillId="0" borderId="0">
      <alignment readingOrder="1"/>
    </xf>
    <xf numFmtId="0" fontId="4" fillId="0" borderId="0">
      <alignment readingOrder="1"/>
    </xf>
    <xf numFmtId="0" fontId="4" fillId="0" borderId="0"/>
    <xf numFmtId="0" fontId="7" fillId="0" borderId="0"/>
    <xf numFmtId="0" fontId="4" fillId="0" borderId="0"/>
    <xf numFmtId="0" fontId="4" fillId="0" borderId="0"/>
    <xf numFmtId="0" fontId="17"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7" fillId="14" borderId="0" applyNumberFormat="0" applyBorder="0" applyAlignment="0" applyProtection="0"/>
    <xf numFmtId="0" fontId="17" fillId="13" borderId="0" applyNumberFormat="0" applyBorder="0" applyAlignment="0" applyProtection="0"/>
    <xf numFmtId="0" fontId="17" fillId="15" borderId="0" applyNumberFormat="0" applyBorder="0" applyAlignment="0" applyProtection="0"/>
    <xf numFmtId="0" fontId="17" fillId="12"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7" fillId="18" borderId="0" applyNumberFormat="0" applyBorder="0" applyAlignment="0" applyProtection="0"/>
    <xf numFmtId="0" fontId="17" fillId="19" borderId="0" applyNumberFormat="0" applyBorder="0" applyAlignment="0" applyProtection="0"/>
    <xf numFmtId="0" fontId="17" fillId="20" borderId="0" applyNumberFormat="0" applyBorder="0" applyAlignment="0" applyProtection="0"/>
    <xf numFmtId="0" fontId="17" fillId="13" borderId="0" applyNumberFormat="0" applyBorder="0" applyAlignment="0" applyProtection="0"/>
    <xf numFmtId="0" fontId="17" fillId="21" borderId="0" applyNumberFormat="0" applyBorder="0" applyAlignment="0" applyProtection="0"/>
    <xf numFmtId="0" fontId="17" fillId="13" borderId="0" applyNumberFormat="0" applyBorder="0" applyAlignment="0" applyProtection="0"/>
    <xf numFmtId="0" fontId="17" fillId="15" borderId="0" applyNumberFormat="0" applyBorder="0" applyAlignment="0" applyProtection="0"/>
    <xf numFmtId="0" fontId="17" fillId="19" borderId="0" applyNumberFormat="0" applyBorder="0" applyAlignment="0" applyProtection="0"/>
    <xf numFmtId="0" fontId="17" fillId="18" borderId="0" applyNumberFormat="0" applyBorder="0" applyAlignment="0" applyProtection="0"/>
    <xf numFmtId="0" fontId="17" fillId="22" borderId="0" applyNumberFormat="0" applyBorder="0" applyAlignment="0" applyProtection="0"/>
    <xf numFmtId="0" fontId="17" fillId="17" borderId="0" applyNumberFormat="0" applyBorder="0" applyAlignment="0" applyProtection="0"/>
    <xf numFmtId="0" fontId="18" fillId="23" borderId="0" applyNumberFormat="0" applyBorder="0" applyAlignment="0" applyProtection="0"/>
    <xf numFmtId="0" fontId="18" fillId="24" borderId="0" applyNumberFormat="0" applyBorder="0" applyAlignment="0" applyProtection="0"/>
    <xf numFmtId="0" fontId="18" fillId="20" borderId="0" applyNumberFormat="0" applyBorder="0" applyAlignment="0" applyProtection="0"/>
    <xf numFmtId="0" fontId="18" fillId="13" borderId="0" applyNumberFormat="0" applyBorder="0" applyAlignment="0" applyProtection="0"/>
    <xf numFmtId="0" fontId="18" fillId="21" borderId="0" applyNumberFormat="0" applyBorder="0" applyAlignment="0" applyProtection="0"/>
    <xf numFmtId="0" fontId="18" fillId="13" borderId="0" applyNumberFormat="0" applyBorder="0" applyAlignment="0" applyProtection="0"/>
    <xf numFmtId="0" fontId="18" fillId="25" borderId="0" applyNumberFormat="0" applyBorder="0" applyAlignment="0" applyProtection="0"/>
    <xf numFmtId="0" fontId="18" fillId="19" borderId="0" applyNumberFormat="0" applyBorder="0" applyAlignment="0" applyProtection="0"/>
    <xf numFmtId="0" fontId="18" fillId="24" borderId="0" applyNumberFormat="0" applyBorder="0" applyAlignment="0" applyProtection="0"/>
    <xf numFmtId="0" fontId="18" fillId="26" borderId="0" applyNumberFormat="0" applyBorder="0" applyAlignment="0" applyProtection="0"/>
    <xf numFmtId="0" fontId="18" fillId="17" borderId="0" applyNumberFormat="0" applyBorder="0" applyAlignment="0" applyProtection="0"/>
    <xf numFmtId="0" fontId="18" fillId="27" borderId="0" applyNumberFormat="0" applyBorder="0" applyAlignment="0" applyProtection="0"/>
    <xf numFmtId="0" fontId="18" fillId="24" borderId="0" applyNumberFormat="0" applyBorder="0" applyAlignment="0" applyProtection="0"/>
    <xf numFmtId="0" fontId="18" fillId="28" borderId="0" applyNumberFormat="0" applyBorder="0" applyAlignment="0" applyProtection="0"/>
    <xf numFmtId="0" fontId="18" fillId="29" borderId="0" applyNumberFormat="0" applyBorder="0" applyAlignment="0" applyProtection="0"/>
    <xf numFmtId="0" fontId="18" fillId="13" borderId="0" applyNumberFormat="0" applyBorder="0" applyAlignment="0" applyProtection="0"/>
    <xf numFmtId="0" fontId="18" fillId="25" borderId="0" applyNumberFormat="0" applyBorder="0" applyAlignment="0" applyProtection="0"/>
    <xf numFmtId="0" fontId="18" fillId="30" borderId="0" applyNumberFormat="0" applyBorder="0" applyAlignment="0" applyProtection="0"/>
    <xf numFmtId="0" fontId="18" fillId="24" borderId="0" applyNumberFormat="0" applyBorder="0" applyAlignment="0" applyProtection="0"/>
    <xf numFmtId="0" fontId="18" fillId="31" borderId="0" applyNumberFormat="0" applyBorder="0" applyAlignment="0" applyProtection="0"/>
    <xf numFmtId="0" fontId="19" fillId="13" borderId="0" applyNumberFormat="0" applyBorder="0" applyAlignment="0" applyProtection="0"/>
    <xf numFmtId="0" fontId="19" fillId="15" borderId="0" applyNumberFormat="0" applyBorder="0" applyAlignment="0" applyProtection="0"/>
    <xf numFmtId="0" fontId="20" fillId="19" borderId="12" applyNumberFormat="0" applyAlignment="0" applyProtection="0"/>
    <xf numFmtId="0" fontId="20" fillId="12" borderId="12" applyNumberFormat="0" applyAlignment="0" applyProtection="0"/>
    <xf numFmtId="0" fontId="21" fillId="32" borderId="13" applyNumberFormat="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4" fillId="33" borderId="0" applyNumberFormat="0" applyAlignment="0">
      <alignment horizontal="right"/>
    </xf>
    <xf numFmtId="0" fontId="4" fillId="33" borderId="0" applyNumberFormat="0" applyAlignment="0">
      <alignment horizontal="right"/>
    </xf>
    <xf numFmtId="0" fontId="4" fillId="33" borderId="0" applyNumberFormat="0" applyAlignment="0">
      <alignment horizontal="right"/>
    </xf>
    <xf numFmtId="0" fontId="4" fillId="33" borderId="0" applyNumberFormat="0" applyAlignment="0">
      <alignment horizontal="right"/>
    </xf>
    <xf numFmtId="0" fontId="4" fillId="33" borderId="0" applyNumberFormat="0" applyAlignment="0">
      <alignment horizontal="right"/>
    </xf>
    <xf numFmtId="0" fontId="4" fillId="33" borderId="0" applyNumberFormat="0" applyAlignment="0">
      <alignment horizontal="right"/>
    </xf>
    <xf numFmtId="0" fontId="4" fillId="34" borderId="0" applyNumberFormat="0" applyAlignment="0"/>
    <xf numFmtId="170" fontId="22" fillId="0" borderId="0"/>
    <xf numFmtId="0" fontId="23" fillId="0" borderId="0" applyNumberFormat="0" applyFill="0" applyBorder="0" applyAlignment="0" applyProtection="0"/>
    <xf numFmtId="0" fontId="24" fillId="14" borderId="0" applyNumberFormat="0" applyBorder="0" applyAlignment="0" applyProtection="0"/>
    <xf numFmtId="0" fontId="25" fillId="0" borderId="0">
      <alignment horizontal="center" wrapText="1"/>
    </xf>
    <xf numFmtId="0" fontId="26" fillId="0" borderId="14" applyNumberFormat="0" applyFill="0" applyAlignment="0" applyProtection="0"/>
    <xf numFmtId="0" fontId="27" fillId="0" borderId="15" applyNumberFormat="0" applyFill="0" applyAlignment="0" applyProtection="0"/>
    <xf numFmtId="0" fontId="28" fillId="0" borderId="16" applyNumberFormat="0" applyFill="0" applyAlignment="0" applyProtection="0"/>
    <xf numFmtId="0" fontId="29" fillId="0" borderId="17" applyNumberFormat="0" applyFill="0" applyAlignment="0" applyProtection="0"/>
    <xf numFmtId="0" fontId="28"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32" fillId="17" borderId="12" applyNumberFormat="0" applyAlignment="0" applyProtection="0"/>
    <xf numFmtId="0" fontId="33" fillId="0" borderId="18" applyNumberFormat="0" applyFill="0" applyAlignment="0" applyProtection="0"/>
    <xf numFmtId="0" fontId="34" fillId="35" borderId="0" applyNumberFormat="0" applyBorder="0" applyAlignment="0" applyProtection="0"/>
    <xf numFmtId="0" fontId="17" fillId="0" borderId="0"/>
    <xf numFmtId="0" fontId="17" fillId="0" borderId="0"/>
    <xf numFmtId="0" fontId="17" fillId="0" borderId="0"/>
    <xf numFmtId="0" fontId="4" fillId="0" borderId="0"/>
    <xf numFmtId="0" fontId="2" fillId="0" borderId="0"/>
    <xf numFmtId="0" fontId="4" fillId="0" borderId="0">
      <alignment readingOrder="1"/>
    </xf>
    <xf numFmtId="0" fontId="2" fillId="0" borderId="0"/>
    <xf numFmtId="0" fontId="2" fillId="0" borderId="0"/>
    <xf numFmtId="0" fontId="2" fillId="0" borderId="0"/>
    <xf numFmtId="0" fontId="2" fillId="0" borderId="0"/>
    <xf numFmtId="0" fontId="2" fillId="0" borderId="0"/>
    <xf numFmtId="0" fontId="4" fillId="0" borderId="0">
      <alignment readingOrder="1"/>
    </xf>
    <xf numFmtId="0" fontId="2" fillId="0" borderId="0"/>
    <xf numFmtId="0" fontId="35" fillId="0" borderId="0"/>
    <xf numFmtId="0" fontId="4" fillId="0" borderId="0"/>
    <xf numFmtId="0" fontId="4" fillId="0" borderId="0"/>
    <xf numFmtId="0" fontId="4" fillId="0" borderId="0"/>
    <xf numFmtId="0" fontId="4" fillId="0" borderId="0"/>
    <xf numFmtId="0" fontId="4" fillId="0" borderId="0"/>
    <xf numFmtId="0" fontId="4" fillId="0" borderId="0"/>
    <xf numFmtId="0" fontId="17" fillId="0" borderId="0"/>
    <xf numFmtId="0" fontId="17" fillId="0" borderId="0"/>
    <xf numFmtId="0" fontId="4" fillId="0" borderId="0"/>
    <xf numFmtId="0" fontId="4" fillId="0" borderId="0">
      <alignment readingOrder="1"/>
    </xf>
    <xf numFmtId="0" fontId="4" fillId="0" borderId="0">
      <alignment readingOrder="1"/>
    </xf>
    <xf numFmtId="0" fontId="4" fillId="0" borderId="0">
      <alignment readingOrder="1"/>
    </xf>
    <xf numFmtId="0" fontId="17" fillId="0" borderId="0"/>
    <xf numFmtId="0" fontId="4" fillId="0" borderId="0">
      <alignment readingOrder="1"/>
    </xf>
    <xf numFmtId="0" fontId="4" fillId="0" borderId="0"/>
    <xf numFmtId="0" fontId="4" fillId="0" borderId="0">
      <alignment readingOrder="1"/>
    </xf>
    <xf numFmtId="0" fontId="4" fillId="0" borderId="0"/>
    <xf numFmtId="0" fontId="4" fillId="0" borderId="0"/>
    <xf numFmtId="0" fontId="4" fillId="0" borderId="0"/>
    <xf numFmtId="0" fontId="4" fillId="0" borderId="0"/>
    <xf numFmtId="0" fontId="4" fillId="0" borderId="0"/>
    <xf numFmtId="0" fontId="2" fillId="0" borderId="0"/>
    <xf numFmtId="0" fontId="1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7" fillId="0" borderId="0"/>
    <xf numFmtId="0" fontId="17" fillId="0" borderId="0"/>
    <xf numFmtId="0" fontId="36" fillId="0" borderId="0"/>
    <xf numFmtId="0" fontId="17" fillId="0" borderId="0"/>
    <xf numFmtId="0" fontId="17" fillId="0" borderId="0"/>
    <xf numFmtId="0" fontId="17" fillId="0" borderId="0"/>
    <xf numFmtId="0" fontId="17" fillId="0" borderId="0"/>
    <xf numFmtId="0" fontId="4" fillId="0" borderId="0">
      <alignment readingOrder="1"/>
    </xf>
    <xf numFmtId="0" fontId="4" fillId="0" borderId="0">
      <alignment readingOrder="1"/>
    </xf>
    <xf numFmtId="0" fontId="4" fillId="0" borderId="0">
      <alignment readingOrder="1"/>
    </xf>
    <xf numFmtId="0" fontId="17" fillId="36" borderId="19" applyNumberFormat="0" applyFont="0" applyAlignment="0" applyProtection="0"/>
    <xf numFmtId="0" fontId="4" fillId="36" borderId="19" applyNumberFormat="0" applyFont="0" applyAlignment="0" applyProtection="0"/>
    <xf numFmtId="0" fontId="37" fillId="19" borderId="20" applyNumberFormat="0" applyAlignment="0" applyProtection="0"/>
    <xf numFmtId="0" fontId="37" fillId="12" borderId="20" applyNumberFormat="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40" fillId="0" borderId="21" applyNumberFormat="0" applyFill="0" applyAlignment="0" applyProtection="0"/>
    <xf numFmtId="0" fontId="40" fillId="0" borderId="22" applyNumberFormat="0" applyFill="0" applyAlignment="0" applyProtection="0"/>
    <xf numFmtId="0" fontId="41" fillId="0" borderId="0" applyNumberFormat="0" applyFill="0" applyBorder="0" applyAlignment="0" applyProtection="0"/>
    <xf numFmtId="0" fontId="4" fillId="0" borderId="0"/>
    <xf numFmtId="0" fontId="4" fillId="0" borderId="0"/>
    <xf numFmtId="0" fontId="31" fillId="0" borderId="0" applyNumberFormat="0" applyFill="0" applyBorder="0" applyAlignment="0" applyProtection="0">
      <alignment vertical="top"/>
      <protection locked="0"/>
    </xf>
    <xf numFmtId="9" fontId="1" fillId="0" borderId="0" applyFont="0" applyFill="0" applyBorder="0" applyAlignment="0" applyProtection="0"/>
    <xf numFmtId="0" fontId="4" fillId="0" borderId="0"/>
  </cellStyleXfs>
  <cellXfs count="470">
    <xf numFmtId="0" fontId="0" fillId="0" borderId="0" xfId="0"/>
    <xf numFmtId="0" fontId="2" fillId="0" borderId="0" xfId="0" applyFont="1"/>
    <xf numFmtId="0" fontId="3" fillId="2" borderId="1" xfId="0" applyFont="1" applyFill="1" applyBorder="1"/>
    <xf numFmtId="0" fontId="3" fillId="2" borderId="2" xfId="0" applyFont="1" applyFill="1" applyBorder="1"/>
    <xf numFmtId="0" fontId="3" fillId="2" borderId="3" xfId="0" applyFont="1" applyFill="1" applyBorder="1"/>
    <xf numFmtId="0" fontId="5" fillId="3" borderId="4" xfId="3" applyFont="1" applyFill="1" applyBorder="1" applyAlignment="1">
      <alignment horizontal="left" vertical="center" wrapText="1"/>
    </xf>
    <xf numFmtId="0" fontId="5" fillId="3" borderId="5" xfId="3" applyFont="1" applyFill="1" applyBorder="1" applyAlignment="1">
      <alignment horizontal="left" vertical="center" wrapText="1"/>
    </xf>
    <xf numFmtId="0" fontId="6" fillId="0" borderId="5" xfId="3" applyNumberFormat="1" applyFont="1" applyFill="1" applyBorder="1" applyAlignment="1">
      <alignment horizontal="left" vertical="center" wrapText="1"/>
    </xf>
    <xf numFmtId="0" fontId="6" fillId="0" borderId="5" xfId="3" applyFont="1" applyFill="1" applyBorder="1" applyAlignment="1">
      <alignment horizontal="left" vertical="center" wrapText="1"/>
    </xf>
    <xf numFmtId="0" fontId="2" fillId="0" borderId="5" xfId="3" applyFont="1" applyFill="1" applyBorder="1" applyAlignment="1">
      <alignment horizontal="left" vertical="center" wrapText="1"/>
    </xf>
    <xf numFmtId="0" fontId="6" fillId="0" borderId="5" xfId="3" applyFont="1" applyBorder="1" applyAlignment="1">
      <alignment horizontal="left" vertical="center" wrapText="1" readingOrder="1"/>
    </xf>
    <xf numFmtId="0" fontId="6" fillId="0" borderId="5" xfId="3" applyNumberFormat="1" applyFont="1" applyBorder="1" applyAlignment="1">
      <alignment horizontal="left" vertical="center" wrapText="1" readingOrder="1"/>
    </xf>
    <xf numFmtId="0" fontId="6" fillId="0" borderId="5" xfId="3" applyFont="1" applyBorder="1" applyAlignment="1">
      <alignment vertical="center" wrapText="1" readingOrder="1"/>
    </xf>
    <xf numFmtId="0" fontId="6" fillId="0" borderId="5" xfId="3" applyFont="1" applyBorder="1" applyAlignment="1">
      <alignment wrapText="1" readingOrder="1"/>
    </xf>
    <xf numFmtId="0" fontId="6" fillId="0" borderId="5" xfId="3" applyNumberFormat="1" applyFont="1" applyBorder="1" applyAlignment="1">
      <alignment vertical="center" wrapText="1" readingOrder="1"/>
    </xf>
    <xf numFmtId="0" fontId="8" fillId="0" borderId="0" xfId="6" applyFont="1"/>
    <xf numFmtId="0" fontId="9" fillId="0" borderId="0" xfId="8" applyFont="1"/>
    <xf numFmtId="0" fontId="4" fillId="0" borderId="0" xfId="6" applyFont="1"/>
    <xf numFmtId="5" fontId="4" fillId="0" borderId="0" xfId="6" applyNumberFormat="1" applyFont="1"/>
    <xf numFmtId="164" fontId="4" fillId="0" borderId="0" xfId="6" applyNumberFormat="1" applyFont="1"/>
    <xf numFmtId="164" fontId="9" fillId="0" borderId="0" xfId="6" applyNumberFormat="1" applyFont="1"/>
    <xf numFmtId="0" fontId="4" fillId="0" borderId="0" xfId="6" applyFont="1" applyFill="1"/>
    <xf numFmtId="165" fontId="4" fillId="0" borderId="0" xfId="6" applyNumberFormat="1" applyFont="1"/>
    <xf numFmtId="0" fontId="8" fillId="0" borderId="0" xfId="6" applyFont="1" applyAlignment="1">
      <alignment horizontal="left"/>
    </xf>
    <xf numFmtId="0" fontId="0" fillId="0" borderId="0" xfId="0">
      <alignment readingOrder="1"/>
    </xf>
    <xf numFmtId="166" fontId="0" fillId="0" borderId="0" xfId="0" applyNumberFormat="1" applyAlignment="1">
      <alignment horizontal="center" readingOrder="1"/>
    </xf>
    <xf numFmtId="167" fontId="0" fillId="0" borderId="0" xfId="0" applyNumberFormat="1" applyAlignment="1">
      <alignment horizontal="center" readingOrder="1"/>
    </xf>
    <xf numFmtId="0" fontId="4" fillId="0" borderId="0" xfId="0" applyFont="1">
      <alignment readingOrder="1"/>
    </xf>
    <xf numFmtId="0" fontId="4" fillId="0" borderId="0" xfId="6" applyFont="1" applyAlignment="1">
      <alignment horizontal="center"/>
    </xf>
    <xf numFmtId="0" fontId="10" fillId="4" borderId="6" xfId="6" applyFont="1" applyFill="1" applyBorder="1" applyAlignment="1">
      <alignment horizontal="centerContinuous"/>
    </xf>
    <xf numFmtId="0" fontId="11" fillId="4" borderId="6" xfId="6" applyFont="1" applyFill="1" applyBorder="1" applyAlignment="1">
      <alignment horizontal="centerContinuous"/>
    </xf>
    <xf numFmtId="0" fontId="11" fillId="4" borderId="7" xfId="6" applyFont="1" applyFill="1" applyBorder="1" applyAlignment="1">
      <alignment horizontal="centerContinuous"/>
    </xf>
    <xf numFmtId="0" fontId="12" fillId="4" borderId="8" xfId="6" applyFont="1" applyFill="1" applyBorder="1" applyAlignment="1">
      <alignment horizontal="centerContinuous"/>
    </xf>
    <xf numFmtId="0" fontId="11" fillId="7" borderId="8" xfId="6" applyFont="1" applyFill="1" applyBorder="1" applyAlignment="1">
      <alignment horizontal="center"/>
    </xf>
    <xf numFmtId="0" fontId="11" fillId="0" borderId="0" xfId="6" applyFont="1" applyFill="1" applyBorder="1" applyAlignment="1">
      <alignment horizontal="centerContinuous"/>
    </xf>
    <xf numFmtId="0" fontId="12" fillId="0" borderId="0" xfId="6" applyFont="1" applyFill="1" applyBorder="1" applyAlignment="1">
      <alignment horizontal="centerContinuous"/>
    </xf>
    <xf numFmtId="0" fontId="13" fillId="0" borderId="0" xfId="6" applyFont="1" applyFill="1" applyBorder="1" applyAlignment="1">
      <alignment horizontal="centerContinuous"/>
    </xf>
    <xf numFmtId="0" fontId="4" fillId="0" borderId="0" xfId="6" applyFont="1" applyFill="1" applyBorder="1"/>
    <xf numFmtId="0" fontId="13" fillId="9" borderId="5" xfId="6" applyFont="1" applyFill="1" applyBorder="1" applyAlignment="1">
      <alignment horizontal="center" wrapText="1"/>
    </xf>
    <xf numFmtId="0" fontId="13" fillId="9" borderId="11" xfId="6" applyFont="1" applyFill="1" applyBorder="1" applyAlignment="1">
      <alignment horizontal="center" wrapText="1"/>
    </xf>
    <xf numFmtId="0" fontId="13" fillId="9" borderId="4" xfId="6" applyFont="1" applyFill="1" applyBorder="1" applyAlignment="1">
      <alignment horizontal="center" wrapText="1"/>
    </xf>
    <xf numFmtId="0" fontId="13" fillId="9" borderId="4" xfId="0" applyFont="1" applyFill="1" applyBorder="1" applyAlignment="1">
      <alignment horizontal="center" wrapText="1"/>
    </xf>
    <xf numFmtId="0" fontId="13" fillId="10" borderId="8" xfId="6" applyFont="1" applyFill="1" applyBorder="1" applyAlignment="1">
      <alignment horizontal="center" wrapText="1"/>
    </xf>
    <xf numFmtId="0" fontId="13" fillId="10" borderId="5" xfId="6" applyFont="1" applyFill="1" applyBorder="1" applyAlignment="1">
      <alignment horizontal="center" wrapText="1"/>
    </xf>
    <xf numFmtId="0" fontId="13" fillId="0" borderId="0" xfId="6" applyFont="1" applyFill="1" applyBorder="1" applyAlignment="1">
      <alignment horizontal="center" wrapText="1"/>
    </xf>
    <xf numFmtId="164" fontId="0" fillId="0" borderId="0" xfId="0" applyNumberFormat="1">
      <alignment readingOrder="1"/>
    </xf>
    <xf numFmtId="168" fontId="4" fillId="0" borderId="0" xfId="1" applyNumberFormat="1" applyFont="1">
      <alignment readingOrder="1"/>
    </xf>
    <xf numFmtId="0" fontId="4" fillId="0" borderId="0" xfId="4">
      <alignment readingOrder="1"/>
    </xf>
    <xf numFmtId="169" fontId="4" fillId="0" borderId="0" xfId="2" applyNumberFormat="1" applyFont="1">
      <alignment readingOrder="1"/>
    </xf>
    <xf numFmtId="0" fontId="4" fillId="0" borderId="0" xfId="5" applyFont="1"/>
    <xf numFmtId="164" fontId="0" fillId="0" borderId="0" xfId="0" applyNumberFormat="1" applyAlignment="1">
      <alignment horizontal="center" readingOrder="1"/>
    </xf>
    <xf numFmtId="0" fontId="4" fillId="0" borderId="0" xfId="4" applyFont="1" applyAlignment="1">
      <alignment horizontal="center" readingOrder="1"/>
    </xf>
    <xf numFmtId="0" fontId="3" fillId="8" borderId="2" xfId="0" applyFont="1" applyFill="1" applyBorder="1"/>
    <xf numFmtId="0" fontId="14" fillId="3" borderId="0" xfId="7" applyFont="1" applyFill="1"/>
    <xf numFmtId="0" fontId="4" fillId="0" borderId="0" xfId="7" applyFont="1"/>
    <xf numFmtId="0" fontId="0" fillId="0" borderId="0" xfId="0" applyFont="1"/>
    <xf numFmtId="0" fontId="0" fillId="0" borderId="0" xfId="0" applyAlignment="1">
      <alignment horizontal="center"/>
    </xf>
    <xf numFmtId="0" fontId="4" fillId="37" borderId="0" xfId="7" applyFont="1" applyFill="1" applyAlignment="1">
      <alignment horizontal="center"/>
    </xf>
    <xf numFmtId="0" fontId="0" fillId="3" borderId="0" xfId="0" applyFill="1"/>
    <xf numFmtId="168" fontId="0" fillId="0" borderId="0" xfId="0" applyNumberFormat="1"/>
    <xf numFmtId="9" fontId="0" fillId="0" borderId="0" xfId="0" applyNumberFormat="1"/>
    <xf numFmtId="168" fontId="0" fillId="0" borderId="0" xfId="0" applyNumberFormat="1" applyAlignment="1">
      <alignment wrapText="1"/>
    </xf>
    <xf numFmtId="0" fontId="0" fillId="0" borderId="0" xfId="0" applyAlignment="1">
      <alignment wrapText="1"/>
    </xf>
    <xf numFmtId="168" fontId="0" fillId="0" borderId="0" xfId="0" applyNumberFormat="1" applyAlignment="1">
      <alignment horizontal="left"/>
    </xf>
    <xf numFmtId="168" fontId="0" fillId="0" borderId="0" xfId="0" applyNumberFormat="1" applyAlignment="1">
      <alignment horizontal="left" indent="1"/>
    </xf>
    <xf numFmtId="0" fontId="42" fillId="38" borderId="0" xfId="0" applyFont="1" applyFill="1" applyBorder="1" applyAlignment="1">
      <alignment horizontal="left" vertical="center"/>
    </xf>
    <xf numFmtId="0" fontId="43" fillId="38" borderId="0" xfId="0" applyFont="1" applyFill="1" applyBorder="1"/>
    <xf numFmtId="0" fontId="43" fillId="0" borderId="0" xfId="0" applyFont="1" applyBorder="1"/>
    <xf numFmtId="0" fontId="44" fillId="0" borderId="0" xfId="0" applyFont="1"/>
    <xf numFmtId="0" fontId="45" fillId="0" borderId="0" xfId="188" applyFont="1" applyAlignment="1" applyProtection="1"/>
    <xf numFmtId="0" fontId="48" fillId="3" borderId="0" xfId="0" applyFont="1" applyFill="1"/>
    <xf numFmtId="0" fontId="49" fillId="3" borderId="0" xfId="0" applyFont="1" applyFill="1"/>
    <xf numFmtId="0" fontId="46" fillId="3" borderId="0" xfId="0" applyFont="1" applyFill="1"/>
    <xf numFmtId="0" fontId="50" fillId="3" borderId="0" xfId="188" applyFont="1" applyFill="1" applyAlignment="1" applyProtection="1"/>
    <xf numFmtId="0" fontId="47" fillId="3" borderId="0" xfId="0" applyFont="1" applyFill="1"/>
    <xf numFmtId="43" fontId="0" fillId="0" borderId="0" xfId="0" applyNumberFormat="1"/>
    <xf numFmtId="168" fontId="43" fillId="0" borderId="0" xfId="1" applyNumberFormat="1" applyFont="1" applyBorder="1"/>
    <xf numFmtId="2" fontId="43" fillId="0" borderId="0" xfId="0" applyNumberFormat="1" applyFont="1" applyBorder="1"/>
    <xf numFmtId="2" fontId="0" fillId="0" borderId="0" xfId="0" applyNumberFormat="1"/>
    <xf numFmtId="168" fontId="0" fillId="0" borderId="0" xfId="0" applyNumberFormat="1" applyAlignment="1">
      <alignment horizontal="left" wrapText="1"/>
    </xf>
    <xf numFmtId="9" fontId="0" fillId="0" borderId="0" xfId="0" applyNumberFormat="1" applyAlignment="1">
      <alignment wrapText="1"/>
    </xf>
    <xf numFmtId="0" fontId="43" fillId="3" borderId="0" xfId="0" applyFont="1" applyFill="1" applyBorder="1" applyAlignment="1">
      <alignment wrapText="1"/>
    </xf>
    <xf numFmtId="0" fontId="0" fillId="3" borderId="0" xfId="0" applyFill="1" applyAlignment="1">
      <alignment wrapText="1"/>
    </xf>
    <xf numFmtId="168" fontId="0" fillId="0" borderId="10" xfId="0" applyNumberFormat="1" applyBorder="1"/>
    <xf numFmtId="168" fontId="0" fillId="39" borderId="10" xfId="0" applyNumberFormat="1" applyFill="1" applyBorder="1" applyAlignment="1">
      <alignment horizontal="left" indent="1"/>
    </xf>
    <xf numFmtId="168" fontId="0" fillId="39" borderId="10" xfId="0" applyNumberFormat="1" applyFill="1" applyBorder="1"/>
    <xf numFmtId="168" fontId="0" fillId="39" borderId="8" xfId="0" applyNumberFormat="1" applyFill="1" applyBorder="1"/>
    <xf numFmtId="164" fontId="0" fillId="39" borderId="9" xfId="0" applyNumberFormat="1" applyFill="1" applyBorder="1"/>
    <xf numFmtId="10" fontId="0" fillId="0" borderId="0" xfId="0" applyNumberFormat="1"/>
    <xf numFmtId="0" fontId="0" fillId="0" borderId="0" xfId="0" applyFill="1" applyAlignment="1">
      <alignment wrapText="1"/>
    </xf>
    <xf numFmtId="168" fontId="0" fillId="40" borderId="0" xfId="0" applyNumberFormat="1" applyFill="1"/>
    <xf numFmtId="168" fontId="0" fillId="40" borderId="0" xfId="0" applyNumberFormat="1" applyFill="1" applyAlignment="1">
      <alignment wrapText="1"/>
    </xf>
    <xf numFmtId="168" fontId="0" fillId="0" borderId="9" xfId="0" applyNumberFormat="1" applyBorder="1" applyAlignment="1">
      <alignment horizontal="left"/>
    </xf>
    <xf numFmtId="9" fontId="0" fillId="0" borderId="8" xfId="0" applyNumberFormat="1" applyBorder="1"/>
    <xf numFmtId="168" fontId="0" fillId="39" borderId="9" xfId="0" applyNumberFormat="1" applyFill="1" applyBorder="1" applyAlignment="1">
      <alignment horizontal="left"/>
    </xf>
    <xf numFmtId="9" fontId="0" fillId="39" borderId="8" xfId="0" applyNumberFormat="1" applyFill="1" applyBorder="1"/>
    <xf numFmtId="9" fontId="0" fillId="0" borderId="10" xfId="0" applyNumberFormat="1" applyBorder="1"/>
    <xf numFmtId="43" fontId="0" fillId="0" borderId="8" xfId="0" applyNumberFormat="1" applyBorder="1"/>
    <xf numFmtId="9" fontId="0" fillId="39" borderId="10" xfId="0" applyNumberFormat="1" applyFill="1" applyBorder="1"/>
    <xf numFmtId="43" fontId="0" fillId="39" borderId="8" xfId="0" applyNumberFormat="1" applyFill="1" applyBorder="1"/>
    <xf numFmtId="0" fontId="0" fillId="40" borderId="0" xfId="0" applyFill="1"/>
    <xf numFmtId="0" fontId="0" fillId="40" borderId="0" xfId="0" applyFill="1" applyAlignment="1">
      <alignment wrapText="1"/>
    </xf>
    <xf numFmtId="168" fontId="0" fillId="0" borderId="9" xfId="0" applyNumberFormat="1" applyBorder="1"/>
    <xf numFmtId="164" fontId="0" fillId="0" borderId="8" xfId="0" applyNumberFormat="1" applyBorder="1"/>
    <xf numFmtId="0" fontId="31" fillId="0" borderId="0" xfId="188" applyAlignment="1" applyProtection="1"/>
    <xf numFmtId="44" fontId="0" fillId="0" borderId="0" xfId="2" applyFont="1"/>
    <xf numFmtId="1" fontId="0" fillId="0" borderId="0" xfId="0" applyNumberFormat="1"/>
    <xf numFmtId="1" fontId="0" fillId="0" borderId="0" xfId="0" applyNumberFormat="1" applyFont="1"/>
    <xf numFmtId="44" fontId="1" fillId="0" borderId="0" xfId="2" applyFont="1"/>
    <xf numFmtId="0" fontId="51" fillId="0" borderId="0" xfId="0" applyFont="1"/>
    <xf numFmtId="44" fontId="0" fillId="0" borderId="0" xfId="0" applyNumberFormat="1"/>
    <xf numFmtId="164" fontId="0" fillId="0" borderId="0" xfId="0" applyNumberFormat="1" applyFont="1"/>
    <xf numFmtId="44" fontId="0" fillId="0" borderId="0" xfId="2" applyFont="1" applyBorder="1"/>
    <xf numFmtId="0" fontId="0" fillId="0" borderId="0" xfId="0" applyBorder="1"/>
    <xf numFmtId="0" fontId="31" fillId="0" borderId="0" xfId="188" applyBorder="1" applyAlignment="1" applyProtection="1"/>
    <xf numFmtId="44" fontId="1" fillId="0" borderId="0" xfId="2" applyFont="1" applyBorder="1"/>
    <xf numFmtId="0" fontId="0" fillId="3" borderId="0" xfId="0" applyFill="1" applyBorder="1" applyAlignment="1">
      <alignment wrapText="1"/>
    </xf>
    <xf numFmtId="1" fontId="0" fillId="0" borderId="0" xfId="2" applyNumberFormat="1" applyFont="1"/>
    <xf numFmtId="168" fontId="0" fillId="0" borderId="0" xfId="1" applyNumberFormat="1" applyFont="1"/>
    <xf numFmtId="0" fontId="0" fillId="0" borderId="0" xfId="0" applyAlignment="1">
      <alignment horizontal="right"/>
    </xf>
    <xf numFmtId="0" fontId="4" fillId="2" borderId="0" xfId="4" applyFill="1" applyAlignment="1">
      <alignment horizontal="right" readingOrder="1"/>
    </xf>
    <xf numFmtId="0" fontId="4" fillId="0" borderId="0" xfId="4" applyFill="1" applyAlignment="1">
      <alignment horizontal="right" readingOrder="1"/>
    </xf>
    <xf numFmtId="0" fontId="0" fillId="0" borderId="0" xfId="0" applyFill="1"/>
    <xf numFmtId="0" fontId="4" fillId="0" borderId="0" xfId="4" applyFill="1">
      <alignment readingOrder="1"/>
    </xf>
    <xf numFmtId="2" fontId="4" fillId="0" borderId="0" xfId="4" applyNumberFormat="1" applyFill="1">
      <alignment readingOrder="1"/>
    </xf>
    <xf numFmtId="0" fontId="4" fillId="2" borderId="0" xfId="0" applyFont="1" applyFill="1"/>
    <xf numFmtId="0" fontId="4" fillId="2" borderId="0" xfId="4" applyFont="1" applyFill="1" applyAlignment="1">
      <alignment horizontal="right" readingOrder="1"/>
    </xf>
    <xf numFmtId="0" fontId="0" fillId="2" borderId="0" xfId="0" applyFill="1"/>
    <xf numFmtId="43" fontId="0" fillId="0" borderId="0" xfId="1" applyNumberFormat="1" applyFont="1"/>
    <xf numFmtId="1" fontId="0" fillId="0" borderId="0" xfId="0" applyNumberFormat="1" applyBorder="1"/>
    <xf numFmtId="0" fontId="0" fillId="0" borderId="0" xfId="0" applyFill="1" applyBorder="1" applyAlignment="1">
      <alignment wrapText="1"/>
    </xf>
    <xf numFmtId="169" fontId="0" fillId="0" borderId="0" xfId="2" applyNumberFormat="1" applyFont="1"/>
    <xf numFmtId="9" fontId="0" fillId="2" borderId="0" xfId="189" applyFont="1" applyFill="1"/>
    <xf numFmtId="9" fontId="4" fillId="2" borderId="0" xfId="189" applyFont="1" applyFill="1"/>
    <xf numFmtId="168" fontId="0" fillId="0" borderId="0" xfId="1" applyNumberFormat="1" applyFont="1" applyBorder="1"/>
    <xf numFmtId="169" fontId="55" fillId="0" borderId="0" xfId="2" applyNumberFormat="1" applyFont="1"/>
    <xf numFmtId="1" fontId="55" fillId="0" borderId="0" xfId="2" applyNumberFormat="1" applyFont="1"/>
    <xf numFmtId="168" fontId="55" fillId="0" borderId="0" xfId="1" applyNumberFormat="1" applyFont="1"/>
    <xf numFmtId="0" fontId="55" fillId="0" borderId="0" xfId="0" applyFont="1" applyBorder="1"/>
    <xf numFmtId="44" fontId="55" fillId="0" borderId="0" xfId="2" applyFont="1" applyBorder="1"/>
    <xf numFmtId="168" fontId="55" fillId="0" borderId="0" xfId="1" applyNumberFormat="1" applyFont="1" applyBorder="1"/>
    <xf numFmtId="0" fontId="0" fillId="0" borderId="0" xfId="0" applyFill="1" applyBorder="1"/>
    <xf numFmtId="44" fontId="0" fillId="0" borderId="0" xfId="2" applyFont="1" applyFill="1" applyBorder="1"/>
    <xf numFmtId="1" fontId="55" fillId="0" borderId="0" xfId="0" applyNumberFormat="1" applyFont="1"/>
    <xf numFmtId="168" fontId="55" fillId="0" borderId="0" xfId="0" applyNumberFormat="1" applyFont="1"/>
    <xf numFmtId="169" fontId="0" fillId="0" borderId="0" xfId="2" applyNumberFormat="1" applyFont="1" applyAlignment="1">
      <alignment wrapText="1"/>
    </xf>
    <xf numFmtId="0" fontId="55" fillId="0" borderId="0" xfId="0" applyFont="1"/>
    <xf numFmtId="44" fontId="55" fillId="0" borderId="0" xfId="2" applyFont="1"/>
    <xf numFmtId="9" fontId="0" fillId="0" borderId="0" xfId="189" applyFont="1" applyFill="1"/>
    <xf numFmtId="168" fontId="55" fillId="0" borderId="0" xfId="1" applyNumberFormat="1" applyFont="1" applyFill="1"/>
    <xf numFmtId="0" fontId="31" fillId="0" borderId="0" xfId="188" applyFill="1" applyAlignment="1" applyProtection="1"/>
    <xf numFmtId="0" fontId="4" fillId="3" borderId="0" xfId="4" applyFill="1" applyBorder="1" applyAlignment="1">
      <alignment wrapText="1" readingOrder="1"/>
    </xf>
    <xf numFmtId="0" fontId="56" fillId="0" borderId="0" xfId="0" applyFont="1" applyAlignment="1">
      <alignment horizontal="right"/>
    </xf>
    <xf numFmtId="0" fontId="56" fillId="0" borderId="0" xfId="0" applyFont="1"/>
    <xf numFmtId="0" fontId="56" fillId="0" borderId="0" xfId="0" applyFont="1" applyAlignment="1">
      <alignment wrapText="1"/>
    </xf>
    <xf numFmtId="9" fontId="0" fillId="0" borderId="0" xfId="189" applyFont="1"/>
    <xf numFmtId="0" fontId="56" fillId="0" borderId="0" xfId="0" applyFont="1" applyAlignment="1">
      <alignment horizontal="right" wrapText="1"/>
    </xf>
    <xf numFmtId="168" fontId="0" fillId="41" borderId="0" xfId="0" applyNumberFormat="1" applyFill="1"/>
    <xf numFmtId="171" fontId="0" fillId="0" borderId="0" xfId="0" applyNumberFormat="1"/>
    <xf numFmtId="164" fontId="0" fillId="0" borderId="0" xfId="0" applyNumberFormat="1"/>
    <xf numFmtId="0" fontId="4" fillId="0" borderId="0" xfId="4" applyAlignment="1">
      <alignment horizontal="right" readingOrder="1"/>
    </xf>
    <xf numFmtId="44" fontId="0" fillId="0" borderId="0" xfId="2" applyNumberFormat="1" applyFont="1"/>
    <xf numFmtId="169" fontId="0" fillId="0" borderId="0" xfId="0" applyNumberFormat="1"/>
    <xf numFmtId="164" fontId="0" fillId="41" borderId="0" xfId="0" applyNumberFormat="1" applyFill="1"/>
    <xf numFmtId="169" fontId="0" fillId="0" borderId="0" xfId="2" applyNumberFormat="1" applyFont="1" applyFill="1"/>
    <xf numFmtId="14" fontId="0" fillId="0" borderId="0" xfId="0" applyNumberFormat="1"/>
    <xf numFmtId="172" fontId="0" fillId="0" borderId="0" xfId="0" applyNumberFormat="1"/>
    <xf numFmtId="44" fontId="0" fillId="41" borderId="0" xfId="2" applyFont="1" applyFill="1"/>
    <xf numFmtId="0" fontId="0" fillId="0" borderId="0" xfId="0" applyAlignment="1">
      <alignment vertical="top"/>
    </xf>
    <xf numFmtId="164" fontId="4" fillId="0" borderId="0" xfId="4" applyNumberFormat="1">
      <alignment readingOrder="1"/>
    </xf>
    <xf numFmtId="44" fontId="4" fillId="0" borderId="0" xfId="4" applyNumberFormat="1">
      <alignment readingOrder="1"/>
    </xf>
    <xf numFmtId="0" fontId="0" fillId="41" borderId="0" xfId="0" applyFill="1"/>
    <xf numFmtId="173" fontId="0" fillId="0" borderId="0" xfId="0" applyNumberFormat="1"/>
    <xf numFmtId="0" fontId="0" fillId="42" borderId="0" xfId="0" applyFill="1"/>
    <xf numFmtId="168" fontId="0" fillId="42" borderId="0" xfId="1" applyNumberFormat="1" applyFont="1" applyFill="1"/>
    <xf numFmtId="1" fontId="0" fillId="42" borderId="0" xfId="0" applyNumberFormat="1" applyFill="1"/>
    <xf numFmtId="9" fontId="0" fillId="42" borderId="0" xfId="189" applyFont="1" applyFill="1"/>
    <xf numFmtId="169" fontId="0" fillId="42" borderId="0" xfId="2" applyNumberFormat="1" applyFont="1" applyFill="1"/>
    <xf numFmtId="164" fontId="0" fillId="42" borderId="0" xfId="0" applyNumberFormat="1" applyFill="1"/>
    <xf numFmtId="171" fontId="0" fillId="42" borderId="0" xfId="0" applyNumberFormat="1" applyFill="1"/>
    <xf numFmtId="44" fontId="0" fillId="42" borderId="0" xfId="2" applyNumberFormat="1" applyFont="1" applyFill="1"/>
    <xf numFmtId="44" fontId="0" fillId="42" borderId="0" xfId="0" applyNumberFormat="1" applyFill="1"/>
    <xf numFmtId="44" fontId="0" fillId="42" borderId="0" xfId="2" applyFont="1" applyFill="1"/>
    <xf numFmtId="169" fontId="0" fillId="41" borderId="0" xfId="2" applyNumberFormat="1" applyFont="1" applyFill="1"/>
    <xf numFmtId="169" fontId="55" fillId="0" borderId="0" xfId="0" applyNumberFormat="1" applyFont="1"/>
    <xf numFmtId="44" fontId="0" fillId="0" borderId="0" xfId="2" applyNumberFormat="1" applyFont="1" applyFill="1"/>
    <xf numFmtId="44" fontId="0" fillId="41" borderId="0" xfId="0" applyNumberFormat="1" applyFill="1"/>
    <xf numFmtId="0" fontId="57" fillId="44" borderId="9" xfId="0" applyFont="1" applyFill="1" applyBorder="1" applyAlignment="1">
      <alignment horizontal="left" readingOrder="1"/>
    </xf>
    <xf numFmtId="0" fontId="57" fillId="44" borderId="8" xfId="0" applyFont="1" applyFill="1" applyBorder="1" applyAlignment="1">
      <alignment horizontal="center" wrapText="1" readingOrder="1"/>
    </xf>
    <xf numFmtId="0" fontId="13" fillId="33" borderId="5" xfId="0" applyFont="1" applyFill="1" applyBorder="1" applyAlignment="1">
      <alignment horizontal="center" wrapText="1" readingOrder="1"/>
    </xf>
    <xf numFmtId="0" fontId="13" fillId="33" borderId="8" xfId="0" applyFont="1" applyFill="1" applyBorder="1" applyAlignment="1">
      <alignment horizontal="center" wrapText="1" readingOrder="1"/>
    </xf>
    <xf numFmtId="164" fontId="13" fillId="33" borderId="8" xfId="0" applyNumberFormat="1" applyFont="1" applyFill="1" applyBorder="1" applyAlignment="1">
      <alignment horizontal="center" wrapText="1" readingOrder="1"/>
    </xf>
    <xf numFmtId="164" fontId="13" fillId="33" borderId="23" xfId="0" applyNumberFormat="1" applyFont="1" applyFill="1" applyBorder="1" applyAlignment="1">
      <alignment horizontal="centerContinuous" wrapText="1" readingOrder="1"/>
    </xf>
    <xf numFmtId="164" fontId="13" fillId="33" borderId="24" xfId="0" applyNumberFormat="1" applyFont="1" applyFill="1" applyBorder="1" applyAlignment="1">
      <alignment horizontal="centerContinuous" wrapText="1" readingOrder="1"/>
    </xf>
    <xf numFmtId="164" fontId="13" fillId="33" borderId="3" xfId="0" applyNumberFormat="1" applyFont="1" applyFill="1" applyBorder="1" applyAlignment="1">
      <alignment horizontal="centerContinuous" wrapText="1" readingOrder="1"/>
    </xf>
    <xf numFmtId="0" fontId="13" fillId="34" borderId="5" xfId="0" applyFont="1" applyFill="1" applyBorder="1" applyAlignment="1">
      <alignment horizontal="center" wrapText="1" readingOrder="1"/>
    </xf>
    <xf numFmtId="0" fontId="13" fillId="34" borderId="8" xfId="0" applyFont="1" applyFill="1" applyBorder="1" applyAlignment="1">
      <alignment horizontal="center" wrapText="1" readingOrder="1"/>
    </xf>
    <xf numFmtId="164" fontId="13" fillId="34" borderId="8" xfId="0" applyNumberFormat="1" applyFont="1" applyFill="1" applyBorder="1" applyAlignment="1">
      <alignment horizontal="center" wrapText="1" readingOrder="1"/>
    </xf>
    <xf numFmtId="1" fontId="0" fillId="0" borderId="0" xfId="0" applyNumberFormat="1">
      <alignment readingOrder="1"/>
    </xf>
    <xf numFmtId="164" fontId="12" fillId="0" borderId="0" xfId="0" applyNumberFormat="1" applyFont="1">
      <alignment readingOrder="1"/>
    </xf>
    <xf numFmtId="164" fontId="58" fillId="0" borderId="0" xfId="0" applyNumberFormat="1" applyFont="1">
      <alignment readingOrder="1"/>
    </xf>
    <xf numFmtId="0" fontId="57" fillId="45" borderId="9" xfId="0" applyFont="1" applyFill="1" applyBorder="1" applyAlignment="1">
      <alignment horizontal="left" wrapText="1" readingOrder="1"/>
    </xf>
    <xf numFmtId="0" fontId="57" fillId="45" borderId="8" xfId="0" applyFont="1" applyFill="1" applyBorder="1" applyAlignment="1">
      <alignment horizontal="center" wrapText="1" readingOrder="1"/>
    </xf>
    <xf numFmtId="0" fontId="57" fillId="44" borderId="10" xfId="0" applyFont="1" applyFill="1" applyBorder="1" applyAlignment="1">
      <alignment horizontal="center" wrapText="1" readingOrder="1"/>
    </xf>
    <xf numFmtId="0" fontId="0" fillId="0" borderId="25" xfId="0" applyBorder="1">
      <alignment readingOrder="1"/>
    </xf>
    <xf numFmtId="0" fontId="0" fillId="0" borderId="26" xfId="0" applyBorder="1">
      <alignment readingOrder="1"/>
    </xf>
    <xf numFmtId="0" fontId="0" fillId="0" borderId="27" xfId="0" applyBorder="1">
      <alignment readingOrder="1"/>
    </xf>
    <xf numFmtId="0" fontId="0" fillId="0" borderId="28" xfId="0" applyBorder="1">
      <alignment readingOrder="1"/>
    </xf>
    <xf numFmtId="0" fontId="0" fillId="0" borderId="0" xfId="0" applyBorder="1">
      <alignment readingOrder="1"/>
    </xf>
    <xf numFmtId="0" fontId="0" fillId="0" borderId="29" xfId="0" applyBorder="1">
      <alignment readingOrder="1"/>
    </xf>
    <xf numFmtId="0" fontId="0" fillId="0" borderId="30" xfId="0" applyBorder="1">
      <alignment readingOrder="1"/>
    </xf>
    <xf numFmtId="0" fontId="0" fillId="0" borderId="31" xfId="0" applyBorder="1">
      <alignment readingOrder="1"/>
    </xf>
    <xf numFmtId="0" fontId="0" fillId="0" borderId="32" xfId="0" applyBorder="1">
      <alignment readingOrder="1"/>
    </xf>
    <xf numFmtId="0" fontId="13" fillId="46" borderId="1" xfId="0" applyFont="1" applyFill="1" applyBorder="1" applyAlignment="1">
      <alignment horizontal="centerContinuous" wrapText="1" readingOrder="1"/>
    </xf>
    <xf numFmtId="0" fontId="13" fillId="46" borderId="3" xfId="0" applyFont="1" applyFill="1" applyBorder="1" applyAlignment="1">
      <alignment horizontal="centerContinuous" wrapText="1" readingOrder="1"/>
    </xf>
    <xf numFmtId="164" fontId="13" fillId="46" borderId="1" xfId="0" applyNumberFormat="1" applyFont="1" applyFill="1" applyBorder="1" applyAlignment="1">
      <alignment horizontal="centerContinuous" wrapText="1" readingOrder="1"/>
    </xf>
    <xf numFmtId="164" fontId="13" fillId="46" borderId="2" xfId="0" applyNumberFormat="1" applyFont="1" applyFill="1" applyBorder="1" applyAlignment="1">
      <alignment horizontal="centerContinuous" wrapText="1" readingOrder="1"/>
    </xf>
    <xf numFmtId="164" fontId="13" fillId="46" borderId="3" xfId="0" applyNumberFormat="1" applyFont="1" applyFill="1" applyBorder="1" applyAlignment="1">
      <alignment horizontal="centerContinuous" wrapText="1" readingOrder="1"/>
    </xf>
    <xf numFmtId="164" fontId="13" fillId="46" borderId="10" xfId="0" applyNumberFormat="1" applyFont="1" applyFill="1" applyBorder="1" applyAlignment="1">
      <alignment horizontal="center" wrapText="1" readingOrder="1"/>
    </xf>
    <xf numFmtId="174" fontId="13" fillId="34" borderId="8" xfId="0" applyNumberFormat="1" applyFont="1" applyFill="1" applyBorder="1" applyAlignment="1">
      <alignment horizontal="center" wrapText="1" readingOrder="1"/>
    </xf>
    <xf numFmtId="0" fontId="13" fillId="33" borderId="1" xfId="0" applyFont="1" applyFill="1" applyBorder="1" applyAlignment="1">
      <alignment horizontal="centerContinuous" wrapText="1" readingOrder="1"/>
    </xf>
    <xf numFmtId="0" fontId="13" fillId="33" borderId="2" xfId="0" applyFont="1" applyFill="1" applyBorder="1" applyAlignment="1">
      <alignment horizontal="centerContinuous" wrapText="1" readingOrder="1"/>
    </xf>
    <xf numFmtId="164" fontId="13" fillId="33" borderId="2" xfId="0" applyNumberFormat="1" applyFont="1" applyFill="1" applyBorder="1" applyAlignment="1">
      <alignment horizontal="centerContinuous" wrapText="1" readingOrder="1"/>
    </xf>
    <xf numFmtId="164" fontId="13" fillId="33" borderId="10" xfId="0" applyNumberFormat="1" applyFont="1" applyFill="1" applyBorder="1" applyAlignment="1">
      <alignment horizontal="center" wrapText="1" readingOrder="1"/>
    </xf>
    <xf numFmtId="164" fontId="13" fillId="33" borderId="1" xfId="0" applyNumberFormat="1" applyFont="1" applyFill="1" applyBorder="1" applyAlignment="1">
      <alignment horizontal="centerContinuous" wrapText="1" readingOrder="1"/>
    </xf>
    <xf numFmtId="0" fontId="14" fillId="0" borderId="0" xfId="0" applyFont="1">
      <alignment readingOrder="1"/>
    </xf>
    <xf numFmtId="164" fontId="14" fillId="0" borderId="0" xfId="0" applyNumberFormat="1" applyFont="1">
      <alignment readingOrder="1"/>
    </xf>
    <xf numFmtId="175" fontId="14" fillId="0" borderId="0" xfId="0" applyNumberFormat="1" applyFont="1">
      <alignment readingOrder="1"/>
    </xf>
    <xf numFmtId="175" fontId="0" fillId="0" borderId="0" xfId="0" applyNumberFormat="1">
      <alignment readingOrder="1"/>
    </xf>
    <xf numFmtId="175" fontId="58" fillId="0" borderId="0" xfId="0" applyNumberFormat="1" applyFont="1">
      <alignment readingOrder="1"/>
    </xf>
    <xf numFmtId="0" fontId="0" fillId="47" borderId="0" xfId="0" applyFill="1" applyAlignment="1">
      <alignment wrapText="1"/>
    </xf>
    <xf numFmtId="169" fontId="1" fillId="0" borderId="0" xfId="2" applyNumberFormat="1" applyFont="1"/>
    <xf numFmtId="0" fontId="4" fillId="39" borderId="0" xfId="4" applyFill="1" applyBorder="1" applyAlignment="1">
      <alignment wrapText="1" readingOrder="1"/>
    </xf>
    <xf numFmtId="0" fontId="0" fillId="39" borderId="0" xfId="0" applyFill="1"/>
    <xf numFmtId="0" fontId="14" fillId="2" borderId="7" xfId="0" applyFont="1" applyFill="1" applyBorder="1">
      <alignment readingOrder="1"/>
    </xf>
    <xf numFmtId="0" fontId="0" fillId="0" borderId="0" xfId="0" applyFill="1">
      <alignment readingOrder="1"/>
    </xf>
    <xf numFmtId="0" fontId="0" fillId="2" borderId="35" xfId="0" applyFill="1" applyBorder="1">
      <alignment readingOrder="1"/>
    </xf>
    <xf numFmtId="0" fontId="0" fillId="0" borderId="0" xfId="0" applyFill="1" applyAlignment="1">
      <alignment vertical="center" wrapText="1" readingOrder="1"/>
    </xf>
    <xf numFmtId="0" fontId="14" fillId="2" borderId="35" xfId="0" applyFont="1" applyFill="1" applyBorder="1">
      <alignment readingOrder="1"/>
    </xf>
    <xf numFmtId="0" fontId="0" fillId="2" borderId="10" xfId="0" applyNumberFormat="1" applyFill="1" applyBorder="1" applyAlignment="1">
      <alignment vertical="center" wrapText="1" readingOrder="1"/>
    </xf>
    <xf numFmtId="0" fontId="0" fillId="2" borderId="8" xfId="0" applyNumberFormat="1" applyFill="1" applyBorder="1" applyAlignment="1">
      <alignment vertical="center" wrapText="1" readingOrder="1"/>
    </xf>
    <xf numFmtId="0" fontId="0" fillId="2" borderId="38" xfId="0" applyNumberFormat="1" applyFill="1" applyBorder="1" applyAlignment="1">
      <alignment vertical="center" wrapText="1" readingOrder="1"/>
    </xf>
    <xf numFmtId="0" fontId="0" fillId="2" borderId="39" xfId="0" applyNumberFormat="1" applyFill="1" applyBorder="1" applyAlignment="1">
      <alignment vertical="center" wrapText="1" readingOrder="1"/>
    </xf>
    <xf numFmtId="0" fontId="0" fillId="3" borderId="0" xfId="0" applyFill="1">
      <alignment readingOrder="1"/>
    </xf>
    <xf numFmtId="1" fontId="0" fillId="0" borderId="0" xfId="0" quotePrefix="1" applyNumberFormat="1">
      <alignment readingOrder="1"/>
    </xf>
    <xf numFmtId="0" fontId="0" fillId="0" borderId="0" xfId="0" quotePrefix="1">
      <alignment readingOrder="1"/>
    </xf>
    <xf numFmtId="0" fontId="60" fillId="42" borderId="9" xfId="0" applyFont="1" applyFill="1" applyBorder="1"/>
    <xf numFmtId="0" fontId="60" fillId="42" borderId="8" xfId="0" applyFont="1" applyFill="1" applyBorder="1"/>
    <xf numFmtId="0" fontId="0" fillId="2" borderId="0" xfId="0" applyFill="1">
      <alignment readingOrder="1"/>
    </xf>
    <xf numFmtId="9" fontId="0" fillId="2" borderId="0" xfId="0" applyNumberFormat="1" applyFill="1">
      <alignment readingOrder="1"/>
    </xf>
    <xf numFmtId="168" fontId="0" fillId="0" borderId="0" xfId="1" applyNumberFormat="1" applyFont="1" applyFill="1">
      <alignment readingOrder="1"/>
    </xf>
    <xf numFmtId="168" fontId="0" fillId="0" borderId="0" xfId="1" applyNumberFormat="1" applyFont="1">
      <alignment readingOrder="1"/>
    </xf>
    <xf numFmtId="168" fontId="0" fillId="2" borderId="0" xfId="1" applyNumberFormat="1" applyFont="1" applyFill="1">
      <alignment readingOrder="1"/>
    </xf>
    <xf numFmtId="168" fontId="0" fillId="0" borderId="0" xfId="0" applyNumberFormat="1">
      <alignment readingOrder="1"/>
    </xf>
    <xf numFmtId="1" fontId="0" fillId="0" borderId="0" xfId="0" applyNumberFormat="1" applyFill="1">
      <alignment readingOrder="1"/>
    </xf>
    <xf numFmtId="1" fontId="0" fillId="3" borderId="0" xfId="0" applyNumberFormat="1" applyFill="1">
      <alignment readingOrder="1"/>
    </xf>
    <xf numFmtId="9" fontId="4" fillId="3" borderId="0" xfId="189" applyFont="1" applyFill="1">
      <alignment readingOrder="1"/>
    </xf>
    <xf numFmtId="9" fontId="0" fillId="0" borderId="0" xfId="162" applyFont="1" applyAlignment="1">
      <alignment horizontal="center" readingOrder="1"/>
    </xf>
    <xf numFmtId="9" fontId="0" fillId="0" borderId="0" xfId="0" applyNumberFormat="1" applyAlignment="1">
      <alignment horizontal="center" readingOrder="1"/>
    </xf>
    <xf numFmtId="0" fontId="60" fillId="3" borderId="5" xfId="0" applyFont="1" applyFill="1" applyBorder="1"/>
    <xf numFmtId="9" fontId="60" fillId="3" borderId="5" xfId="162" applyFont="1" applyFill="1" applyBorder="1"/>
    <xf numFmtId="9" fontId="4" fillId="0" borderId="0" xfId="162" applyFill="1" applyAlignment="1">
      <alignment horizontal="center" readingOrder="1"/>
    </xf>
    <xf numFmtId="0" fontId="60" fillId="3" borderId="7" xfId="0" applyFont="1" applyFill="1" applyBorder="1"/>
    <xf numFmtId="0" fontId="60" fillId="3" borderId="6" xfId="0" applyFont="1" applyFill="1" applyBorder="1"/>
    <xf numFmtId="0" fontId="60" fillId="3" borderId="33" xfId="0" applyFont="1" applyFill="1" applyBorder="1"/>
    <xf numFmtId="0" fontId="60" fillId="3" borderId="11" xfId="0" applyFont="1" applyFill="1" applyBorder="1"/>
    <xf numFmtId="0" fontId="60" fillId="3" borderId="38" xfId="0" applyFont="1" applyFill="1" applyBorder="1"/>
    <xf numFmtId="1" fontId="0" fillId="49" borderId="0" xfId="0" applyNumberFormat="1" applyFill="1" applyAlignment="1">
      <alignment horizontal="center" readingOrder="1"/>
    </xf>
    <xf numFmtId="164" fontId="0" fillId="49" borderId="0" xfId="0" applyNumberFormat="1" applyFill="1" applyAlignment="1">
      <alignment horizontal="center" readingOrder="1"/>
    </xf>
    <xf numFmtId="2" fontId="0" fillId="0" borderId="0" xfId="0" applyNumberFormat="1">
      <alignment readingOrder="1"/>
    </xf>
    <xf numFmtId="164" fontId="0" fillId="2" borderId="0" xfId="0" applyNumberFormat="1" applyFill="1">
      <alignment readingOrder="1"/>
    </xf>
    <xf numFmtId="0" fontId="0" fillId="0" borderId="0" xfId="0" applyAlignment="1">
      <alignment horizontal="center" readingOrder="1"/>
    </xf>
    <xf numFmtId="0" fontId="0" fillId="3" borderId="0" xfId="0" applyFill="1" applyAlignment="1">
      <alignment horizontal="center" readingOrder="1"/>
    </xf>
    <xf numFmtId="171" fontId="0" fillId="0" borderId="0" xfId="0" applyNumberFormat="1">
      <alignment readingOrder="1"/>
    </xf>
    <xf numFmtId="176" fontId="0" fillId="0" borderId="0" xfId="0" applyNumberFormat="1">
      <alignment readingOrder="1"/>
    </xf>
    <xf numFmtId="177" fontId="0" fillId="0" borderId="0" xfId="0" applyNumberFormat="1">
      <alignment readingOrder="1"/>
    </xf>
    <xf numFmtId="0" fontId="60" fillId="49" borderId="5" xfId="0" applyFont="1" applyFill="1" applyBorder="1"/>
    <xf numFmtId="164" fontId="60" fillId="49" borderId="5" xfId="0" applyNumberFormat="1" applyFont="1" applyFill="1" applyBorder="1"/>
    <xf numFmtId="2" fontId="0" fillId="0" borderId="0" xfId="0" applyNumberFormat="1" applyFill="1">
      <alignment readingOrder="1"/>
    </xf>
    <xf numFmtId="0" fontId="60" fillId="42" borderId="5" xfId="0" applyFont="1" applyFill="1" applyBorder="1"/>
    <xf numFmtId="0" fontId="0" fillId="0" borderId="0" xfId="0" applyFill="1" applyBorder="1">
      <alignment readingOrder="1"/>
    </xf>
    <xf numFmtId="0" fontId="0" fillId="50" borderId="0" xfId="0" applyFill="1">
      <alignment readingOrder="1"/>
    </xf>
    <xf numFmtId="178" fontId="4" fillId="50" borderId="0" xfId="1" applyNumberFormat="1" applyFont="1" applyFill="1" applyAlignment="1">
      <alignment horizontal="center" readingOrder="1"/>
    </xf>
    <xf numFmtId="0" fontId="0" fillId="8" borderId="0" xfId="0" applyFill="1">
      <alignment readingOrder="1"/>
    </xf>
    <xf numFmtId="168" fontId="0" fillId="8" borderId="0" xfId="0" applyNumberFormat="1" applyFill="1">
      <alignment readingOrder="1"/>
    </xf>
    <xf numFmtId="168" fontId="0" fillId="8" borderId="0" xfId="1" applyNumberFormat="1" applyFont="1" applyFill="1">
      <alignment readingOrder="1"/>
    </xf>
    <xf numFmtId="0" fontId="61" fillId="0" borderId="0" xfId="0" applyFont="1"/>
    <xf numFmtId="0" fontId="4" fillId="0" borderId="0" xfId="190"/>
    <xf numFmtId="0" fontId="4" fillId="3" borderId="5" xfId="190" applyFill="1" applyBorder="1"/>
    <xf numFmtId="0" fontId="4" fillId="3" borderId="5" xfId="190" applyFill="1" applyBorder="1" applyAlignment="1">
      <alignment wrapText="1"/>
    </xf>
    <xf numFmtId="0" fontId="4" fillId="3" borderId="5" xfId="190" applyFont="1" applyFill="1" applyBorder="1"/>
    <xf numFmtId="0" fontId="0" fillId="51" borderId="0" xfId="0" applyFill="1"/>
    <xf numFmtId="2" fontId="0" fillId="51" borderId="0" xfId="0" applyNumberFormat="1" applyFill="1"/>
    <xf numFmtId="171" fontId="0" fillId="51" borderId="0" xfId="0" applyNumberFormat="1" applyFill="1"/>
    <xf numFmtId="0" fontId="62" fillId="3" borderId="0" xfId="5" applyFont="1" applyFill="1"/>
    <xf numFmtId="0" fontId="62" fillId="3" borderId="0" xfId="5" applyFont="1" applyFill="1" applyAlignment="1">
      <alignment wrapText="1"/>
    </xf>
    <xf numFmtId="0" fontId="62" fillId="0" borderId="0" xfId="5" applyFont="1" applyAlignment="1">
      <alignment horizontal="left"/>
    </xf>
    <xf numFmtId="9" fontId="62" fillId="0" borderId="0" xfId="5" applyNumberFormat="1" applyFont="1"/>
    <xf numFmtId="179" fontId="0" fillId="0" borderId="0" xfId="1" applyNumberFormat="1" applyFont="1"/>
    <xf numFmtId="179" fontId="0" fillId="0" borderId="0" xfId="0" applyNumberFormat="1"/>
    <xf numFmtId="0" fontId="4" fillId="0" borderId="0" xfId="190" applyFont="1"/>
    <xf numFmtId="168" fontId="4" fillId="0" borderId="0" xfId="1" applyNumberFormat="1" applyFont="1" applyFill="1"/>
    <xf numFmtId="0" fontId="4" fillId="3" borderId="9" xfId="190" applyFill="1" applyBorder="1"/>
    <xf numFmtId="0" fontId="63" fillId="37" borderId="0" xfId="0" applyFont="1" applyFill="1"/>
    <xf numFmtId="168" fontId="63" fillId="0" borderId="0" xfId="1" applyNumberFormat="1" applyFont="1"/>
    <xf numFmtId="10" fontId="0" fillId="0" borderId="0" xfId="189" applyNumberFormat="1" applyFont="1"/>
    <xf numFmtId="10" fontId="55" fillId="0" borderId="0" xfId="189" applyNumberFormat="1" applyFont="1"/>
    <xf numFmtId="9" fontId="0" fillId="0" borderId="0" xfId="189" applyNumberFormat="1" applyFont="1"/>
    <xf numFmtId="9" fontId="55" fillId="0" borderId="0" xfId="189" applyNumberFormat="1" applyFont="1"/>
    <xf numFmtId="171" fontId="55" fillId="39" borderId="5" xfId="0" applyNumberFormat="1" applyFont="1" applyFill="1" applyBorder="1"/>
    <xf numFmtId="2" fontId="0" fillId="47" borderId="0" xfId="0" applyNumberFormat="1" applyFill="1"/>
    <xf numFmtId="0" fontId="0" fillId="0" borderId="0" xfId="0" applyAlignment="1"/>
    <xf numFmtId="168" fontId="0" fillId="0" borderId="0" xfId="0" applyNumberFormat="1" applyAlignment="1"/>
    <xf numFmtId="1" fontId="0" fillId="0" borderId="0" xfId="0" applyNumberFormat="1" applyAlignment="1"/>
    <xf numFmtId="0" fontId="0" fillId="3" borderId="5" xfId="0" applyFill="1" applyBorder="1"/>
    <xf numFmtId="9" fontId="0" fillId="0" borderId="0" xfId="189" applyFont="1" applyAlignment="1">
      <alignment horizontal="left"/>
    </xf>
    <xf numFmtId="0" fontId="0" fillId="3" borderId="6" xfId="0" applyFill="1" applyBorder="1"/>
    <xf numFmtId="0" fontId="0" fillId="3" borderId="33" xfId="0" applyFill="1" applyBorder="1"/>
    <xf numFmtId="0" fontId="0" fillId="3" borderId="34" xfId="0" applyFill="1" applyBorder="1"/>
    <xf numFmtId="0" fontId="0" fillId="37" borderId="36" xfId="0" applyFill="1" applyBorder="1"/>
    <xf numFmtId="43" fontId="0" fillId="0" borderId="0" xfId="1" applyFont="1" applyBorder="1"/>
    <xf numFmtId="43" fontId="0" fillId="0" borderId="37" xfId="1" applyFont="1" applyBorder="1"/>
    <xf numFmtId="0" fontId="63" fillId="37" borderId="11" xfId="0" applyFont="1" applyFill="1" applyBorder="1"/>
    <xf numFmtId="43" fontId="55" fillId="0" borderId="38" xfId="1" applyFont="1" applyBorder="1"/>
    <xf numFmtId="43" fontId="55" fillId="0" borderId="39" xfId="1" applyFont="1" applyBorder="1"/>
    <xf numFmtId="9" fontId="0" fillId="0" borderId="7" xfId="189" applyFont="1" applyBorder="1"/>
    <xf numFmtId="9" fontId="0" fillId="0" borderId="35" xfId="189" applyFont="1" applyBorder="1"/>
    <xf numFmtId="9" fontId="0" fillId="0" borderId="4" xfId="189" applyFont="1" applyBorder="1"/>
    <xf numFmtId="0" fontId="0" fillId="37" borderId="5" xfId="0" applyFill="1" applyBorder="1"/>
    <xf numFmtId="168" fontId="0" fillId="0" borderId="5" xfId="0" applyNumberFormat="1" applyBorder="1"/>
    <xf numFmtId="1" fontId="0" fillId="0" borderId="0" xfId="0" applyNumberFormat="1" applyAlignment="1">
      <alignment horizontal="center" vertical="center"/>
    </xf>
    <xf numFmtId="180" fontId="0" fillId="0" borderId="0" xfId="0" applyNumberFormat="1"/>
    <xf numFmtId="168" fontId="4" fillId="0" borderId="0" xfId="1" applyNumberFormat="1" applyFont="1" applyAlignment="1">
      <alignment horizontal="center" readingOrder="1"/>
    </xf>
    <xf numFmtId="9" fontId="0" fillId="0" borderId="0" xfId="189" applyFont="1" applyAlignment="1">
      <alignment horizontal="center" readingOrder="1"/>
    </xf>
    <xf numFmtId="0" fontId="0" fillId="52" borderId="0" xfId="0" applyFill="1"/>
    <xf numFmtId="168" fontId="1" fillId="50" borderId="0" xfId="1" applyNumberFormat="1" applyFont="1" applyFill="1">
      <alignment readingOrder="1"/>
    </xf>
    <xf numFmtId="0" fontId="2" fillId="3" borderId="0" xfId="0" applyFont="1" applyFill="1" applyBorder="1"/>
    <xf numFmtId="168" fontId="0" fillId="2" borderId="0" xfId="0" applyNumberFormat="1" applyFill="1">
      <alignment readingOrder="1"/>
    </xf>
    <xf numFmtId="0" fontId="60" fillId="42" borderId="7" xfId="0" applyFont="1" applyFill="1" applyBorder="1"/>
    <xf numFmtId="0" fontId="60" fillId="3" borderId="9" xfId="0" applyFont="1" applyFill="1" applyBorder="1"/>
    <xf numFmtId="9" fontId="0" fillId="49" borderId="0" xfId="162" applyFont="1" applyFill="1" applyAlignment="1">
      <alignment horizontal="center" readingOrder="1"/>
    </xf>
    <xf numFmtId="1" fontId="0" fillId="2" borderId="0" xfId="0" applyNumberFormat="1" applyFill="1">
      <alignment readingOrder="1"/>
    </xf>
    <xf numFmtId="0" fontId="60" fillId="2" borderId="5" xfId="0" applyFont="1" applyFill="1" applyBorder="1"/>
    <xf numFmtId="43" fontId="0" fillId="0" borderId="0" xfId="0" applyNumberFormat="1">
      <alignment readingOrder="1"/>
    </xf>
    <xf numFmtId="0" fontId="55" fillId="0" borderId="0" xfId="0" applyFont="1">
      <alignment readingOrder="1"/>
    </xf>
    <xf numFmtId="0" fontId="0" fillId="0" borderId="0" xfId="0" applyAlignment="1">
      <alignment horizontal="left" vertical="center" wrapText="1"/>
    </xf>
    <xf numFmtId="0" fontId="61" fillId="0" borderId="0" xfId="0" applyFont="1" applyAlignment="1">
      <alignment horizontal="left" vertical="center" wrapText="1"/>
    </xf>
    <xf numFmtId="15" fontId="61" fillId="0" borderId="0" xfId="0" applyNumberFormat="1" applyFont="1" applyAlignment="1">
      <alignment horizontal="center" vertical="center"/>
    </xf>
    <xf numFmtId="15" fontId="61" fillId="0" borderId="0" xfId="7" applyNumberFormat="1" applyFont="1" applyAlignment="1">
      <alignment horizontal="center" vertical="center"/>
    </xf>
    <xf numFmtId="15" fontId="61" fillId="0" borderId="0" xfId="7" applyNumberFormat="1" applyFont="1" applyFill="1" applyAlignment="1">
      <alignment horizontal="center" vertical="center"/>
    </xf>
    <xf numFmtId="0" fontId="0" fillId="0" borderId="0" xfId="0" applyAlignment="1">
      <alignment vertical="center"/>
    </xf>
    <xf numFmtId="0" fontId="0" fillId="0" borderId="0" xfId="0" applyAlignment="1">
      <alignment horizontal="center" vertical="center"/>
    </xf>
    <xf numFmtId="15" fontId="1" fillId="0" borderId="0" xfId="7" applyNumberFormat="1" applyFont="1" applyFill="1" applyAlignment="1">
      <alignment horizontal="center" vertical="center"/>
    </xf>
    <xf numFmtId="181" fontId="0" fillId="0" borderId="0" xfId="189" applyNumberFormat="1" applyFont="1"/>
    <xf numFmtId="9" fontId="0" fillId="0" borderId="7" xfId="189" applyFont="1" applyFill="1" applyBorder="1"/>
    <xf numFmtId="9" fontId="0" fillId="0" borderId="35" xfId="189" applyFont="1" applyFill="1" applyBorder="1"/>
    <xf numFmtId="9" fontId="0" fillId="0" borderId="4" xfId="189" applyFont="1" applyFill="1" applyBorder="1"/>
    <xf numFmtId="182" fontId="0" fillId="0" borderId="0" xfId="1" applyNumberFormat="1" applyFont="1"/>
    <xf numFmtId="39" fontId="0" fillId="0" borderId="0" xfId="1" applyNumberFormat="1" applyFont="1" applyAlignment="1">
      <alignment horizontal="center" vertical="center"/>
    </xf>
    <xf numFmtId="0" fontId="44" fillId="39" borderId="0" xfId="0" applyFont="1" applyFill="1">
      <alignment readingOrder="1"/>
    </xf>
    <xf numFmtId="0" fontId="4" fillId="39" borderId="0" xfId="0" applyFont="1" applyFill="1">
      <alignment readingOrder="1"/>
    </xf>
    <xf numFmtId="0" fontId="0" fillId="39" borderId="0" xfId="0" applyFill="1">
      <alignment readingOrder="1"/>
    </xf>
    <xf numFmtId="183" fontId="4" fillId="0" borderId="0" xfId="2" applyNumberFormat="1" applyFont="1">
      <alignment readingOrder="1"/>
    </xf>
    <xf numFmtId="0" fontId="60" fillId="3" borderId="34" xfId="0" applyFont="1" applyFill="1" applyBorder="1"/>
    <xf numFmtId="0" fontId="60" fillId="3" borderId="39" xfId="0" applyFont="1" applyFill="1" applyBorder="1"/>
    <xf numFmtId="2" fontId="0" fillId="10" borderId="0" xfId="0" applyNumberFormat="1" applyFill="1" applyAlignment="1">
      <alignment horizontal="center" readingOrder="1"/>
    </xf>
    <xf numFmtId="1" fontId="0" fillId="10" borderId="0" xfId="0" applyNumberFormat="1" applyFill="1" applyAlignment="1">
      <alignment horizontal="center" readingOrder="1"/>
    </xf>
    <xf numFmtId="43" fontId="0" fillId="10" borderId="0" xfId="54" applyFont="1" applyFill="1" applyAlignment="1">
      <alignment horizontal="center" readingOrder="1"/>
    </xf>
    <xf numFmtId="43" fontId="0" fillId="0" borderId="0" xfId="54" applyFont="1" applyFill="1" applyAlignment="1">
      <alignment horizontal="center" readingOrder="1"/>
    </xf>
    <xf numFmtId="9" fontId="0" fillId="8" borderId="5" xfId="189" applyFont="1" applyFill="1" applyBorder="1"/>
    <xf numFmtId="0" fontId="64" fillId="53" borderId="23" xfId="0" applyFont="1" applyFill="1" applyBorder="1" applyAlignment="1">
      <alignment horizontal="center" wrapText="1"/>
    </xf>
    <xf numFmtId="0" fontId="64" fillId="53" borderId="40" xfId="0" applyFont="1" applyFill="1" applyBorder="1" applyAlignment="1">
      <alignment horizontal="center" wrapText="1"/>
    </xf>
    <xf numFmtId="0" fontId="64" fillId="53" borderId="0" xfId="0" applyFont="1" applyFill="1" applyBorder="1" applyAlignment="1">
      <alignment horizontal="center" wrapText="1"/>
    </xf>
    <xf numFmtId="9" fontId="0" fillId="0" borderId="0" xfId="189" applyFont="1" applyAlignment="1">
      <alignment horizontal="right"/>
    </xf>
    <xf numFmtId="0" fontId="65" fillId="54" borderId="42" xfId="0" applyFont="1" applyFill="1" applyBorder="1" applyAlignment="1">
      <alignment horizontal="left" vertical="center"/>
    </xf>
    <xf numFmtId="0" fontId="65" fillId="54" borderId="43" xfId="0" applyFont="1" applyFill="1" applyBorder="1" applyAlignment="1">
      <alignment horizontal="left" vertical="center"/>
    </xf>
    <xf numFmtId="0" fontId="65" fillId="54" borderId="44" xfId="0" applyFont="1" applyFill="1" applyBorder="1" applyAlignment="1">
      <alignment horizontal="left" vertical="center"/>
    </xf>
    <xf numFmtId="0" fontId="67" fillId="54" borderId="45" xfId="0" applyFont="1" applyFill="1" applyBorder="1" applyAlignment="1"/>
    <xf numFmtId="0" fontId="67" fillId="54" borderId="41" xfId="0" applyFont="1" applyFill="1" applyBorder="1" applyAlignment="1"/>
    <xf numFmtId="0" fontId="67" fillId="54" borderId="46" xfId="0" applyFont="1" applyFill="1" applyBorder="1" applyAlignment="1"/>
    <xf numFmtId="0" fontId="67" fillId="8" borderId="45" xfId="0" applyFont="1" applyFill="1" applyBorder="1" applyAlignment="1"/>
    <xf numFmtId="0" fontId="67" fillId="8" borderId="41" xfId="0" applyFont="1" applyFill="1" applyBorder="1" applyAlignment="1"/>
    <xf numFmtId="0" fontId="67" fillId="8" borderId="46" xfId="0" applyFont="1" applyFill="1" applyBorder="1" applyAlignment="1"/>
    <xf numFmtId="0" fontId="1" fillId="0" borderId="6" xfId="0" applyFont="1" applyFill="1" applyBorder="1"/>
    <xf numFmtId="0" fontId="1" fillId="0" borderId="33" xfId="0" applyFont="1" applyFill="1" applyBorder="1"/>
    <xf numFmtId="0" fontId="1" fillId="0" borderId="34" xfId="0" applyFont="1" applyFill="1" applyBorder="1"/>
    <xf numFmtId="0" fontId="1" fillId="0" borderId="36" xfId="0" applyFont="1" applyFill="1" applyBorder="1"/>
    <xf numFmtId="0" fontId="1" fillId="0" borderId="0" xfId="0" applyFont="1" applyFill="1" applyBorder="1"/>
    <xf numFmtId="0" fontId="1" fillId="0" borderId="37" xfId="0" applyFont="1" applyFill="1" applyBorder="1"/>
    <xf numFmtId="0" fontId="1" fillId="55" borderId="0" xfId="0" applyFont="1" applyFill="1" applyBorder="1"/>
    <xf numFmtId="0" fontId="1" fillId="55" borderId="0" xfId="0" applyFont="1" applyFill="1" applyBorder="1" applyAlignment="1">
      <alignment wrapText="1"/>
    </xf>
    <xf numFmtId="0" fontId="1" fillId="55" borderId="37" xfId="0" applyFont="1" applyFill="1" applyBorder="1" applyAlignment="1">
      <alignment wrapText="1"/>
    </xf>
    <xf numFmtId="0" fontId="68" fillId="0" borderId="36" xfId="0" applyFont="1" applyFill="1" applyBorder="1"/>
    <xf numFmtId="9" fontId="1" fillId="0" borderId="0" xfId="0" applyNumberFormat="1" applyFont="1" applyFill="1" applyBorder="1"/>
    <xf numFmtId="0" fontId="1" fillId="0" borderId="0" xfId="0" applyFont="1" applyFill="1" applyBorder="1" applyAlignment="1">
      <alignment horizontal="center"/>
    </xf>
    <xf numFmtId="9" fontId="1" fillId="52" borderId="0" xfId="169" applyFont="1" applyFill="1" applyBorder="1" applyAlignment="1">
      <alignment wrapText="1"/>
    </xf>
    <xf numFmtId="9" fontId="1" fillId="52" borderId="0" xfId="169" applyFont="1" applyFill="1" applyBorder="1"/>
    <xf numFmtId="9" fontId="1" fillId="52" borderId="0" xfId="0" applyNumberFormat="1" applyFont="1" applyFill="1" applyBorder="1"/>
    <xf numFmtId="0" fontId="1" fillId="52" borderId="0" xfId="0" applyFont="1" applyFill="1" applyBorder="1"/>
    <xf numFmtId="0" fontId="61" fillId="0" borderId="36" xfId="0" applyFont="1" applyFill="1" applyBorder="1"/>
    <xf numFmtId="0" fontId="61" fillId="55" borderId="0" xfId="0" applyFont="1" applyFill="1" applyBorder="1"/>
    <xf numFmtId="0" fontId="61" fillId="55" borderId="0" xfId="0" applyFont="1" applyFill="1" applyBorder="1" applyAlignment="1">
      <alignment wrapText="1"/>
    </xf>
    <xf numFmtId="0" fontId="61" fillId="0" borderId="0" xfId="0" applyFont="1" applyFill="1" applyBorder="1"/>
    <xf numFmtId="9" fontId="61" fillId="0" borderId="0" xfId="0" applyNumberFormat="1" applyFont="1" applyFill="1" applyBorder="1"/>
    <xf numFmtId="0" fontId="61" fillId="0" borderId="0" xfId="0" applyFont="1" applyFill="1" applyBorder="1" applyAlignment="1">
      <alignment horizontal="center"/>
    </xf>
    <xf numFmtId="0" fontId="61" fillId="55" borderId="37" xfId="0" applyFont="1" applyFill="1" applyBorder="1" applyAlignment="1">
      <alignment wrapText="1"/>
    </xf>
    <xf numFmtId="0" fontId="61" fillId="0" borderId="37" xfId="0" applyFont="1" applyFill="1" applyBorder="1"/>
    <xf numFmtId="0" fontId="0" fillId="0" borderId="6" xfId="0" applyBorder="1"/>
    <xf numFmtId="0" fontId="0" fillId="0" borderId="33" xfId="0" applyBorder="1"/>
    <xf numFmtId="0" fontId="0" fillId="0" borderId="34" xfId="0" applyBorder="1"/>
    <xf numFmtId="0" fontId="0" fillId="0" borderId="36" xfId="0" applyBorder="1"/>
    <xf numFmtId="0" fontId="0" fillId="0" borderId="37" xfId="0" applyBorder="1"/>
    <xf numFmtId="0" fontId="0" fillId="3" borderId="0" xfId="0" applyFill="1" applyBorder="1"/>
    <xf numFmtId="0" fontId="0" fillId="3" borderId="37" xfId="0" applyFill="1" applyBorder="1" applyAlignment="1">
      <alignment wrapText="1"/>
    </xf>
    <xf numFmtId="0" fontId="61" fillId="0" borderId="36" xfId="0" applyFont="1" applyBorder="1"/>
    <xf numFmtId="9" fontId="0" fillId="0" borderId="0" xfId="0" applyNumberFormat="1" applyBorder="1"/>
    <xf numFmtId="9" fontId="0" fillId="0" borderId="0" xfId="0" applyNumberFormat="1" applyBorder="1" applyAlignment="1">
      <alignment horizontal="center"/>
    </xf>
    <xf numFmtId="9" fontId="0" fillId="39" borderId="0" xfId="0" applyNumberFormat="1" applyFill="1" applyBorder="1"/>
    <xf numFmtId="9" fontId="0" fillId="39" borderId="0" xfId="0" applyNumberFormat="1" applyFill="1"/>
    <xf numFmtId="9" fontId="0" fillId="39" borderId="0" xfId="189" applyFont="1" applyFill="1"/>
    <xf numFmtId="0" fontId="0" fillId="0" borderId="11" xfId="0" applyBorder="1"/>
    <xf numFmtId="0" fontId="0" fillId="0" borderId="38" xfId="0" applyBorder="1"/>
    <xf numFmtId="0" fontId="0" fillId="0" borderId="39" xfId="0" applyBorder="1"/>
    <xf numFmtId="9" fontId="0" fillId="49" borderId="0" xfId="189" applyFont="1" applyFill="1" applyAlignment="1">
      <alignment horizontal="center" readingOrder="1"/>
    </xf>
    <xf numFmtId="0" fontId="0" fillId="0" borderId="0" xfId="0" applyAlignment="1">
      <alignment horizontal="left" vertical="center"/>
    </xf>
    <xf numFmtId="16" fontId="0" fillId="0" borderId="0" xfId="0" applyNumberFormat="1" applyAlignment="1">
      <alignment horizontal="left" vertical="center"/>
    </xf>
    <xf numFmtId="0" fontId="44" fillId="42" borderId="0" xfId="0" applyFont="1" applyFill="1"/>
    <xf numFmtId="0" fontId="59" fillId="48" borderId="34" xfId="0" applyFont="1" applyFill="1" applyBorder="1">
      <alignment readingOrder="1"/>
    </xf>
    <xf numFmtId="0" fontId="59" fillId="48" borderId="37" xfId="0" applyFont="1" applyFill="1" applyBorder="1">
      <alignment readingOrder="1"/>
    </xf>
    <xf numFmtId="0" fontId="0" fillId="49" borderId="39" xfId="0" applyFill="1" applyBorder="1">
      <alignment readingOrder="1"/>
    </xf>
    <xf numFmtId="0" fontId="0" fillId="3" borderId="33" xfId="0" applyFill="1" applyBorder="1">
      <alignment readingOrder="1"/>
    </xf>
    <xf numFmtId="0" fontId="59" fillId="48" borderId="33" xfId="0" applyFont="1" applyFill="1" applyBorder="1">
      <alignment readingOrder="1"/>
    </xf>
    <xf numFmtId="0" fontId="0" fillId="3" borderId="0" xfId="0" applyFill="1" applyBorder="1">
      <alignment readingOrder="1"/>
    </xf>
    <xf numFmtId="0" fontId="59" fillId="48" borderId="0" xfId="0" applyFont="1" applyFill="1" applyBorder="1">
      <alignment readingOrder="1"/>
    </xf>
    <xf numFmtId="0" fontId="0" fillId="3" borderId="38" xfId="0" applyFill="1" applyBorder="1" applyAlignment="1">
      <alignment vertical="center" wrapText="1" readingOrder="1"/>
    </xf>
    <xf numFmtId="0" fontId="59" fillId="48" borderId="38" xfId="0" applyFont="1" applyFill="1" applyBorder="1">
      <alignment readingOrder="1"/>
    </xf>
    <xf numFmtId="0" fontId="59" fillId="48" borderId="39" xfId="0" applyFont="1" applyFill="1" applyBorder="1">
      <alignment readingOrder="1"/>
    </xf>
    <xf numFmtId="0" fontId="60" fillId="42" borderId="11" xfId="0" applyFont="1" applyFill="1" applyBorder="1"/>
    <xf numFmtId="0" fontId="60" fillId="42" borderId="39" xfId="0" applyFont="1" applyFill="1" applyBorder="1"/>
    <xf numFmtId="0" fontId="0" fillId="3" borderId="0" xfId="0" applyFill="1" applyBorder="1" applyAlignment="1">
      <alignment vertical="center" wrapText="1" readingOrder="1"/>
    </xf>
    <xf numFmtId="0" fontId="0" fillId="3" borderId="38" xfId="0" applyFill="1" applyBorder="1">
      <alignment readingOrder="1"/>
    </xf>
    <xf numFmtId="49" fontId="55" fillId="0" borderId="11" xfId="0" applyNumberFormat="1" applyFont="1" applyFill="1" applyBorder="1">
      <alignment readingOrder="1"/>
    </xf>
    <xf numFmtId="0" fontId="0" fillId="3" borderId="6" xfId="0" applyFill="1" applyBorder="1">
      <alignment readingOrder="1"/>
    </xf>
    <xf numFmtId="0" fontId="0" fillId="3" borderId="36" xfId="0" applyFill="1" applyBorder="1">
      <alignment readingOrder="1"/>
    </xf>
    <xf numFmtId="0" fontId="0" fillId="3" borderId="11" xfId="0" applyFill="1" applyBorder="1">
      <alignment readingOrder="1"/>
    </xf>
    <xf numFmtId="1" fontId="55" fillId="49" borderId="38" xfId="0" applyNumberFormat="1" applyFont="1" applyFill="1" applyBorder="1" applyAlignment="1">
      <alignment horizontal="center" readingOrder="1"/>
    </xf>
    <xf numFmtId="0" fontId="0" fillId="2" borderId="6" xfId="0" applyNumberFormat="1" applyFill="1" applyBorder="1" applyAlignment="1">
      <alignment horizontal="left" vertical="center" wrapText="1" readingOrder="1"/>
    </xf>
    <xf numFmtId="0" fontId="0" fillId="2" borderId="33" xfId="0" applyNumberFormat="1" applyFill="1" applyBorder="1" applyAlignment="1">
      <alignment horizontal="left" vertical="center" wrapText="1" readingOrder="1"/>
    </xf>
    <xf numFmtId="0" fontId="0" fillId="2" borderId="34" xfId="0" applyNumberFormat="1" applyFill="1" applyBorder="1" applyAlignment="1">
      <alignment horizontal="left" vertical="center" wrapText="1" readingOrder="1"/>
    </xf>
    <xf numFmtId="0" fontId="0" fillId="2" borderId="36" xfId="0" applyNumberFormat="1" applyFill="1" applyBorder="1" applyAlignment="1">
      <alignment horizontal="left" vertical="center" wrapText="1" readingOrder="1"/>
    </xf>
    <xf numFmtId="0" fontId="0" fillId="2" borderId="0" xfId="0" applyNumberFormat="1" applyFill="1" applyBorder="1" applyAlignment="1">
      <alignment horizontal="left" vertical="center" wrapText="1" readingOrder="1"/>
    </xf>
    <xf numFmtId="0" fontId="0" fillId="2" borderId="37" xfId="0" applyNumberFormat="1" applyFill="1" applyBorder="1" applyAlignment="1">
      <alignment horizontal="left" vertical="center" wrapText="1" readingOrder="1"/>
    </xf>
    <xf numFmtId="0" fontId="0" fillId="2" borderId="38" xfId="0" applyNumberFormat="1" applyFill="1" applyBorder="1" applyAlignment="1">
      <alignment horizontal="left" vertical="center" wrapText="1" readingOrder="1"/>
    </xf>
    <xf numFmtId="0" fontId="0" fillId="2" borderId="39" xfId="0" applyNumberFormat="1" applyFill="1" applyBorder="1" applyAlignment="1">
      <alignment horizontal="left" vertical="center" wrapText="1" readingOrder="1"/>
    </xf>
    <xf numFmtId="0" fontId="13" fillId="5" borderId="9" xfId="6" applyFont="1" applyFill="1" applyBorder="1" applyAlignment="1">
      <alignment horizontal="center"/>
    </xf>
    <xf numFmtId="0" fontId="13" fillId="5" borderId="10" xfId="6" applyFont="1" applyFill="1" applyBorder="1" applyAlignment="1">
      <alignment horizontal="center"/>
    </xf>
    <xf numFmtId="0" fontId="13" fillId="5" borderId="8" xfId="6" applyFont="1" applyFill="1" applyBorder="1" applyAlignment="1">
      <alignment horizontal="center"/>
    </xf>
    <xf numFmtId="0" fontId="10" fillId="6" borderId="5" xfId="0" applyFont="1" applyFill="1" applyBorder="1" applyAlignment="1">
      <alignment horizontal="center"/>
    </xf>
    <xf numFmtId="0" fontId="14" fillId="0" borderId="5" xfId="0" applyFont="1" applyBorder="1" applyAlignment="1">
      <alignment horizontal="center"/>
    </xf>
    <xf numFmtId="0" fontId="14" fillId="8" borderId="5" xfId="6" applyFont="1" applyFill="1" applyBorder="1" applyAlignment="1">
      <alignment horizontal="center"/>
    </xf>
    <xf numFmtId="0" fontId="4" fillId="3" borderId="9" xfId="190" applyFill="1" applyBorder="1" applyAlignment="1">
      <alignment horizontal="center"/>
    </xf>
    <xf numFmtId="0" fontId="4" fillId="3" borderId="10" xfId="190" applyFill="1" applyBorder="1" applyAlignment="1">
      <alignment horizontal="center"/>
    </xf>
    <xf numFmtId="0" fontId="4" fillId="3" borderId="8" xfId="190" applyFill="1" applyBorder="1" applyAlignment="1">
      <alignment horizontal="center"/>
    </xf>
    <xf numFmtId="0" fontId="0" fillId="0" borderId="0" xfId="0" applyAlignment="1">
      <alignment horizontal="left" vertical="top" wrapText="1"/>
    </xf>
    <xf numFmtId="169" fontId="0" fillId="43" borderId="0" xfId="2" applyNumberFormat="1" applyFont="1" applyFill="1" applyAlignment="1">
      <alignment horizontal="center" wrapText="1"/>
    </xf>
    <xf numFmtId="0" fontId="61" fillId="55" borderId="0" xfId="0" applyFont="1" applyFill="1" applyBorder="1" applyAlignment="1">
      <alignment horizontal="center"/>
    </xf>
    <xf numFmtId="0" fontId="0" fillId="3" borderId="0" xfId="0" applyFill="1" applyBorder="1" applyAlignment="1">
      <alignment horizontal="center" vertical="center"/>
    </xf>
    <xf numFmtId="0" fontId="1" fillId="55" borderId="0" xfId="0" applyFont="1" applyFill="1" applyBorder="1" applyAlignment="1">
      <alignment horizontal="center"/>
    </xf>
    <xf numFmtId="0" fontId="0" fillId="54" borderId="41" xfId="0" applyFill="1" applyBorder="1" applyAlignment="1">
      <alignment horizontal="center"/>
    </xf>
    <xf numFmtId="0" fontId="0" fillId="0" borderId="41" xfId="0" applyBorder="1" applyAlignment="1"/>
  </cellXfs>
  <cellStyles count="191">
    <cellStyle name="20% - Accent1 2" xfId="9"/>
    <cellStyle name="20% - Accent1 2 2" xfId="10"/>
    <cellStyle name="20% - Accent2 2" xfId="11"/>
    <cellStyle name="20% - Accent3 2" xfId="12"/>
    <cellStyle name="20% - Accent3 2 2" xfId="13"/>
    <cellStyle name="20% - Accent4 2" xfId="14"/>
    <cellStyle name="20% - Accent4 2 2" xfId="15"/>
    <cellStyle name="20% - Accent5 2" xfId="16"/>
    <cellStyle name="20% - Accent6 2" xfId="17"/>
    <cellStyle name="40% - Accent1 2" xfId="18"/>
    <cellStyle name="40% - Accent1 2 2" xfId="19"/>
    <cellStyle name="40% - Accent2 2" xfId="20"/>
    <cellStyle name="40% - Accent2 2 2" xfId="21"/>
    <cellStyle name="40% - Accent3 2" xfId="22"/>
    <cellStyle name="40% - Accent3 2 2" xfId="23"/>
    <cellStyle name="40% - Accent4 2" xfId="24"/>
    <cellStyle name="40% - Accent4 2 2" xfId="25"/>
    <cellStyle name="40% - Accent5 2" xfId="26"/>
    <cellStyle name="40% - Accent6 2" xfId="27"/>
    <cellStyle name="40% - Accent6 2 2" xfId="28"/>
    <cellStyle name="60% - Accent1 2" xfId="29"/>
    <cellStyle name="60% - Accent1 2 2" xfId="30"/>
    <cellStyle name="60% - Accent2 2" xfId="31"/>
    <cellStyle name="60% - Accent2 2 2" xfId="32"/>
    <cellStyle name="60% - Accent3 2" xfId="33"/>
    <cellStyle name="60% - Accent3 2 2" xfId="34"/>
    <cellStyle name="60% - Accent4 2" xfId="35"/>
    <cellStyle name="60% - Accent4 2 2" xfId="36"/>
    <cellStyle name="60% - Accent5 2" xfId="37"/>
    <cellStyle name="60% - Accent6 2" xfId="38"/>
    <cellStyle name="60% - Accent6 2 2" xfId="39"/>
    <cellStyle name="Accent1 2" xfId="40"/>
    <cellStyle name="Accent1 2 2" xfId="41"/>
    <cellStyle name="Accent2 2" xfId="42"/>
    <cellStyle name="Accent3 2" xfId="43"/>
    <cellStyle name="Accent3 2 2" xfId="44"/>
    <cellStyle name="Accent4 2" xfId="45"/>
    <cellStyle name="Accent4 2 2" xfId="46"/>
    <cellStyle name="Accent5 2" xfId="47"/>
    <cellStyle name="Accent6 2" xfId="48"/>
    <cellStyle name="Bad 2" xfId="49"/>
    <cellStyle name="Bad 2 2" xfId="50"/>
    <cellStyle name="Calculation 2" xfId="51"/>
    <cellStyle name="Calculation 2 2" xfId="52"/>
    <cellStyle name="Check Cell 2" xfId="53"/>
    <cellStyle name="Comma" xfId="1" builtinId="3"/>
    <cellStyle name="Comma 2" xfId="54"/>
    <cellStyle name="Comma 2 2" xfId="55"/>
    <cellStyle name="Comma 2 2 2" xfId="56"/>
    <cellStyle name="Comma 2 2 3" xfId="57"/>
    <cellStyle name="Comma 2 3" xfId="58"/>
    <cellStyle name="Comma 2 4" xfId="59"/>
    <cellStyle name="Comma 3" xfId="60"/>
    <cellStyle name="Comma 3 2" xfId="61"/>
    <cellStyle name="Comma 3 2 2" xfId="62"/>
    <cellStyle name="Comma 3 2 3" xfId="63"/>
    <cellStyle name="Comma 3 3" xfId="64"/>
    <cellStyle name="Comma 3 4" xfId="65"/>
    <cellStyle name="Currency" xfId="2" builtinId="4"/>
    <cellStyle name="Currency 2" xfId="66"/>
    <cellStyle name="Currency 2 2" xfId="67"/>
    <cellStyle name="Currency 2 2 2" xfId="68"/>
    <cellStyle name="Currency 2 2 3" xfId="69"/>
    <cellStyle name="Currency 2 3" xfId="70"/>
    <cellStyle name="Currency 2 4" xfId="71"/>
    <cellStyle name="Currency 3" xfId="72"/>
    <cellStyle name="Currency 3 2" xfId="73"/>
    <cellStyle name="Currency 3 2 2" xfId="74"/>
    <cellStyle name="Currency 3 2 3" xfId="75"/>
    <cellStyle name="Currency 3 3" xfId="76"/>
    <cellStyle name="Currency 3 4" xfId="77"/>
    <cellStyle name="Data Field" xfId="78"/>
    <cellStyle name="Data Field 2" xfId="79"/>
    <cellStyle name="Data Field 2 2" xfId="80"/>
    <cellStyle name="Data Field 2 3" xfId="81"/>
    <cellStyle name="Data Field 3" xfId="82"/>
    <cellStyle name="Data Field 4" xfId="83"/>
    <cellStyle name="Data Name" xfId="84"/>
    <cellStyle name="Date/Time" xfId="85"/>
    <cellStyle name="Explanatory Text 2" xfId="86"/>
    <cellStyle name="Good 2" xfId="87"/>
    <cellStyle name="Heading" xfId="88"/>
    <cellStyle name="Heading 1 2" xfId="89"/>
    <cellStyle name="Heading 1 2 2" xfId="90"/>
    <cellStyle name="Heading 3 2" xfId="91"/>
    <cellStyle name="Heading 3 2 2" xfId="92"/>
    <cellStyle name="Heading 4 2" xfId="93"/>
    <cellStyle name="Heading 4 2 2" xfId="94"/>
    <cellStyle name="Hyperlink" xfId="188" builtinId="8"/>
    <cellStyle name="Hyperlink 2" xfId="95"/>
    <cellStyle name="Hyperlink 3" xfId="96"/>
    <cellStyle name="Input 2" xfId="97"/>
    <cellStyle name="Linked Cell 2" xfId="98"/>
    <cellStyle name="Neutral 2" xfId="99"/>
    <cellStyle name="Normal" xfId="0" builtinId="0"/>
    <cellStyle name="Normal 10" xfId="100"/>
    <cellStyle name="Normal 11" xfId="101"/>
    <cellStyle name="Normal 12" xfId="102"/>
    <cellStyle name="Normal 13" xfId="4"/>
    <cellStyle name="Normal 13 2" xfId="103"/>
    <cellStyle name="Normal 14" xfId="104"/>
    <cellStyle name="Normal 14 2" xfId="105"/>
    <cellStyle name="Normal 14 3" xfId="106"/>
    <cellStyle name="Normal 14 4" xfId="107"/>
    <cellStyle name="Normal 15" xfId="108"/>
    <cellStyle name="Normal 15 2" xfId="109"/>
    <cellStyle name="Normal 15 3" xfId="110"/>
    <cellStyle name="Normal 16" xfId="111"/>
    <cellStyle name="Normal 17" xfId="112"/>
    <cellStyle name="Normal 2" xfId="113"/>
    <cellStyle name="Normal 2 2" xfId="114"/>
    <cellStyle name="Normal 2 2 2" xfId="115"/>
    <cellStyle name="Normal 2 2 2 2" xfId="116"/>
    <cellStyle name="Normal 2 2 2 3" xfId="117"/>
    <cellStyle name="Normal 2 2 3" xfId="118"/>
    <cellStyle name="Normal 2 2 4" xfId="119"/>
    <cellStyle name="Normal 2 3" xfId="120"/>
    <cellStyle name="Normal 2 3 2" xfId="121"/>
    <cellStyle name="Normal 2 3 3" xfId="122"/>
    <cellStyle name="Normal 2 4" xfId="123"/>
    <cellStyle name="Normal 2 4 2" xfId="124"/>
    <cellStyle name="Normal 2 4 3" xfId="125"/>
    <cellStyle name="Normal 2 5" xfId="126"/>
    <cellStyle name="Normal 2 6" xfId="127"/>
    <cellStyle name="Normal 2 6 2" xfId="128"/>
    <cellStyle name="Normal 2 7" xfId="129"/>
    <cellStyle name="Normal 3" xfId="5"/>
    <cellStyle name="Normal 3 2" xfId="130"/>
    <cellStyle name="Normal 3 2 2" xfId="131"/>
    <cellStyle name="Normal 3 2 3" xfId="132"/>
    <cellStyle name="Normal 3 3" xfId="133"/>
    <cellStyle name="Normal 3 4" xfId="134"/>
    <cellStyle name="Normal 4" xfId="135"/>
    <cellStyle name="Normal 4 2" xfId="136"/>
    <cellStyle name="Normal 4 3" xfId="137"/>
    <cellStyle name="Normal 4 3 2" xfId="138"/>
    <cellStyle name="Normal 4 3 3" xfId="139"/>
    <cellStyle name="Normal 4 4" xfId="140"/>
    <cellStyle name="Normal 4 4 2" xfId="141"/>
    <cellStyle name="Normal 4 4 3" xfId="142"/>
    <cellStyle name="Normal 4 5" xfId="143"/>
    <cellStyle name="Normal 4 5 2" xfId="144"/>
    <cellStyle name="Normal 4 5 3" xfId="145"/>
    <cellStyle name="Normal 4 6" xfId="146"/>
    <cellStyle name="Normal 4 7" xfId="147"/>
    <cellStyle name="Normal 5" xfId="148"/>
    <cellStyle name="Normal 5 2" xfId="149"/>
    <cellStyle name="Normal 6" xfId="150"/>
    <cellStyle name="Normal 7" xfId="151"/>
    <cellStyle name="Normal 7 2" xfId="152"/>
    <cellStyle name="Normal 8" xfId="153"/>
    <cellStyle name="Normal 8 2" xfId="154"/>
    <cellStyle name="Normal 9" xfId="155"/>
    <cellStyle name="Normal 9 2" xfId="156"/>
    <cellStyle name="Normal 9 3" xfId="157"/>
    <cellStyle name="Normal_MTDUCT" xfId="6"/>
    <cellStyle name="Normal_PC-LPDPackage-6P-D14" xfId="3"/>
    <cellStyle name="Normal_PC-LPDPackageNew-5P" xfId="190"/>
    <cellStyle name="Normal_PC-PackRTOptimize-D1-6p-D2" xfId="7"/>
    <cellStyle name="Normal_ProCostFinAssumptions_Sector" xfId="8"/>
    <cellStyle name="Note 2" xfId="158"/>
    <cellStyle name="Note 2 2" xfId="159"/>
    <cellStyle name="Output 2" xfId="160"/>
    <cellStyle name="Output 2 2" xfId="161"/>
    <cellStyle name="Percent" xfId="189" builtinId="5"/>
    <cellStyle name="Percent 2" xfId="162"/>
    <cellStyle name="Percent 2 2" xfId="163"/>
    <cellStyle name="Percent 2 2 2" xfId="164"/>
    <cellStyle name="Percent 2 2 2 2" xfId="165"/>
    <cellStyle name="Percent 2 2 2 3" xfId="166"/>
    <cellStyle name="Percent 2 2 3" xfId="167"/>
    <cellStyle name="Percent 2 2 4" xfId="168"/>
    <cellStyle name="Percent 2 3" xfId="169"/>
    <cellStyle name="Percent 2 3 2" xfId="170"/>
    <cellStyle name="Percent 2 3 3" xfId="171"/>
    <cellStyle name="Percent 3" xfId="172"/>
    <cellStyle name="Percent 3 2" xfId="173"/>
    <cellStyle name="Percent 3 2 2" xfId="174"/>
    <cellStyle name="Percent 3 2 3" xfId="175"/>
    <cellStyle name="Percent 3 3" xfId="176"/>
    <cellStyle name="Percent 3 4" xfId="177"/>
    <cellStyle name="Percent 4" xfId="178"/>
    <cellStyle name="Percent 4 2" xfId="179"/>
    <cellStyle name="Percent 5" xfId="180"/>
    <cellStyle name="Title 2" xfId="181"/>
    <cellStyle name="Title 2 2" xfId="182"/>
    <cellStyle name="Total 2" xfId="183"/>
    <cellStyle name="Total 2 2" xfId="184"/>
    <cellStyle name="Warning Text 2" xfId="185"/>
    <cellStyle name="표준_ENERGY CONSUMP" xfId="186"/>
    <cellStyle name="常规_海外市场服务网站资料操作BOM" xfId="187"/>
  </cellStyles>
  <dxfs count="77">
    <dxf>
      <fill>
        <patternFill patternType="solid">
          <fgColor rgb="FFDBE5F1"/>
          <bgColor rgb="FFDBE5F1"/>
        </patternFill>
      </fill>
      <border>
        <bottom style="thin">
          <color rgb="FF95B3D7"/>
        </bottom>
      </border>
    </dxf>
    <dxf>
      <fill>
        <patternFill patternType="solid">
          <fgColor rgb="FFDBE5F1"/>
          <bgColor rgb="FFDBE5F1"/>
        </patternFill>
      </fill>
      <border>
        <bottom style="thin">
          <color rgb="FF95B3D7"/>
        </bottom>
      </border>
    </dxf>
    <dxf>
      <font>
        <b/>
        <color rgb="FF000000"/>
      </font>
    </dxf>
    <dxf>
      <font>
        <b/>
        <color rgb="FF000000"/>
      </font>
      <border>
        <bottom style="thin">
          <color rgb="FF95B3D7"/>
        </bottom>
      </border>
    </dxf>
    <dxf>
      <font>
        <b/>
        <color rgb="FF000000"/>
      </font>
    </dxf>
    <dxf>
      <font>
        <b/>
        <color rgb="FF000000"/>
      </font>
      <border>
        <top style="thin">
          <color rgb="FF4F81BD"/>
        </top>
        <bottom style="thin">
          <color rgb="FF4F81BD"/>
        </bottom>
      </border>
    </dxf>
    <dxf>
      <fill>
        <patternFill patternType="solid">
          <fgColor rgb="FFD8D8D8"/>
          <bgColor rgb="FFD8D8D8"/>
        </patternFill>
      </fill>
    </dxf>
    <dxf>
      <fill>
        <patternFill patternType="solid">
          <fgColor rgb="FFD8D8D8"/>
          <bgColor rgb="FFD8D8D8"/>
        </patternFill>
      </fill>
      <border>
        <left style="thin">
          <color rgb="FFBFBFBF"/>
        </left>
        <right style="thin">
          <color rgb="FFBFBFBF"/>
        </right>
      </border>
    </dxf>
    <dxf>
      <fill>
        <patternFill patternType="solid">
          <fgColor rgb="FFD8D8D8"/>
          <bgColor rgb="FFD8D8D8"/>
        </patternFill>
      </fill>
    </dxf>
    <dxf>
      <font>
        <b/>
        <color rgb="FF000000"/>
      </font>
      <fill>
        <patternFill patternType="solid">
          <fgColor rgb="FFDBE5F1"/>
          <bgColor rgb="FFDBE5F1"/>
        </patternFill>
      </fill>
      <border>
        <top style="thin">
          <color rgb="FF95B3D7"/>
        </top>
      </border>
    </dxf>
    <dxf>
      <font>
        <b/>
        <color rgb="FF000000"/>
      </font>
      <fill>
        <patternFill patternType="solid">
          <fgColor rgb="FFDBE5F1"/>
          <bgColor rgb="FFDBE5F1"/>
        </patternFill>
      </fill>
      <border>
        <bottom style="thin">
          <color rgb="FF95B3D7"/>
        </bottom>
      </border>
    </dxf>
    <dxf>
      <fill>
        <patternFill patternType="solid">
          <fgColor rgb="FFDBE5F1"/>
          <bgColor rgb="FFDBE5F1"/>
        </patternFill>
      </fill>
      <border>
        <bottom style="thin">
          <color rgb="FF95B3D7"/>
        </bottom>
      </border>
    </dxf>
    <dxf>
      <fill>
        <patternFill patternType="solid">
          <fgColor rgb="FFDBE5F1"/>
          <bgColor rgb="FFDBE5F1"/>
        </patternFill>
      </fill>
      <border>
        <bottom style="thin">
          <color rgb="FF95B3D7"/>
        </bottom>
      </border>
    </dxf>
    <dxf>
      <font>
        <b/>
        <color rgb="FF000000"/>
      </font>
    </dxf>
    <dxf>
      <font>
        <b/>
        <color rgb="FF000000"/>
      </font>
      <border>
        <bottom style="thin">
          <color rgb="FF95B3D7"/>
        </bottom>
      </border>
    </dxf>
    <dxf>
      <font>
        <b/>
        <color rgb="FF000000"/>
      </font>
    </dxf>
    <dxf>
      <font>
        <b/>
        <color rgb="FF000000"/>
      </font>
      <border>
        <top style="thin">
          <color rgb="FF4F81BD"/>
        </top>
        <bottom style="thin">
          <color rgb="FF4F81BD"/>
        </bottom>
      </border>
    </dxf>
    <dxf>
      <fill>
        <patternFill patternType="solid">
          <fgColor rgb="FFD8D8D8"/>
          <bgColor rgb="FFD8D8D8"/>
        </patternFill>
      </fill>
    </dxf>
    <dxf>
      <fill>
        <patternFill patternType="solid">
          <fgColor rgb="FFD8D8D8"/>
          <bgColor rgb="FFD8D8D8"/>
        </patternFill>
      </fill>
      <border>
        <left style="thin">
          <color rgb="FFBFBFBF"/>
        </left>
        <right style="thin">
          <color rgb="FFBFBFBF"/>
        </right>
      </border>
    </dxf>
    <dxf>
      <fill>
        <patternFill patternType="solid">
          <fgColor rgb="FFD8D8D8"/>
          <bgColor rgb="FFD8D8D8"/>
        </patternFill>
      </fill>
    </dxf>
    <dxf>
      <font>
        <b/>
        <color rgb="FF000000"/>
      </font>
      <fill>
        <patternFill patternType="solid">
          <fgColor rgb="FFDBE5F1"/>
          <bgColor rgb="FFDBE5F1"/>
        </patternFill>
      </fill>
      <border>
        <top style="thin">
          <color rgb="FF95B3D7"/>
        </top>
      </border>
    </dxf>
    <dxf>
      <font>
        <b/>
        <color rgb="FF000000"/>
      </font>
      <fill>
        <patternFill patternType="solid">
          <fgColor rgb="FFDBE5F1"/>
          <bgColor rgb="FFDBE5F1"/>
        </patternFill>
      </fill>
      <border>
        <bottom style="thin">
          <color rgb="FF95B3D7"/>
        </bottom>
      </border>
    </dxf>
    <dxf>
      <fill>
        <patternFill patternType="solid">
          <fgColor rgb="FFDBE5F1"/>
          <bgColor rgb="FFDBE5F1"/>
        </patternFill>
      </fill>
      <border>
        <bottom style="thin">
          <color rgb="FF95B3D7"/>
        </bottom>
      </border>
    </dxf>
    <dxf>
      <fill>
        <patternFill patternType="solid">
          <fgColor rgb="FFDBE5F1"/>
          <bgColor rgb="FFDBE5F1"/>
        </patternFill>
      </fill>
      <border>
        <bottom style="thin">
          <color rgb="FF95B3D7"/>
        </bottom>
      </border>
    </dxf>
    <dxf>
      <font>
        <b/>
        <color rgb="FF000000"/>
      </font>
    </dxf>
    <dxf>
      <font>
        <b/>
        <color rgb="FF000000"/>
      </font>
      <border>
        <bottom style="thin">
          <color rgb="FF95B3D7"/>
        </bottom>
      </border>
    </dxf>
    <dxf>
      <font>
        <b/>
        <color rgb="FF000000"/>
      </font>
    </dxf>
    <dxf>
      <font>
        <b/>
        <color rgb="FF000000"/>
      </font>
      <border>
        <top style="thin">
          <color rgb="FF4F81BD"/>
        </top>
        <bottom style="thin">
          <color rgb="FF4F81BD"/>
        </bottom>
      </border>
    </dxf>
    <dxf>
      <fill>
        <patternFill patternType="solid">
          <fgColor rgb="FFD8D8D8"/>
          <bgColor rgb="FFD8D8D8"/>
        </patternFill>
      </fill>
    </dxf>
    <dxf>
      <fill>
        <patternFill patternType="solid">
          <fgColor rgb="FFD8D8D8"/>
          <bgColor rgb="FFD8D8D8"/>
        </patternFill>
      </fill>
      <border>
        <left style="thin">
          <color rgb="FFBFBFBF"/>
        </left>
        <right style="thin">
          <color rgb="FFBFBFBF"/>
        </right>
      </border>
    </dxf>
    <dxf>
      <fill>
        <patternFill patternType="solid">
          <fgColor rgb="FFD8D8D8"/>
          <bgColor rgb="FFD8D8D8"/>
        </patternFill>
      </fill>
    </dxf>
    <dxf>
      <font>
        <b/>
        <color rgb="FF000000"/>
      </font>
      <fill>
        <patternFill patternType="solid">
          <fgColor rgb="FFDBE5F1"/>
          <bgColor rgb="FFDBE5F1"/>
        </patternFill>
      </fill>
      <border>
        <top style="thin">
          <color rgb="FF95B3D7"/>
        </top>
      </border>
    </dxf>
    <dxf>
      <font>
        <b/>
        <color rgb="FF000000"/>
      </font>
      <fill>
        <patternFill patternType="solid">
          <fgColor rgb="FFDBE5F1"/>
          <bgColor rgb="FFDBE5F1"/>
        </patternFill>
      </fill>
      <border>
        <bottom style="thin">
          <color rgb="FF95B3D7"/>
        </bottom>
      </border>
    </dxf>
    <dxf>
      <fill>
        <patternFill patternType="solid">
          <fgColor rgb="FFDBE5F1"/>
          <bgColor rgb="FFDBE5F1"/>
        </patternFill>
      </fill>
      <border>
        <bottom style="thin">
          <color rgb="FF95B3D7"/>
        </bottom>
      </border>
    </dxf>
    <dxf>
      <fill>
        <patternFill patternType="solid">
          <fgColor rgb="FFDBE5F1"/>
          <bgColor rgb="FFDBE5F1"/>
        </patternFill>
      </fill>
      <border>
        <bottom style="thin">
          <color rgb="FF95B3D7"/>
        </bottom>
      </border>
    </dxf>
    <dxf>
      <font>
        <b/>
        <color rgb="FF000000"/>
      </font>
    </dxf>
    <dxf>
      <font>
        <b/>
        <color rgb="FF000000"/>
      </font>
      <border>
        <bottom style="thin">
          <color rgb="FF95B3D7"/>
        </bottom>
      </border>
    </dxf>
    <dxf>
      <font>
        <b/>
        <color rgb="FF000000"/>
      </font>
    </dxf>
    <dxf>
      <font>
        <b/>
        <color rgb="FF000000"/>
      </font>
      <border>
        <top style="thin">
          <color rgb="FF4F81BD"/>
        </top>
        <bottom style="thin">
          <color rgb="FF4F81BD"/>
        </bottom>
      </border>
    </dxf>
    <dxf>
      <fill>
        <patternFill patternType="solid">
          <fgColor rgb="FFD8D8D8"/>
          <bgColor rgb="FFD8D8D8"/>
        </patternFill>
      </fill>
    </dxf>
    <dxf>
      <fill>
        <patternFill patternType="solid">
          <fgColor rgb="FFD8D8D8"/>
          <bgColor rgb="FFD8D8D8"/>
        </patternFill>
      </fill>
      <border>
        <left style="thin">
          <color rgb="FFBFBFBF"/>
        </left>
        <right style="thin">
          <color rgb="FFBFBFBF"/>
        </right>
      </border>
    </dxf>
    <dxf>
      <fill>
        <patternFill patternType="solid">
          <fgColor rgb="FFD8D8D8"/>
          <bgColor rgb="FFD8D8D8"/>
        </patternFill>
      </fill>
    </dxf>
    <dxf>
      <font>
        <b/>
        <color rgb="FF000000"/>
      </font>
      <fill>
        <patternFill patternType="solid">
          <fgColor rgb="FFDBE5F1"/>
          <bgColor rgb="FFDBE5F1"/>
        </patternFill>
      </fill>
      <border>
        <top style="thin">
          <color rgb="FF95B3D7"/>
        </top>
      </border>
    </dxf>
    <dxf>
      <font>
        <b/>
        <color rgb="FF000000"/>
      </font>
      <fill>
        <patternFill patternType="solid">
          <fgColor rgb="FFDBE5F1"/>
          <bgColor rgb="FFDBE5F1"/>
        </patternFill>
      </fill>
      <border>
        <bottom style="thin">
          <color rgb="FF95B3D7"/>
        </bottom>
      </border>
    </dxf>
    <dxf>
      <fill>
        <patternFill patternType="solid">
          <fgColor rgb="FFDBE5F1"/>
          <bgColor rgb="FFDBE5F1"/>
        </patternFill>
      </fill>
      <border>
        <bottom style="thin">
          <color rgb="FF95B3D7"/>
        </bottom>
      </border>
    </dxf>
    <dxf>
      <fill>
        <patternFill patternType="solid">
          <fgColor rgb="FFDBE5F1"/>
          <bgColor rgb="FFDBE5F1"/>
        </patternFill>
      </fill>
      <border>
        <bottom style="thin">
          <color rgb="FF95B3D7"/>
        </bottom>
      </border>
    </dxf>
    <dxf>
      <font>
        <b/>
        <color rgb="FF000000"/>
      </font>
    </dxf>
    <dxf>
      <font>
        <b/>
        <color rgb="FF000000"/>
      </font>
      <border>
        <bottom style="thin">
          <color rgb="FF95B3D7"/>
        </bottom>
      </border>
    </dxf>
    <dxf>
      <font>
        <b/>
        <color rgb="FF000000"/>
      </font>
    </dxf>
    <dxf>
      <font>
        <b/>
        <color rgb="FF000000"/>
      </font>
      <border>
        <top style="thin">
          <color rgb="FF4F81BD"/>
        </top>
        <bottom style="thin">
          <color rgb="FF4F81BD"/>
        </bottom>
      </border>
    </dxf>
    <dxf>
      <fill>
        <patternFill patternType="solid">
          <fgColor rgb="FFD8D8D8"/>
          <bgColor rgb="FFD8D8D8"/>
        </patternFill>
      </fill>
    </dxf>
    <dxf>
      <fill>
        <patternFill patternType="solid">
          <fgColor rgb="FFD8D8D8"/>
          <bgColor rgb="FFD8D8D8"/>
        </patternFill>
      </fill>
      <border>
        <left style="thin">
          <color rgb="FFBFBFBF"/>
        </left>
        <right style="thin">
          <color rgb="FFBFBFBF"/>
        </right>
      </border>
    </dxf>
    <dxf>
      <fill>
        <patternFill patternType="solid">
          <fgColor rgb="FFD8D8D8"/>
          <bgColor rgb="FFD8D8D8"/>
        </patternFill>
      </fill>
    </dxf>
    <dxf>
      <font>
        <b/>
        <color rgb="FF000000"/>
      </font>
      <fill>
        <patternFill patternType="solid">
          <fgColor rgb="FFDBE5F1"/>
          <bgColor rgb="FFDBE5F1"/>
        </patternFill>
      </fill>
      <border>
        <top style="thin">
          <color rgb="FF95B3D7"/>
        </top>
      </border>
    </dxf>
    <dxf>
      <font>
        <b/>
        <color rgb="FF000000"/>
      </font>
      <fill>
        <patternFill patternType="solid">
          <fgColor rgb="FFDBE5F1"/>
          <bgColor rgb="FFDBE5F1"/>
        </patternFill>
      </fill>
      <border>
        <bottom style="thin">
          <color rgb="FF95B3D7"/>
        </bottom>
      </border>
    </dxf>
    <dxf>
      <fill>
        <patternFill patternType="solid">
          <fgColor rgb="FFDBE5F1"/>
          <bgColor rgb="FFDBE5F1"/>
        </patternFill>
      </fill>
      <border>
        <bottom style="thin">
          <color rgb="FF95B3D7"/>
        </bottom>
      </border>
    </dxf>
    <dxf>
      <fill>
        <patternFill patternType="solid">
          <fgColor rgb="FFDBE5F1"/>
          <bgColor rgb="FFDBE5F1"/>
        </patternFill>
      </fill>
      <border>
        <bottom style="thin">
          <color rgb="FF95B3D7"/>
        </bottom>
      </border>
    </dxf>
    <dxf>
      <font>
        <b/>
        <color rgb="FF000000"/>
      </font>
    </dxf>
    <dxf>
      <font>
        <b/>
        <color rgb="FF000000"/>
      </font>
      <border>
        <bottom style="thin">
          <color rgb="FF95B3D7"/>
        </bottom>
      </border>
    </dxf>
    <dxf>
      <font>
        <b/>
        <color rgb="FF000000"/>
      </font>
    </dxf>
    <dxf>
      <font>
        <b/>
        <color rgb="FF000000"/>
      </font>
      <border>
        <top style="thin">
          <color rgb="FF4F81BD"/>
        </top>
        <bottom style="thin">
          <color rgb="FF4F81BD"/>
        </bottom>
      </border>
    </dxf>
    <dxf>
      <fill>
        <patternFill patternType="solid">
          <fgColor rgb="FFD8D8D8"/>
          <bgColor rgb="FFD8D8D8"/>
        </patternFill>
      </fill>
    </dxf>
    <dxf>
      <fill>
        <patternFill patternType="solid">
          <fgColor rgb="FFD8D8D8"/>
          <bgColor rgb="FFD8D8D8"/>
        </patternFill>
      </fill>
      <border>
        <left style="thin">
          <color rgb="FFBFBFBF"/>
        </left>
        <right style="thin">
          <color rgb="FFBFBFBF"/>
        </right>
      </border>
    </dxf>
    <dxf>
      <fill>
        <patternFill patternType="solid">
          <fgColor rgb="FFD8D8D8"/>
          <bgColor rgb="FFD8D8D8"/>
        </patternFill>
      </fill>
    </dxf>
    <dxf>
      <font>
        <b/>
        <color rgb="FF000000"/>
      </font>
      <fill>
        <patternFill patternType="solid">
          <fgColor rgb="FFDBE5F1"/>
          <bgColor rgb="FFDBE5F1"/>
        </patternFill>
      </fill>
      <border>
        <top style="thin">
          <color rgb="FF95B3D7"/>
        </top>
      </border>
    </dxf>
    <dxf>
      <font>
        <b/>
        <color rgb="FF000000"/>
      </font>
      <fill>
        <patternFill patternType="solid">
          <fgColor rgb="FFDBE5F1"/>
          <bgColor rgb="FFDBE5F1"/>
        </patternFill>
      </fill>
      <border>
        <bottom style="thin">
          <color rgb="FF95B3D7"/>
        </bottom>
      </border>
    </dxf>
    <dxf>
      <fill>
        <patternFill patternType="solid">
          <fgColor rgb="FFDBE5F1"/>
          <bgColor rgb="FFDBE5F1"/>
        </patternFill>
      </fill>
      <border>
        <bottom style="thin">
          <color rgb="FF95B3D7"/>
        </bottom>
      </border>
    </dxf>
    <dxf>
      <fill>
        <patternFill patternType="solid">
          <fgColor rgb="FFDBE5F1"/>
          <bgColor rgb="FFDBE5F1"/>
        </patternFill>
      </fill>
      <border>
        <bottom style="thin">
          <color rgb="FF95B3D7"/>
        </bottom>
      </border>
    </dxf>
    <dxf>
      <font>
        <b/>
        <color rgb="FF000000"/>
      </font>
    </dxf>
    <dxf>
      <font>
        <b/>
        <color rgb="FF000000"/>
      </font>
      <border>
        <bottom style="thin">
          <color rgb="FF95B3D7"/>
        </bottom>
      </border>
    </dxf>
    <dxf>
      <font>
        <b/>
        <color rgb="FF000000"/>
      </font>
    </dxf>
    <dxf>
      <font>
        <b/>
        <color rgb="FF000000"/>
      </font>
      <border>
        <top style="thin">
          <color rgb="FF4F81BD"/>
        </top>
        <bottom style="thin">
          <color rgb="FF4F81BD"/>
        </bottom>
      </border>
    </dxf>
    <dxf>
      <fill>
        <patternFill patternType="solid">
          <fgColor rgb="FFD8D8D8"/>
          <bgColor rgb="FFD8D8D8"/>
        </patternFill>
      </fill>
    </dxf>
    <dxf>
      <fill>
        <patternFill patternType="solid">
          <fgColor rgb="FFD8D8D8"/>
          <bgColor rgb="FFD8D8D8"/>
        </patternFill>
      </fill>
      <border>
        <left style="thin">
          <color rgb="FFBFBFBF"/>
        </left>
        <right style="thin">
          <color rgb="FFBFBFBF"/>
        </right>
      </border>
    </dxf>
    <dxf>
      <fill>
        <patternFill patternType="solid">
          <fgColor rgb="FFD8D8D8"/>
          <bgColor rgb="FFD8D8D8"/>
        </patternFill>
      </fill>
    </dxf>
    <dxf>
      <font>
        <b/>
        <color rgb="FF000000"/>
      </font>
      <fill>
        <patternFill patternType="solid">
          <fgColor rgb="FFDBE5F1"/>
          <bgColor rgb="FFDBE5F1"/>
        </patternFill>
      </fill>
      <border>
        <top style="thin">
          <color rgb="FF95B3D7"/>
        </top>
      </border>
    </dxf>
    <dxf>
      <font>
        <b/>
        <color rgb="FF000000"/>
      </font>
      <fill>
        <patternFill patternType="solid">
          <fgColor rgb="FFDBE5F1"/>
          <bgColor rgb="FFDBE5F1"/>
        </patternFill>
      </fill>
      <border>
        <bottom style="thin">
          <color rgb="FF95B3D7"/>
        </bottom>
      </border>
    </dxf>
  </dxfs>
  <tableStyles count="7" defaultTableStyle="TableStyleMedium9" defaultPivotStyle="PivotStyleLight16">
    <tableStyle name="PivotStyleLight16 2" table="0" count="11">
      <tableStyleElement type="headerRow" dxfId="76"/>
      <tableStyleElement type="totalRow" dxfId="75"/>
      <tableStyleElement type="firstRowStripe" dxfId="74"/>
      <tableStyleElement type="firstColumnStripe" dxfId="73"/>
      <tableStyleElement type="firstSubtotalColumn" dxfId="72"/>
      <tableStyleElement type="firstSubtotalRow" dxfId="71"/>
      <tableStyleElement type="secondSubtotalRow" dxfId="70"/>
      <tableStyleElement type="firstRowSubheading" dxfId="69"/>
      <tableStyleElement type="secondRowSubheading" dxfId="68"/>
      <tableStyleElement type="pageFieldLabels" dxfId="67"/>
      <tableStyleElement type="pageFieldValues" dxfId="66"/>
    </tableStyle>
    <tableStyle name="PivotStyleLight16 3" table="0" count="11">
      <tableStyleElement type="headerRow" dxfId="65"/>
      <tableStyleElement type="totalRow" dxfId="64"/>
      <tableStyleElement type="firstRowStripe" dxfId="63"/>
      <tableStyleElement type="firstColumnStripe" dxfId="62"/>
      <tableStyleElement type="firstSubtotalColumn" dxfId="61"/>
      <tableStyleElement type="firstSubtotalRow" dxfId="60"/>
      <tableStyleElement type="secondSubtotalRow" dxfId="59"/>
      <tableStyleElement type="firstRowSubheading" dxfId="58"/>
      <tableStyleElement type="secondRowSubheading" dxfId="57"/>
      <tableStyleElement type="pageFieldLabels" dxfId="56"/>
      <tableStyleElement type="pageFieldValues" dxfId="55"/>
    </tableStyle>
    <tableStyle name="PivotStyleLight16 4" table="0" count="11">
      <tableStyleElement type="headerRow" dxfId="54"/>
      <tableStyleElement type="totalRow" dxfId="53"/>
      <tableStyleElement type="firstRowStripe" dxfId="52"/>
      <tableStyleElement type="firstColumnStripe" dxfId="51"/>
      <tableStyleElement type="firstSubtotalColumn" dxfId="50"/>
      <tableStyleElement type="firstSubtotalRow" dxfId="49"/>
      <tableStyleElement type="secondSubtotalRow" dxfId="48"/>
      <tableStyleElement type="firstRowSubheading" dxfId="47"/>
      <tableStyleElement type="secondRowSubheading" dxfId="46"/>
      <tableStyleElement type="pageFieldLabels" dxfId="45"/>
      <tableStyleElement type="pageFieldValues" dxfId="44"/>
    </tableStyle>
    <tableStyle name="PivotStyleLight16 5" table="0" count="11">
      <tableStyleElement type="headerRow" dxfId="43"/>
      <tableStyleElement type="totalRow" dxfId="42"/>
      <tableStyleElement type="firstRowStripe" dxfId="41"/>
      <tableStyleElement type="firstColumnStripe" dxfId="40"/>
      <tableStyleElement type="firstSubtotalColumn" dxfId="39"/>
      <tableStyleElement type="firstSubtotalRow" dxfId="38"/>
      <tableStyleElement type="secondSubtotalRow" dxfId="37"/>
      <tableStyleElement type="firstRowSubheading" dxfId="36"/>
      <tableStyleElement type="secondRowSubheading" dxfId="35"/>
      <tableStyleElement type="pageFieldLabels" dxfId="34"/>
      <tableStyleElement type="pageFieldValues" dxfId="33"/>
    </tableStyle>
    <tableStyle name="PivotStyleLight16 6" table="0" count="11">
      <tableStyleElement type="headerRow" dxfId="32"/>
      <tableStyleElement type="totalRow" dxfId="31"/>
      <tableStyleElement type="firstRowStripe" dxfId="30"/>
      <tableStyleElement type="firstColumnStripe" dxfId="29"/>
      <tableStyleElement type="firstSubtotalColumn" dxfId="28"/>
      <tableStyleElement type="firstSubtotalRow" dxfId="27"/>
      <tableStyleElement type="secondSubtotalRow" dxfId="26"/>
      <tableStyleElement type="firstRowSubheading" dxfId="25"/>
      <tableStyleElement type="secondRowSubheading" dxfId="24"/>
      <tableStyleElement type="pageFieldLabels" dxfId="23"/>
      <tableStyleElement type="pageFieldValues" dxfId="22"/>
    </tableStyle>
    <tableStyle name="PivotStyleLight16 7" table="0" count="11">
      <tableStyleElement type="headerRow" dxfId="21"/>
      <tableStyleElement type="totalRow" dxfId="20"/>
      <tableStyleElement type="firstRowStripe" dxfId="19"/>
      <tableStyleElement type="firstColumnStripe" dxfId="18"/>
      <tableStyleElement type="firstSubtotalColumn" dxfId="17"/>
      <tableStyleElement type="firstSubtotalRow" dxfId="16"/>
      <tableStyleElement type="secondSubtotalRow" dxfId="15"/>
      <tableStyleElement type="firstRowSubheading" dxfId="14"/>
      <tableStyleElement type="secondRowSubheading" dxfId="13"/>
      <tableStyleElement type="pageFieldLabels" dxfId="12"/>
      <tableStyleElement type="pageFieldValues" dxfId="11"/>
    </tableStyle>
    <tableStyle name="PivotStyleLight16 8" table="0" count="11">
      <tableStyleElement type="headerRow" dxfId="10"/>
      <tableStyleElement type="totalRow" dxfId="9"/>
      <tableStyleElement type="firstRowStripe" dxfId="8"/>
      <tableStyleElement type="firstColumnStripe" dxfId="7"/>
      <tableStyleElement type="firstSubtotalColumn" dxfId="6"/>
      <tableStyleElement type="firstSubtotalRow" dxfId="5"/>
      <tableStyleElement type="secondSubtotalRow" dxfId="4"/>
      <tableStyleElement type="firstRowSubheading" dxfId="3"/>
      <tableStyleElement type="secondRowSubheading" dxfId="2"/>
      <tableStyleElement type="pageFieldLabels" dxfId="1"/>
      <tableStyleElement type="pageFieldValues"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4.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1.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3.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4.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5.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c:lang val="en-US"/>
  <c:chart>
    <c:title/>
    <c:plotArea>
      <c:layout/>
      <c:barChart>
        <c:barDir val="col"/>
        <c:grouping val="clustered"/>
        <c:ser>
          <c:idx val="3"/>
          <c:order val="0"/>
          <c:tx>
            <c:strRef>
              <c:f>'CBSA Data'!$E$49</c:f>
              <c:strCache>
                <c:ptCount val="1"/>
                <c:pt idx="0">
                  <c:v>Outdoor W per SF Indoor Space</c:v>
                </c:pt>
              </c:strCache>
            </c:strRef>
          </c:tx>
          <c:cat>
            <c:strRef>
              <c:f>'CBSA Data'!$A$50:$A$60</c:f>
              <c:strCache>
                <c:ptCount val="11"/>
                <c:pt idx="0">
                  <c:v>Assembly</c:v>
                </c:pt>
                <c:pt idx="1">
                  <c:v>Grocery</c:v>
                </c:pt>
                <c:pt idx="2">
                  <c:v>Lodging</c:v>
                </c:pt>
                <c:pt idx="3">
                  <c:v>Office</c:v>
                </c:pt>
                <c:pt idx="4">
                  <c:v>Other</c:v>
                </c:pt>
                <c:pt idx="5">
                  <c:v>Residential Care</c:v>
                </c:pt>
                <c:pt idx="6">
                  <c:v>Restaurant</c:v>
                </c:pt>
                <c:pt idx="7">
                  <c:v>Retail/Service</c:v>
                </c:pt>
                <c:pt idx="8">
                  <c:v>School K-12</c:v>
                </c:pt>
                <c:pt idx="9">
                  <c:v>Warehouse</c:v>
                </c:pt>
                <c:pt idx="10">
                  <c:v>Grand Total</c:v>
                </c:pt>
              </c:strCache>
            </c:strRef>
          </c:cat>
          <c:val>
            <c:numRef>
              <c:f>'CBSA Data'!$E$50:$E$60</c:f>
              <c:numCache>
                <c:formatCode>0.00</c:formatCode>
                <c:ptCount val="11"/>
                <c:pt idx="0">
                  <c:v>0.151624021997604</c:v>
                </c:pt>
                <c:pt idx="1">
                  <c:v>0.2603220219827162</c:v>
                </c:pt>
                <c:pt idx="2">
                  <c:v>9.8807290356635435E-2</c:v>
                </c:pt>
                <c:pt idx="3">
                  <c:v>0.13157543314076875</c:v>
                </c:pt>
                <c:pt idx="4">
                  <c:v>0.14314517098482762</c:v>
                </c:pt>
                <c:pt idx="5">
                  <c:v>6.4994334067043774E-2</c:v>
                </c:pt>
                <c:pt idx="6">
                  <c:v>0.4366417086955528</c:v>
                </c:pt>
                <c:pt idx="7">
                  <c:v>0.27958031913001941</c:v>
                </c:pt>
                <c:pt idx="8">
                  <c:v>0.10555646441427503</c:v>
                </c:pt>
                <c:pt idx="9">
                  <c:v>8.3532634554250654E-2</c:v>
                </c:pt>
                <c:pt idx="10">
                  <c:v>0.15729829222960331</c:v>
                </c:pt>
              </c:numCache>
            </c:numRef>
          </c:val>
        </c:ser>
        <c:axId val="111116288"/>
        <c:axId val="111117824"/>
      </c:barChart>
      <c:catAx>
        <c:axId val="111116288"/>
        <c:scaling>
          <c:orientation val="minMax"/>
        </c:scaling>
        <c:axPos val="b"/>
        <c:numFmt formatCode="General" sourceLinked="0"/>
        <c:tickLblPos val="nextTo"/>
        <c:crossAx val="111117824"/>
        <c:crosses val="autoZero"/>
        <c:auto val="1"/>
        <c:lblAlgn val="ctr"/>
        <c:lblOffset val="100"/>
      </c:catAx>
      <c:valAx>
        <c:axId val="111117824"/>
        <c:scaling>
          <c:orientation val="minMax"/>
        </c:scaling>
        <c:axPos val="l"/>
        <c:majorGridlines/>
        <c:numFmt formatCode="0.00" sourceLinked="1"/>
        <c:tickLblPos val="nextTo"/>
        <c:crossAx val="111116288"/>
        <c:crosses val="autoZero"/>
        <c:crossBetween val="between"/>
      </c:valAx>
    </c:plotArea>
    <c:legend>
      <c:legendPos val="b"/>
    </c:legend>
    <c:plotVisOnly val="1"/>
    <c:dispBlanksAs val="gap"/>
  </c:chart>
  <c:printSettings>
    <c:headerFooter/>
    <c:pageMargins b="0.75000000000000289" l="0.70000000000000062" r="0.70000000000000062" t="0.7500000000000028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lang val="en-US"/>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mn-lt"/>
                <a:ea typeface="+mn-ea"/>
                <a:cs typeface="+mn-cs"/>
              </a:defRPr>
            </a:pPr>
            <a:r>
              <a:rPr lang="en-US" sz="1000"/>
              <a:t>Fixture</a:t>
            </a:r>
            <a:r>
              <a:rPr lang="en-US" sz="1000" baseline="0"/>
              <a:t> Wattage vs. Average Installed Fixture Cost</a:t>
            </a:r>
            <a:endParaRPr lang="en-US" sz="1000"/>
          </a:p>
        </c:rich>
      </c:tx>
      <c:spPr>
        <a:noFill/>
        <a:ln>
          <a:noFill/>
        </a:ln>
        <a:effectLst/>
      </c:spPr>
    </c:title>
    <c:plotArea>
      <c:layout/>
      <c:scatterChart>
        <c:scatterStyle val="lineMarker"/>
        <c:ser>
          <c:idx val="0"/>
          <c:order val="0"/>
          <c:spPr>
            <a:ln w="28575" cap="rnd">
              <a:noFill/>
              <a:round/>
            </a:ln>
            <a:effectLst/>
          </c:spPr>
          <c:marker>
            <c:symbol val="circle"/>
            <c:size val="5"/>
            <c:spPr>
              <a:solidFill>
                <a:schemeClr val="accent1"/>
              </a:solidFill>
              <a:ln w="9525">
                <a:solidFill>
                  <a:schemeClr val="accent1"/>
                </a:solidFill>
              </a:ln>
              <a:effectLst/>
            </c:spPr>
          </c:marker>
          <c:trendline>
            <c:spPr>
              <a:ln w="19050" cap="rnd">
                <a:solidFill>
                  <a:schemeClr val="accent1"/>
                </a:solidFill>
                <a:prstDash val="sysDot"/>
              </a:ln>
              <a:effectLst/>
            </c:spPr>
            <c:trendlineType val="linear"/>
            <c:dispRSqr val="1"/>
            <c:dispEq val="1"/>
            <c:trendlineLbl>
              <c:layout>
                <c:manualLayout>
                  <c:x val="0.11250180185860152"/>
                  <c:y val="0.18878141340849397"/>
                </c:manualLayout>
              </c:layout>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rendlineLbl>
          </c:trendline>
          <c:xVal>
            <c:numRef>
              <c:f>'ETO Cost Data'!$J$14:$J$19</c:f>
              <c:numCache>
                <c:formatCode>General</c:formatCode>
                <c:ptCount val="6"/>
                <c:pt idx="0">
                  <c:v>40</c:v>
                </c:pt>
                <c:pt idx="1">
                  <c:v>90</c:v>
                </c:pt>
                <c:pt idx="2">
                  <c:v>110</c:v>
                </c:pt>
                <c:pt idx="3">
                  <c:v>150</c:v>
                </c:pt>
                <c:pt idx="4">
                  <c:v>350</c:v>
                </c:pt>
                <c:pt idx="5">
                  <c:v>400</c:v>
                </c:pt>
              </c:numCache>
            </c:numRef>
          </c:xVal>
          <c:yVal>
            <c:numRef>
              <c:f>'ETO Cost Data'!$K$14:$K$19</c:f>
              <c:numCache>
                <c:formatCode>_("$"* #,##0_);_("$"* \(#,##0\);_("$"* "-"??_);_(@_)</c:formatCode>
                <c:ptCount val="6"/>
                <c:pt idx="0">
                  <c:v>296.97322098234798</c:v>
                </c:pt>
                <c:pt idx="1">
                  <c:v>513.18834724957617</c:v>
                </c:pt>
                <c:pt idx="2">
                  <c:v>613.13942186679481</c:v>
                </c:pt>
                <c:pt idx="3">
                  <c:v>658.10385306929538</c:v>
                </c:pt>
                <c:pt idx="4">
                  <c:v>939.16361562068175</c:v>
                </c:pt>
                <c:pt idx="5">
                  <c:v>1115.4513636363636</c:v>
                </c:pt>
              </c:numCache>
            </c:numRef>
          </c:yVal>
        </c:ser>
        <c:axId val="111271936"/>
        <c:axId val="111273472"/>
      </c:scatterChart>
      <c:valAx>
        <c:axId val="111271936"/>
        <c:scaling>
          <c:orientation val="minMax"/>
        </c:scaling>
        <c:axPos val="b"/>
        <c:majorGridlines>
          <c:spPr>
            <a:ln w="9525" cap="flat" cmpd="sng" algn="ctr">
              <a:solidFill>
                <a:schemeClr val="tx1">
                  <a:lumMod val="15000"/>
                  <a:lumOff val="85000"/>
                </a:schemeClr>
              </a:solidFill>
              <a:round/>
            </a:ln>
            <a:effectLst/>
          </c:spPr>
        </c:majorGridlines>
        <c:numFmt formatCode="General" sourceLinked="1"/>
        <c:maj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1273472"/>
        <c:crosses val="autoZero"/>
        <c:crossBetween val="midCat"/>
      </c:valAx>
      <c:valAx>
        <c:axId val="111273472"/>
        <c:scaling>
          <c:orientation val="minMax"/>
        </c:scaling>
        <c:axPos val="l"/>
        <c:majorGridlines>
          <c:spPr>
            <a:ln w="9525" cap="flat" cmpd="sng" algn="ctr">
              <a:solidFill>
                <a:schemeClr val="tx1">
                  <a:lumMod val="15000"/>
                  <a:lumOff val="85000"/>
                </a:schemeClr>
              </a:solidFill>
              <a:round/>
            </a:ln>
            <a:effectLst/>
          </c:spPr>
        </c:majorGridlines>
        <c:numFmt formatCode="_(&quot;$&quot;* #,##0_);_(&quot;$&quot;* \(#,##0\);_(&quot;$&quot;* &quot;-&quot;??_);_(@_)" sourceLinked="1"/>
        <c:maj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1271936"/>
        <c:crosses val="autoZero"/>
        <c:crossBetween val="midCat"/>
      </c:valAx>
      <c:spPr>
        <a:noFill/>
        <a:ln>
          <a:noFill/>
        </a:ln>
        <a:effectLst/>
      </c:spPr>
    </c:plotArea>
    <c:plotVisOnly val="1"/>
    <c:dispBlanksAs val="gap"/>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000000000000289" l="0.70000000000000062" r="0.70000000000000062" t="0.75000000000000289"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lang val="en-US"/>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mn-lt"/>
                <a:ea typeface="+mn-ea"/>
                <a:cs typeface="+mn-cs"/>
              </a:defRPr>
            </a:pPr>
            <a:r>
              <a:rPr lang="en-US" sz="1000"/>
              <a:t>Fixture</a:t>
            </a:r>
            <a:r>
              <a:rPr lang="en-US" sz="1000" baseline="0"/>
              <a:t> Wattage vs. Median Installed Fixture Cost</a:t>
            </a:r>
            <a:endParaRPr lang="en-US" sz="1000"/>
          </a:p>
        </c:rich>
      </c:tx>
      <c:spPr>
        <a:noFill/>
        <a:ln>
          <a:noFill/>
        </a:ln>
        <a:effectLst/>
      </c:spPr>
    </c:title>
    <c:plotArea>
      <c:layout/>
      <c:scatterChart>
        <c:scatterStyle val="lineMarker"/>
        <c:ser>
          <c:idx val="0"/>
          <c:order val="0"/>
          <c:spPr>
            <a:ln w="28575" cap="rnd">
              <a:noFill/>
              <a:round/>
            </a:ln>
            <a:effectLst/>
          </c:spPr>
          <c:marker>
            <c:symbol val="circle"/>
            <c:size val="5"/>
            <c:spPr>
              <a:solidFill>
                <a:schemeClr val="accent1"/>
              </a:solidFill>
              <a:ln w="9525">
                <a:solidFill>
                  <a:schemeClr val="accent1"/>
                </a:solidFill>
              </a:ln>
              <a:effectLst/>
            </c:spPr>
          </c:marker>
          <c:trendline>
            <c:spPr>
              <a:ln w="19050" cap="rnd">
                <a:solidFill>
                  <a:schemeClr val="accent1"/>
                </a:solidFill>
                <a:prstDash val="sysDot"/>
              </a:ln>
              <a:effectLst/>
            </c:spPr>
            <c:trendlineType val="linear"/>
            <c:dispRSqr val="1"/>
            <c:dispEq val="1"/>
            <c:trendlineLbl>
              <c:layout>
                <c:manualLayout>
                  <c:x val="0.11955647753932912"/>
                  <c:y val="0.31531953854605382"/>
                </c:manualLayout>
              </c:layout>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rendlineLbl>
          </c:trendline>
          <c:xVal>
            <c:numRef>
              <c:f>'ETO Cost Data'!$J$14:$J$19</c:f>
              <c:numCache>
                <c:formatCode>General</c:formatCode>
                <c:ptCount val="6"/>
                <c:pt idx="0">
                  <c:v>40</c:v>
                </c:pt>
                <c:pt idx="1">
                  <c:v>90</c:v>
                </c:pt>
                <c:pt idx="2">
                  <c:v>110</c:v>
                </c:pt>
                <c:pt idx="3">
                  <c:v>150</c:v>
                </c:pt>
                <c:pt idx="4">
                  <c:v>350</c:v>
                </c:pt>
                <c:pt idx="5">
                  <c:v>400</c:v>
                </c:pt>
              </c:numCache>
            </c:numRef>
          </c:xVal>
          <c:yVal>
            <c:numRef>
              <c:f>'ETO Cost Data'!$L$14:$L$19</c:f>
              <c:numCache>
                <c:formatCode>_("$"* #,##0_);_("$"* \(#,##0\);_("$"* "-"??_);_(@_)</c:formatCode>
                <c:ptCount val="6"/>
                <c:pt idx="0">
                  <c:v>279.53800000000001</c:v>
                </c:pt>
                <c:pt idx="1">
                  <c:v>472.79583333333335</c:v>
                </c:pt>
                <c:pt idx="2">
                  <c:v>564.91999999999996</c:v>
                </c:pt>
                <c:pt idx="3">
                  <c:v>560.04999999999995</c:v>
                </c:pt>
                <c:pt idx="4">
                  <c:v>827.9</c:v>
                </c:pt>
                <c:pt idx="5">
                  <c:v>974.70836363636363</c:v>
                </c:pt>
              </c:numCache>
            </c:numRef>
          </c:yVal>
        </c:ser>
        <c:axId val="107910656"/>
        <c:axId val="107912192"/>
      </c:scatterChart>
      <c:valAx>
        <c:axId val="107910656"/>
        <c:scaling>
          <c:orientation val="minMax"/>
        </c:scaling>
        <c:axPos val="b"/>
        <c:majorGridlines>
          <c:spPr>
            <a:ln w="9525" cap="flat" cmpd="sng" algn="ctr">
              <a:solidFill>
                <a:schemeClr val="tx1">
                  <a:lumMod val="15000"/>
                  <a:lumOff val="85000"/>
                </a:schemeClr>
              </a:solidFill>
              <a:round/>
            </a:ln>
            <a:effectLst/>
          </c:spPr>
        </c:majorGridlines>
        <c:numFmt formatCode="General" sourceLinked="1"/>
        <c:maj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7912192"/>
        <c:crosses val="autoZero"/>
        <c:crossBetween val="midCat"/>
      </c:valAx>
      <c:valAx>
        <c:axId val="107912192"/>
        <c:scaling>
          <c:orientation val="minMax"/>
        </c:scaling>
        <c:axPos val="l"/>
        <c:majorGridlines>
          <c:spPr>
            <a:ln w="9525" cap="flat" cmpd="sng" algn="ctr">
              <a:solidFill>
                <a:schemeClr val="tx1">
                  <a:lumMod val="15000"/>
                  <a:lumOff val="85000"/>
                </a:schemeClr>
              </a:solidFill>
              <a:round/>
            </a:ln>
            <a:effectLst/>
          </c:spPr>
        </c:majorGridlines>
        <c:numFmt formatCode="_(&quot;$&quot;* #,##0_);_(&quot;$&quot;* \(#,##0\);_(&quot;$&quot;* &quot;-&quot;??_);_(@_)" sourceLinked="1"/>
        <c:maj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7910656"/>
        <c:crosses val="autoZero"/>
        <c:crossBetween val="midCat"/>
      </c:valAx>
      <c:spPr>
        <a:noFill/>
        <a:ln>
          <a:noFill/>
        </a:ln>
        <a:effectLst/>
      </c:spPr>
    </c:plotArea>
    <c:plotVisOnly val="1"/>
    <c:dispBlanksAs val="gap"/>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000000000000289" l="0.70000000000000062" r="0.70000000000000062" t="0.7500000000000028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lang val="en-US"/>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mn-lt"/>
                <a:ea typeface="+mn-ea"/>
                <a:cs typeface="+mn-cs"/>
              </a:defRPr>
            </a:pPr>
            <a:r>
              <a:rPr lang="en-US" sz="1000"/>
              <a:t>Fixture</a:t>
            </a:r>
            <a:r>
              <a:rPr lang="en-US" sz="1000" baseline="0"/>
              <a:t> Wattage vs. Lower Quart. Fixture Cost</a:t>
            </a:r>
            <a:endParaRPr lang="en-US" sz="1000"/>
          </a:p>
        </c:rich>
      </c:tx>
      <c:spPr>
        <a:noFill/>
        <a:ln>
          <a:noFill/>
        </a:ln>
        <a:effectLst/>
      </c:spPr>
    </c:title>
    <c:plotArea>
      <c:layout/>
      <c:scatterChart>
        <c:scatterStyle val="lineMarker"/>
        <c:ser>
          <c:idx val="0"/>
          <c:order val="0"/>
          <c:spPr>
            <a:ln w="28575" cap="rnd">
              <a:noFill/>
              <a:round/>
            </a:ln>
            <a:effectLst/>
          </c:spPr>
          <c:marker>
            <c:symbol val="circle"/>
            <c:size val="5"/>
            <c:spPr>
              <a:solidFill>
                <a:schemeClr val="accent1"/>
              </a:solidFill>
              <a:ln w="9525">
                <a:solidFill>
                  <a:schemeClr val="accent1"/>
                </a:solidFill>
              </a:ln>
              <a:effectLst/>
            </c:spPr>
          </c:marker>
          <c:trendline>
            <c:spPr>
              <a:ln w="19050" cap="rnd">
                <a:solidFill>
                  <a:schemeClr val="accent1"/>
                </a:solidFill>
                <a:prstDash val="sysDot"/>
              </a:ln>
              <a:effectLst/>
            </c:spPr>
            <c:trendlineType val="linear"/>
            <c:dispRSqr val="1"/>
            <c:dispEq val="1"/>
            <c:trendlineLbl>
              <c:layout>
                <c:manualLayout>
                  <c:x val="0.15285454675236432"/>
                  <c:y val="0.25169517603403024"/>
                </c:manualLayout>
              </c:layout>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rendlineLbl>
          </c:trendline>
          <c:xVal>
            <c:numRef>
              <c:f>'ETO Cost Data'!$J$14:$J$19</c:f>
              <c:numCache>
                <c:formatCode>General</c:formatCode>
                <c:ptCount val="6"/>
                <c:pt idx="0">
                  <c:v>40</c:v>
                </c:pt>
                <c:pt idx="1">
                  <c:v>90</c:v>
                </c:pt>
                <c:pt idx="2">
                  <c:v>110</c:v>
                </c:pt>
                <c:pt idx="3">
                  <c:v>150</c:v>
                </c:pt>
                <c:pt idx="4">
                  <c:v>350</c:v>
                </c:pt>
                <c:pt idx="5">
                  <c:v>400</c:v>
                </c:pt>
              </c:numCache>
            </c:numRef>
          </c:xVal>
          <c:yVal>
            <c:numRef>
              <c:f>'ETO Cost Data'!$M$14:$M$19</c:f>
              <c:numCache>
                <c:formatCode>_("$"* #,##0_);_("$"* \(#,##0\);_("$"* "-"??_);_(@_)</c:formatCode>
                <c:ptCount val="6"/>
                <c:pt idx="0">
                  <c:v>229.70166666666668</c:v>
                </c:pt>
                <c:pt idx="1">
                  <c:v>358.76915384615381</c:v>
                </c:pt>
                <c:pt idx="2">
                  <c:v>456.5625</c:v>
                </c:pt>
                <c:pt idx="3">
                  <c:v>473.73641176470585</c:v>
                </c:pt>
                <c:pt idx="4">
                  <c:v>773.89711111111103</c:v>
                </c:pt>
                <c:pt idx="5">
                  <c:v>950.86749999999995</c:v>
                </c:pt>
              </c:numCache>
            </c:numRef>
          </c:yVal>
        </c:ser>
        <c:axId val="107932672"/>
        <c:axId val="111129344"/>
      </c:scatterChart>
      <c:valAx>
        <c:axId val="107932672"/>
        <c:scaling>
          <c:orientation val="minMax"/>
        </c:scaling>
        <c:axPos val="b"/>
        <c:majorGridlines>
          <c:spPr>
            <a:ln w="9525" cap="flat" cmpd="sng" algn="ctr">
              <a:solidFill>
                <a:schemeClr val="tx1">
                  <a:lumMod val="15000"/>
                  <a:lumOff val="85000"/>
                </a:schemeClr>
              </a:solidFill>
              <a:round/>
            </a:ln>
            <a:effectLst/>
          </c:spPr>
        </c:majorGridlines>
        <c:numFmt formatCode="General" sourceLinked="1"/>
        <c:maj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1129344"/>
        <c:crosses val="autoZero"/>
        <c:crossBetween val="midCat"/>
      </c:valAx>
      <c:valAx>
        <c:axId val="111129344"/>
        <c:scaling>
          <c:orientation val="minMax"/>
        </c:scaling>
        <c:axPos val="l"/>
        <c:majorGridlines>
          <c:spPr>
            <a:ln w="9525" cap="flat" cmpd="sng" algn="ctr">
              <a:solidFill>
                <a:schemeClr val="tx1">
                  <a:lumMod val="15000"/>
                  <a:lumOff val="85000"/>
                </a:schemeClr>
              </a:solidFill>
              <a:round/>
            </a:ln>
            <a:effectLst/>
          </c:spPr>
        </c:majorGridlines>
        <c:numFmt formatCode="_(&quot;$&quot;* #,##0_);_(&quot;$&quot;* \(#,##0\);_(&quot;$&quot;* &quot;-&quot;??_);_(@_)" sourceLinked="1"/>
        <c:maj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7932672"/>
        <c:crosses val="autoZero"/>
        <c:crossBetween val="midCat"/>
      </c:valAx>
      <c:spPr>
        <a:noFill/>
        <a:ln>
          <a:noFill/>
        </a:ln>
        <a:effectLst/>
      </c:spPr>
    </c:plotArea>
    <c:plotVisOnly val="1"/>
    <c:dispBlanksAs val="gap"/>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000000000000289" l="0.70000000000000062" r="0.70000000000000062" t="0.75000000000000289"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lang val="en-US"/>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ETO Program Data Costs </a:t>
            </a:r>
            <a:r>
              <a:rPr lang="en-US" sz="1400" b="0" i="0" u="none" strike="noStrike" baseline="0">
                <a:effectLst/>
              </a:rPr>
              <a:t>vs.</a:t>
            </a:r>
            <a:r>
              <a:rPr lang="en-US"/>
              <a:t> </a:t>
            </a:r>
            <a:r>
              <a:rPr lang="en-US" sz="1400" b="0" i="0" u="none" strike="noStrike" baseline="0">
                <a:effectLst/>
              </a:rPr>
              <a:t>Draft 7th Plan Built-Up Costs  </a:t>
            </a:r>
            <a:r>
              <a:rPr lang="en-US"/>
              <a:t> </a:t>
            </a:r>
          </a:p>
        </c:rich>
      </c:tx>
      <c:layout>
        <c:manualLayout>
          <c:xMode val="edge"/>
          <c:yMode val="edge"/>
          <c:x val="0.30272848349266446"/>
          <c:y val="3.4532368884251055E-2"/>
        </c:manualLayout>
      </c:layout>
      <c:spPr>
        <a:noFill/>
        <a:ln>
          <a:noFill/>
        </a:ln>
        <a:effectLst/>
      </c:spPr>
    </c:title>
    <c:plotArea>
      <c:layout/>
      <c:barChart>
        <c:barDir val="col"/>
        <c:grouping val="clustered"/>
        <c:ser>
          <c:idx val="1"/>
          <c:order val="0"/>
          <c:tx>
            <c:strRef>
              <c:f>'ETO Cost Data'!$K$23</c:f>
              <c:strCache>
                <c:ptCount val="1"/>
                <c:pt idx="0">
                  <c:v>ETO Avg Cost</c:v>
                </c:pt>
              </c:strCache>
            </c:strRef>
          </c:tx>
          <c:spPr>
            <a:solidFill>
              <a:schemeClr val="accent1"/>
            </a:solidFill>
            <a:ln>
              <a:solidFill>
                <a:schemeClr val="accent1">
                  <a:lumMod val="75000"/>
                </a:schemeClr>
              </a:solidFill>
            </a:ln>
            <a:effectLst/>
          </c:spPr>
          <c:cat>
            <c:strRef>
              <c:f>'ETO Cost Data'!$I$24:$I$28</c:f>
              <c:strCache>
                <c:ptCount val="5"/>
                <c:pt idx="0">
                  <c:v>LED 31W</c:v>
                </c:pt>
                <c:pt idx="1">
                  <c:v>LED 95W</c:v>
                </c:pt>
                <c:pt idx="2">
                  <c:v>LED 135W</c:v>
                </c:pt>
                <c:pt idx="3">
                  <c:v>LED 180W</c:v>
                </c:pt>
                <c:pt idx="4">
                  <c:v>LED 421W*</c:v>
                </c:pt>
              </c:strCache>
            </c:strRef>
          </c:cat>
          <c:val>
            <c:numRef>
              <c:f>'ETO Cost Data'!$K$24:$K$28</c:f>
              <c:numCache>
                <c:formatCode>_("$"* #,##0_);_("$"* \(#,##0\);_("$"* "-"??_);_(@_)</c:formatCode>
                <c:ptCount val="5"/>
                <c:pt idx="0">
                  <c:v>381.62430000000001</c:v>
                </c:pt>
                <c:pt idx="1">
                  <c:v>505.48349999999999</c:v>
                </c:pt>
                <c:pt idx="2">
                  <c:v>582.89549999999997</c:v>
                </c:pt>
                <c:pt idx="3">
                  <c:v>669.98399999999992</c:v>
                </c:pt>
                <c:pt idx="4">
                  <c:v>1136.3913</c:v>
                </c:pt>
              </c:numCache>
            </c:numRef>
          </c:val>
        </c:ser>
        <c:ser>
          <c:idx val="2"/>
          <c:order val="1"/>
          <c:tx>
            <c:strRef>
              <c:f>'ETO Cost Data'!$L$23</c:f>
              <c:strCache>
                <c:ptCount val="1"/>
                <c:pt idx="0">
                  <c:v>ETO Median Cost</c:v>
                </c:pt>
              </c:strCache>
            </c:strRef>
          </c:tx>
          <c:spPr>
            <a:solidFill>
              <a:schemeClr val="accent1">
                <a:lumMod val="60000"/>
                <a:lumOff val="40000"/>
              </a:schemeClr>
            </a:solidFill>
            <a:ln>
              <a:solidFill>
                <a:schemeClr val="accent1">
                  <a:lumMod val="75000"/>
                </a:schemeClr>
              </a:solidFill>
            </a:ln>
            <a:effectLst/>
          </c:spPr>
          <c:cat>
            <c:strRef>
              <c:f>'ETO Cost Data'!$I$24:$I$28</c:f>
              <c:strCache>
                <c:ptCount val="5"/>
                <c:pt idx="0">
                  <c:v>LED 31W</c:v>
                </c:pt>
                <c:pt idx="1">
                  <c:v>LED 95W</c:v>
                </c:pt>
                <c:pt idx="2">
                  <c:v>LED 135W</c:v>
                </c:pt>
                <c:pt idx="3">
                  <c:v>LED 180W</c:v>
                </c:pt>
                <c:pt idx="4">
                  <c:v>LED 421W*</c:v>
                </c:pt>
              </c:strCache>
            </c:strRef>
          </c:cat>
          <c:val>
            <c:numRef>
              <c:f>'ETO Cost Data'!$L$24:$L$28</c:f>
              <c:numCache>
                <c:formatCode>_("$"* #,##0_);_("$"* \(#,##0\);_("$"* "-"??_);_(@_)</c:formatCode>
                <c:ptCount val="5"/>
                <c:pt idx="0">
                  <c:v>353.11149999999998</c:v>
                </c:pt>
                <c:pt idx="1">
                  <c:v>457.84749999999997</c:v>
                </c:pt>
                <c:pt idx="2">
                  <c:v>523.3075</c:v>
                </c:pt>
                <c:pt idx="3">
                  <c:v>596.95000000000005</c:v>
                </c:pt>
                <c:pt idx="4">
                  <c:v>991.34649999999999</c:v>
                </c:pt>
              </c:numCache>
            </c:numRef>
          </c:val>
        </c:ser>
        <c:ser>
          <c:idx val="3"/>
          <c:order val="2"/>
          <c:tx>
            <c:strRef>
              <c:f>'ETO Cost Data'!$M$23</c:f>
              <c:strCache>
                <c:ptCount val="1"/>
                <c:pt idx="0">
                  <c:v>ETO Lower Quartile Cost</c:v>
                </c:pt>
              </c:strCache>
            </c:strRef>
          </c:tx>
          <c:spPr>
            <a:solidFill>
              <a:schemeClr val="accent1">
                <a:lumMod val="40000"/>
                <a:lumOff val="60000"/>
              </a:schemeClr>
            </a:solidFill>
            <a:ln>
              <a:solidFill>
                <a:schemeClr val="accent1">
                  <a:lumMod val="75000"/>
                </a:schemeClr>
              </a:solidFill>
            </a:ln>
            <a:effectLst/>
          </c:spPr>
          <c:cat>
            <c:strRef>
              <c:f>'ETO Cost Data'!$I$24:$I$28</c:f>
              <c:strCache>
                <c:ptCount val="5"/>
                <c:pt idx="0">
                  <c:v>LED 31W</c:v>
                </c:pt>
                <c:pt idx="1">
                  <c:v>LED 95W</c:v>
                </c:pt>
                <c:pt idx="2">
                  <c:v>LED 135W</c:v>
                </c:pt>
                <c:pt idx="3">
                  <c:v>LED 180W</c:v>
                </c:pt>
                <c:pt idx="4">
                  <c:v>LED 421W*</c:v>
                </c:pt>
              </c:strCache>
            </c:strRef>
          </c:cat>
          <c:val>
            <c:numRef>
              <c:f>'ETO Cost Data'!$M$24:$M$28</c:f>
              <c:numCache>
                <c:formatCode>_("$"* #,##0_);_("$"* \(#,##0\);_("$"* "-"??_);_(@_)</c:formatCode>
                <c:ptCount val="5"/>
                <c:pt idx="0">
                  <c:v>255.34399999999999</c:v>
                </c:pt>
                <c:pt idx="1">
                  <c:v>370.15999999999997</c:v>
                </c:pt>
                <c:pt idx="2">
                  <c:v>441.91999999999996</c:v>
                </c:pt>
                <c:pt idx="3">
                  <c:v>522.65</c:v>
                </c:pt>
                <c:pt idx="4">
                  <c:v>955.00400000000002</c:v>
                </c:pt>
              </c:numCache>
            </c:numRef>
          </c:val>
        </c:ser>
        <c:ser>
          <c:idx val="4"/>
          <c:order val="3"/>
          <c:tx>
            <c:strRef>
              <c:f>'ETO Cost Data'!$N$23</c:f>
              <c:strCache>
                <c:ptCount val="1"/>
                <c:pt idx="0">
                  <c:v>7th Plan Built-Up Cost</c:v>
                </c:pt>
              </c:strCache>
            </c:strRef>
          </c:tx>
          <c:spPr>
            <a:solidFill>
              <a:schemeClr val="accent2"/>
            </a:solidFill>
            <a:ln>
              <a:solidFill>
                <a:schemeClr val="accent2">
                  <a:lumMod val="50000"/>
                </a:schemeClr>
              </a:solidFill>
            </a:ln>
            <a:effectLst/>
          </c:spPr>
          <c:cat>
            <c:strRef>
              <c:f>'ETO Cost Data'!$I$24:$I$28</c:f>
              <c:strCache>
                <c:ptCount val="5"/>
                <c:pt idx="0">
                  <c:v>LED 31W</c:v>
                </c:pt>
                <c:pt idx="1">
                  <c:v>LED 95W</c:v>
                </c:pt>
                <c:pt idx="2">
                  <c:v>LED 135W</c:v>
                </c:pt>
                <c:pt idx="3">
                  <c:v>LED 180W</c:v>
                </c:pt>
                <c:pt idx="4">
                  <c:v>LED 421W*</c:v>
                </c:pt>
              </c:strCache>
            </c:strRef>
          </c:cat>
          <c:val>
            <c:numRef>
              <c:f>'ETO Cost Data'!$N$24:$N$28</c:f>
              <c:numCache>
                <c:formatCode>_("$"* #,##0_);_("$"* \(#,##0\);_("$"* "-"??_);_(@_)</c:formatCode>
                <c:ptCount val="5"/>
                <c:pt idx="0">
                  <c:v>272.37829599999998</c:v>
                </c:pt>
                <c:pt idx="1">
                  <c:v>405.70752500000003</c:v>
                </c:pt>
                <c:pt idx="2">
                  <c:v>342.9</c:v>
                </c:pt>
                <c:pt idx="3">
                  <c:v>442.9</c:v>
                </c:pt>
                <c:pt idx="4">
                  <c:v>1242.9000000000001</c:v>
                </c:pt>
              </c:numCache>
            </c:numRef>
          </c:val>
        </c:ser>
        <c:axId val="111646976"/>
        <c:axId val="111661056"/>
      </c:barChart>
      <c:catAx>
        <c:axId val="111646976"/>
        <c:scaling>
          <c:orientation val="minMax"/>
        </c:scaling>
        <c:axPos val="b"/>
        <c:numFmt formatCode="General" sourceLinked="1"/>
        <c:maj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1661056"/>
        <c:crosses val="autoZero"/>
        <c:auto val="1"/>
        <c:lblAlgn val="ctr"/>
        <c:lblOffset val="100"/>
      </c:catAx>
      <c:valAx>
        <c:axId val="111661056"/>
        <c:scaling>
          <c:orientation val="minMax"/>
        </c:scaling>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r>
                  <a:rPr lang="en-US" sz="1100"/>
                  <a:t>Installed Fixture Cost</a:t>
                </a:r>
                <a:r>
                  <a:rPr lang="en-US" sz="1100" baseline="0"/>
                  <a:t>, 2012$</a:t>
                </a:r>
                <a:endParaRPr lang="en-US" sz="1100"/>
              </a:p>
            </c:rich>
          </c:tx>
          <c:layout>
            <c:manualLayout>
              <c:xMode val="edge"/>
              <c:yMode val="edge"/>
              <c:x val="0.11814345991561241"/>
              <c:y val="0.15382251872995767"/>
            </c:manualLayout>
          </c:layout>
          <c:spPr>
            <a:noFill/>
            <a:ln>
              <a:noFill/>
            </a:ln>
            <a:effectLst/>
          </c:spPr>
        </c:title>
        <c:numFmt formatCode="_(&quot;$&quot;* #,##0_);_(&quot;$&quot;* \(#,##0\);_(&quot;$&quot;* &quot;-&quot;??_);_(@_)" sourceLinked="1"/>
        <c:maj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1646976"/>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1100" b="0" i="0" u="none" strike="noStrike" kern="1200" baseline="0">
                <a:solidFill>
                  <a:schemeClr val="tx1">
                    <a:lumMod val="65000"/>
                    <a:lumOff val="35000"/>
                  </a:schemeClr>
                </a:solidFill>
                <a:latin typeface="+mn-lt"/>
                <a:ea typeface="+mn-ea"/>
                <a:cs typeface="+mn-cs"/>
              </a:defRPr>
            </a:pPr>
            <a:endParaRPr lang="en-US"/>
          </a:p>
        </c:txPr>
      </c:dTable>
      <c:spPr>
        <a:noFill/>
        <a:ln>
          <a:noFill/>
        </a:ln>
        <a:effectLst/>
      </c:spPr>
    </c:plotArea>
    <c:plotVisOnly val="1"/>
    <c:dispBlanksAs val="gap"/>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000000000000289" l="0.70000000000000062" r="0.70000000000000062" t="0.75000000000000289" header="0.30000000000000032" footer="0.30000000000000032"/>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8.emf"/><Relationship Id="rId3" Type="http://schemas.openxmlformats.org/officeDocument/2006/relationships/image" Target="../media/image3.emf"/><Relationship Id="rId7" Type="http://schemas.openxmlformats.org/officeDocument/2006/relationships/image" Target="../media/image7.emf"/><Relationship Id="rId2" Type="http://schemas.openxmlformats.org/officeDocument/2006/relationships/image" Target="../media/image2.emf"/><Relationship Id="rId1" Type="http://schemas.openxmlformats.org/officeDocument/2006/relationships/image" Target="../media/image1.emf"/><Relationship Id="rId6" Type="http://schemas.openxmlformats.org/officeDocument/2006/relationships/image" Target="../media/image6.emf"/><Relationship Id="rId11" Type="http://schemas.openxmlformats.org/officeDocument/2006/relationships/image" Target="../media/image11.emf"/><Relationship Id="rId5" Type="http://schemas.openxmlformats.org/officeDocument/2006/relationships/image" Target="../media/image5.emf"/><Relationship Id="rId10" Type="http://schemas.openxmlformats.org/officeDocument/2006/relationships/image" Target="../media/image10.emf"/><Relationship Id="rId4" Type="http://schemas.openxmlformats.org/officeDocument/2006/relationships/image" Target="../media/image4.emf"/><Relationship Id="rId9" Type="http://schemas.openxmlformats.org/officeDocument/2006/relationships/image" Target="../media/image9.emf"/></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chart" Target="../charts/chart3.xml"/><Relationship Id="rId1" Type="http://schemas.openxmlformats.org/officeDocument/2006/relationships/chart" Target="../charts/chart2.xml"/><Relationship Id="rId4" Type="http://schemas.openxmlformats.org/officeDocument/2006/relationships/chart" Target="../charts/chart5.xml"/></Relationships>
</file>

<file path=xl/drawings/_rels/drawing4.xml.rels><?xml version="1.0" encoding="UTF-8" standalone="yes"?>
<Relationships xmlns="http://schemas.openxmlformats.org/package/2006/relationships"><Relationship Id="rId3" Type="http://schemas.openxmlformats.org/officeDocument/2006/relationships/image" Target="../media/image15.emf"/><Relationship Id="rId2" Type="http://schemas.openxmlformats.org/officeDocument/2006/relationships/image" Target="../media/image14.emf"/><Relationship Id="rId1" Type="http://schemas.openxmlformats.org/officeDocument/2006/relationships/image" Target="../media/image13.emf"/><Relationship Id="rId4" Type="http://schemas.openxmlformats.org/officeDocument/2006/relationships/image" Target="../media/image16.emf"/></Relationships>
</file>

<file path=xl/drawings/_rels/vmlDrawing9.vml.rels><?xml version="1.0" encoding="UTF-8" standalone="yes"?>
<Relationships xmlns="http://schemas.openxmlformats.org/package/2006/relationships"><Relationship Id="rId1" Type="http://schemas.openxmlformats.org/officeDocument/2006/relationships/image" Target="../media/image12.emf"/></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4</xdr:row>
      <xdr:rowOff>0</xdr:rowOff>
    </xdr:from>
    <xdr:to>
      <xdr:col>10</xdr:col>
      <xdr:colOff>463221</xdr:colOff>
      <xdr:row>21</xdr:row>
      <xdr:rowOff>76200</xdr:rowOff>
    </xdr:to>
    <xdr:pic>
      <xdr:nvPicPr>
        <xdr:cNvPr id="2"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609600" y="647700"/>
          <a:ext cx="5949621" cy="3476625"/>
        </a:xfrm>
        <a:prstGeom prst="rect">
          <a:avLst/>
        </a:prstGeom>
        <a:noFill/>
      </xdr:spPr>
    </xdr:pic>
    <xdr:clientData/>
  </xdr:twoCellAnchor>
  <xdr:twoCellAnchor editAs="oneCell">
    <xdr:from>
      <xdr:col>0</xdr:col>
      <xdr:colOff>561976</xdr:colOff>
      <xdr:row>27</xdr:row>
      <xdr:rowOff>9525</xdr:rowOff>
    </xdr:from>
    <xdr:to>
      <xdr:col>10</xdr:col>
      <xdr:colOff>447676</xdr:colOff>
      <xdr:row>38</xdr:row>
      <xdr:rowOff>70375</xdr:rowOff>
    </xdr:to>
    <xdr:pic>
      <xdr:nvPicPr>
        <xdr:cNvPr id="3" name="Picture 2"/>
        <xdr:cNvPicPr>
          <a:picLocks noChangeAspect="1" noChangeArrowheads="1"/>
        </xdr:cNvPicPr>
      </xdr:nvPicPr>
      <xdr:blipFill>
        <a:blip xmlns:r="http://schemas.openxmlformats.org/officeDocument/2006/relationships" r:embed="rId2" cstate="print"/>
        <a:srcRect/>
        <a:stretch>
          <a:fillRect/>
        </a:stretch>
      </xdr:blipFill>
      <xdr:spPr bwMode="auto">
        <a:xfrm>
          <a:off x="561976" y="4867275"/>
          <a:ext cx="5981700" cy="1842025"/>
        </a:xfrm>
        <a:prstGeom prst="rect">
          <a:avLst/>
        </a:prstGeom>
        <a:noFill/>
      </xdr:spPr>
    </xdr:pic>
    <xdr:clientData/>
  </xdr:twoCellAnchor>
  <xdr:twoCellAnchor editAs="oneCell">
    <xdr:from>
      <xdr:col>1</xdr:col>
      <xdr:colOff>0</xdr:colOff>
      <xdr:row>41</xdr:row>
      <xdr:rowOff>0</xdr:rowOff>
    </xdr:from>
    <xdr:to>
      <xdr:col>10</xdr:col>
      <xdr:colOff>421530</xdr:colOff>
      <xdr:row>60</xdr:row>
      <xdr:rowOff>276224</xdr:rowOff>
    </xdr:to>
    <xdr:pic>
      <xdr:nvPicPr>
        <xdr:cNvPr id="4" name="Picture 3"/>
        <xdr:cNvPicPr>
          <a:picLocks noChangeAspect="1" noChangeArrowheads="1"/>
        </xdr:cNvPicPr>
      </xdr:nvPicPr>
      <xdr:blipFill>
        <a:blip xmlns:r="http://schemas.openxmlformats.org/officeDocument/2006/relationships" r:embed="rId3" cstate="print"/>
        <a:srcRect/>
        <a:stretch>
          <a:fillRect/>
        </a:stretch>
      </xdr:blipFill>
      <xdr:spPr bwMode="auto">
        <a:xfrm>
          <a:off x="609600" y="7124700"/>
          <a:ext cx="5907930" cy="3352799"/>
        </a:xfrm>
        <a:prstGeom prst="rect">
          <a:avLst/>
        </a:prstGeom>
        <a:noFill/>
      </xdr:spPr>
    </xdr:pic>
    <xdr:clientData/>
  </xdr:twoCellAnchor>
  <xdr:twoCellAnchor editAs="oneCell">
    <xdr:from>
      <xdr:col>12</xdr:col>
      <xdr:colOff>200025</xdr:colOff>
      <xdr:row>4</xdr:row>
      <xdr:rowOff>57150</xdr:rowOff>
    </xdr:from>
    <xdr:to>
      <xdr:col>22</xdr:col>
      <xdr:colOff>44768</xdr:colOff>
      <xdr:row>22</xdr:row>
      <xdr:rowOff>28575</xdr:rowOff>
    </xdr:to>
    <xdr:pic>
      <xdr:nvPicPr>
        <xdr:cNvPr id="5" name="Picture 4"/>
        <xdr:cNvPicPr>
          <a:picLocks noChangeAspect="1" noChangeArrowheads="1"/>
        </xdr:cNvPicPr>
      </xdr:nvPicPr>
      <xdr:blipFill>
        <a:blip xmlns:r="http://schemas.openxmlformats.org/officeDocument/2006/relationships" r:embed="rId4" cstate="print"/>
        <a:srcRect/>
        <a:stretch>
          <a:fillRect/>
        </a:stretch>
      </xdr:blipFill>
      <xdr:spPr bwMode="auto">
        <a:xfrm>
          <a:off x="7515225" y="704850"/>
          <a:ext cx="5940743" cy="3533775"/>
        </a:xfrm>
        <a:prstGeom prst="rect">
          <a:avLst/>
        </a:prstGeom>
        <a:noFill/>
      </xdr:spPr>
    </xdr:pic>
    <xdr:clientData/>
  </xdr:twoCellAnchor>
  <xdr:twoCellAnchor editAs="oneCell">
    <xdr:from>
      <xdr:col>12</xdr:col>
      <xdr:colOff>209550</xdr:colOff>
      <xdr:row>27</xdr:row>
      <xdr:rowOff>9525</xdr:rowOff>
    </xdr:from>
    <xdr:to>
      <xdr:col>22</xdr:col>
      <xdr:colOff>28575</xdr:colOff>
      <xdr:row>45</xdr:row>
      <xdr:rowOff>68764</xdr:rowOff>
    </xdr:to>
    <xdr:pic>
      <xdr:nvPicPr>
        <xdr:cNvPr id="6" name="Picture 5"/>
        <xdr:cNvPicPr>
          <a:picLocks noChangeAspect="1" noChangeArrowheads="1"/>
        </xdr:cNvPicPr>
      </xdr:nvPicPr>
      <xdr:blipFill>
        <a:blip xmlns:r="http://schemas.openxmlformats.org/officeDocument/2006/relationships" r:embed="rId5" cstate="print"/>
        <a:srcRect/>
        <a:stretch>
          <a:fillRect/>
        </a:stretch>
      </xdr:blipFill>
      <xdr:spPr bwMode="auto">
        <a:xfrm>
          <a:off x="7524750" y="4867275"/>
          <a:ext cx="5915025" cy="2973889"/>
        </a:xfrm>
        <a:prstGeom prst="rect">
          <a:avLst/>
        </a:prstGeom>
        <a:noFill/>
      </xdr:spPr>
    </xdr:pic>
    <xdr:clientData/>
  </xdr:twoCellAnchor>
  <xdr:twoCellAnchor editAs="oneCell">
    <xdr:from>
      <xdr:col>12</xdr:col>
      <xdr:colOff>171451</xdr:colOff>
      <xdr:row>48</xdr:row>
      <xdr:rowOff>19050</xdr:rowOff>
    </xdr:from>
    <xdr:to>
      <xdr:col>22</xdr:col>
      <xdr:colOff>152401</xdr:colOff>
      <xdr:row>59</xdr:row>
      <xdr:rowOff>31073</xdr:rowOff>
    </xdr:to>
    <xdr:pic>
      <xdr:nvPicPr>
        <xdr:cNvPr id="7" name="Picture 6"/>
        <xdr:cNvPicPr>
          <a:picLocks noChangeAspect="1" noChangeArrowheads="1"/>
        </xdr:cNvPicPr>
      </xdr:nvPicPr>
      <xdr:blipFill>
        <a:blip xmlns:r="http://schemas.openxmlformats.org/officeDocument/2006/relationships" r:embed="rId6" cstate="print"/>
        <a:srcRect/>
        <a:stretch>
          <a:fillRect/>
        </a:stretch>
      </xdr:blipFill>
      <xdr:spPr bwMode="auto">
        <a:xfrm>
          <a:off x="7486651" y="8277225"/>
          <a:ext cx="6076950" cy="1793198"/>
        </a:xfrm>
        <a:prstGeom prst="rect">
          <a:avLst/>
        </a:prstGeom>
        <a:noFill/>
      </xdr:spPr>
    </xdr:pic>
    <xdr:clientData/>
  </xdr:twoCellAnchor>
  <xdr:twoCellAnchor editAs="oneCell">
    <xdr:from>
      <xdr:col>12</xdr:col>
      <xdr:colOff>219075</xdr:colOff>
      <xdr:row>61</xdr:row>
      <xdr:rowOff>114300</xdr:rowOff>
    </xdr:from>
    <xdr:to>
      <xdr:col>22</xdr:col>
      <xdr:colOff>396126</xdr:colOff>
      <xdr:row>79</xdr:row>
      <xdr:rowOff>133350</xdr:rowOff>
    </xdr:to>
    <xdr:pic>
      <xdr:nvPicPr>
        <xdr:cNvPr id="8" name="Picture 7"/>
        <xdr:cNvPicPr>
          <a:picLocks noChangeAspect="1" noChangeArrowheads="1"/>
        </xdr:cNvPicPr>
      </xdr:nvPicPr>
      <xdr:blipFill>
        <a:blip xmlns:r="http://schemas.openxmlformats.org/officeDocument/2006/relationships" r:embed="rId7" cstate="print"/>
        <a:srcRect/>
        <a:stretch>
          <a:fillRect/>
        </a:stretch>
      </xdr:blipFill>
      <xdr:spPr bwMode="auto">
        <a:xfrm>
          <a:off x="7534275" y="10477500"/>
          <a:ext cx="6273051" cy="3295650"/>
        </a:xfrm>
        <a:prstGeom prst="rect">
          <a:avLst/>
        </a:prstGeom>
        <a:noFill/>
      </xdr:spPr>
    </xdr:pic>
    <xdr:clientData/>
  </xdr:twoCellAnchor>
  <xdr:twoCellAnchor editAs="oneCell">
    <xdr:from>
      <xdr:col>12</xdr:col>
      <xdr:colOff>95250</xdr:colOff>
      <xdr:row>84</xdr:row>
      <xdr:rowOff>66675</xdr:rowOff>
    </xdr:from>
    <xdr:to>
      <xdr:col>23</xdr:col>
      <xdr:colOff>94817</xdr:colOff>
      <xdr:row>97</xdr:row>
      <xdr:rowOff>66675</xdr:rowOff>
    </xdr:to>
    <xdr:pic>
      <xdr:nvPicPr>
        <xdr:cNvPr id="9" name="Picture 8"/>
        <xdr:cNvPicPr>
          <a:picLocks noChangeAspect="1" noChangeArrowheads="1"/>
        </xdr:cNvPicPr>
      </xdr:nvPicPr>
      <xdr:blipFill>
        <a:blip xmlns:r="http://schemas.openxmlformats.org/officeDocument/2006/relationships" r:embed="rId8" cstate="print"/>
        <a:srcRect/>
        <a:stretch>
          <a:fillRect/>
        </a:stretch>
      </xdr:blipFill>
      <xdr:spPr bwMode="auto">
        <a:xfrm>
          <a:off x="7410450" y="14154150"/>
          <a:ext cx="6705167" cy="2105025"/>
        </a:xfrm>
        <a:prstGeom prst="rect">
          <a:avLst/>
        </a:prstGeom>
        <a:noFill/>
      </xdr:spPr>
    </xdr:pic>
    <xdr:clientData/>
  </xdr:twoCellAnchor>
  <xdr:twoCellAnchor editAs="oneCell">
    <xdr:from>
      <xdr:col>37</xdr:col>
      <xdr:colOff>571500</xdr:colOff>
      <xdr:row>90</xdr:row>
      <xdr:rowOff>57150</xdr:rowOff>
    </xdr:from>
    <xdr:to>
      <xdr:col>44</xdr:col>
      <xdr:colOff>111437</xdr:colOff>
      <xdr:row>103</xdr:row>
      <xdr:rowOff>123825</xdr:rowOff>
    </xdr:to>
    <xdr:pic>
      <xdr:nvPicPr>
        <xdr:cNvPr id="58369" name="Picture 1"/>
        <xdr:cNvPicPr>
          <a:picLocks noChangeAspect="1" noChangeArrowheads="1"/>
        </xdr:cNvPicPr>
      </xdr:nvPicPr>
      <xdr:blipFill>
        <a:blip xmlns:r="http://schemas.openxmlformats.org/officeDocument/2006/relationships" r:embed="rId9" cstate="print"/>
        <a:srcRect/>
        <a:stretch>
          <a:fillRect/>
        </a:stretch>
      </xdr:blipFill>
      <xdr:spPr bwMode="auto">
        <a:xfrm>
          <a:off x="24384000" y="15411450"/>
          <a:ext cx="3807137" cy="2171700"/>
        </a:xfrm>
        <a:prstGeom prst="rect">
          <a:avLst/>
        </a:prstGeom>
        <a:noFill/>
        <a:ln>
          <a:solidFill>
            <a:schemeClr val="accent1"/>
          </a:solidFill>
        </a:ln>
      </xdr:spPr>
    </xdr:pic>
    <xdr:clientData/>
  </xdr:twoCellAnchor>
  <xdr:twoCellAnchor editAs="oneCell">
    <xdr:from>
      <xdr:col>31</xdr:col>
      <xdr:colOff>19051</xdr:colOff>
      <xdr:row>90</xdr:row>
      <xdr:rowOff>76201</xdr:rowOff>
    </xdr:from>
    <xdr:to>
      <xdr:col>35</xdr:col>
      <xdr:colOff>518767</xdr:colOff>
      <xdr:row>107</xdr:row>
      <xdr:rowOff>28576</xdr:rowOff>
    </xdr:to>
    <xdr:pic>
      <xdr:nvPicPr>
        <xdr:cNvPr id="58370" name="Picture 2"/>
        <xdr:cNvPicPr>
          <a:picLocks noChangeAspect="1" noChangeArrowheads="1"/>
        </xdr:cNvPicPr>
      </xdr:nvPicPr>
      <xdr:blipFill>
        <a:blip xmlns:r="http://schemas.openxmlformats.org/officeDocument/2006/relationships" r:embed="rId10" cstate="print"/>
        <a:srcRect/>
        <a:stretch>
          <a:fillRect/>
        </a:stretch>
      </xdr:blipFill>
      <xdr:spPr bwMode="auto">
        <a:xfrm>
          <a:off x="20173951" y="15430501"/>
          <a:ext cx="3852516" cy="2705100"/>
        </a:xfrm>
        <a:prstGeom prst="rect">
          <a:avLst/>
        </a:prstGeom>
        <a:noFill/>
      </xdr:spPr>
    </xdr:pic>
    <xdr:clientData/>
  </xdr:twoCellAnchor>
  <xdr:twoCellAnchor editAs="oneCell">
    <xdr:from>
      <xdr:col>25</xdr:col>
      <xdr:colOff>581025</xdr:colOff>
      <xdr:row>90</xdr:row>
      <xdr:rowOff>57151</xdr:rowOff>
    </xdr:from>
    <xdr:to>
      <xdr:col>28</xdr:col>
      <xdr:colOff>217483</xdr:colOff>
      <xdr:row>105</xdr:row>
      <xdr:rowOff>95250</xdr:rowOff>
    </xdr:to>
    <xdr:pic>
      <xdr:nvPicPr>
        <xdr:cNvPr id="58371" name="Picture 3"/>
        <xdr:cNvPicPr>
          <a:picLocks noChangeAspect="1" noChangeArrowheads="1"/>
        </xdr:cNvPicPr>
      </xdr:nvPicPr>
      <xdr:blipFill>
        <a:blip xmlns:r="http://schemas.openxmlformats.org/officeDocument/2006/relationships" r:embed="rId11" cstate="print"/>
        <a:srcRect/>
        <a:stretch>
          <a:fillRect/>
        </a:stretch>
      </xdr:blipFill>
      <xdr:spPr bwMode="auto">
        <a:xfrm>
          <a:off x="15821025" y="15640051"/>
          <a:ext cx="4160833" cy="2466974"/>
        </a:xfrm>
        <a:prstGeom prst="rect">
          <a:avLst/>
        </a:prstGeom>
        <a:noFill/>
      </xdr:spPr>
    </xdr:pic>
    <xdr:clientData/>
  </xdr:twoCellAnchor>
  <xdr:twoCellAnchor>
    <xdr:from>
      <xdr:col>34</xdr:col>
      <xdr:colOff>19050</xdr:colOff>
      <xdr:row>58</xdr:row>
      <xdr:rowOff>142875</xdr:rowOff>
    </xdr:from>
    <xdr:to>
      <xdr:col>46</xdr:col>
      <xdr:colOff>19050</xdr:colOff>
      <xdr:row>78</xdr:row>
      <xdr:rowOff>95250</xdr:rowOff>
    </xdr:to>
    <xdr:sp macro="" textlink="">
      <xdr:nvSpPr>
        <xdr:cNvPr id="14" name="TextBox 13"/>
        <xdr:cNvSpPr txBox="1"/>
      </xdr:nvSpPr>
      <xdr:spPr>
        <a:xfrm>
          <a:off x="22136100" y="10182225"/>
          <a:ext cx="7315200" cy="51720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a:solidFill>
                <a:schemeClr val="dk1"/>
              </a:solidFill>
              <a:latin typeface="+mn-lt"/>
              <a:ea typeface="+mn-ea"/>
              <a:cs typeface="+mn-cs"/>
            </a:rPr>
            <a:t>Hi Charlie,</a:t>
          </a:r>
        </a:p>
        <a:p>
          <a:r>
            <a:rPr lang="en-US" sz="1100">
              <a:solidFill>
                <a:schemeClr val="dk1"/>
              </a:solidFill>
              <a:latin typeface="+mn-lt"/>
              <a:ea typeface="+mn-ea"/>
              <a:cs typeface="+mn-cs"/>
            </a:rPr>
            <a:t> </a:t>
          </a:r>
        </a:p>
        <a:p>
          <a:r>
            <a:rPr lang="en-US" sz="1100">
              <a:solidFill>
                <a:schemeClr val="dk1"/>
              </a:solidFill>
              <a:latin typeface="+mn-lt"/>
              <a:ea typeface="+mn-ea"/>
              <a:cs typeface="+mn-cs"/>
            </a:rPr>
            <a:t>My main concern is using the DOE analysis projected to 2016. I think their analysis is useful—and I do think LEDs will take off no matter what we do—but the current product flow saturation is lower than what they projected to this point based on data we have available to date. I think they are off by a few years—meaning, I think that what might be showing as short-term LED penetration for 2016 might be more accurate for 2019. But because this Plan is mostly 2016-2020, having it off by a few years is a big deal. </a:t>
          </a:r>
        </a:p>
        <a:p>
          <a:r>
            <a:rPr lang="en-US" sz="1100">
              <a:solidFill>
                <a:schemeClr val="dk1"/>
              </a:solidFill>
              <a:latin typeface="+mn-lt"/>
              <a:ea typeface="+mn-ea"/>
              <a:cs typeface="+mn-cs"/>
            </a:rPr>
            <a:t> </a:t>
          </a:r>
        </a:p>
        <a:p>
          <a:r>
            <a:rPr lang="en-US" sz="1100">
              <a:solidFill>
                <a:schemeClr val="dk1"/>
              </a:solidFill>
              <a:latin typeface="+mn-lt"/>
              <a:ea typeface="+mn-ea"/>
              <a:cs typeface="+mn-cs"/>
            </a:rPr>
            <a:t>Rob Carmichael and I spent some time going through your analysis today, and we thought that the integration of the 2018 standard early in the LPD made sense; the market is essentially at 32w T-8 so the 2018 standard is just reinforcing that. But 10% TLED was more than we would add in to that efficiency baseline: we think it makes the baseline too high. In the short-term, that potential is still technically remaining. In the long-term, LEDs will remove it, but we don’t think it is there yet. The linear applications are certainly my largest worry, as they are the bulk of the sq ft. You are correct that my concern is that the 2018 standard plus adding the LED efficiency raises the baseline above the low wattage T8 lamps: low-wattage T8s are an easy efficiency win for maintenance applications and if the baseline rises higher than they can meet it would need to be on better data than what we have.</a:t>
          </a:r>
        </a:p>
        <a:p>
          <a:r>
            <a:rPr lang="en-US" sz="1100">
              <a:solidFill>
                <a:schemeClr val="dk1"/>
              </a:solidFill>
              <a:latin typeface="+mn-lt"/>
              <a:ea typeface="+mn-ea"/>
              <a:cs typeface="+mn-cs"/>
            </a:rPr>
            <a:t> </a:t>
          </a:r>
        </a:p>
        <a:p>
          <a:r>
            <a:rPr lang="en-US" sz="1100">
              <a:solidFill>
                <a:schemeClr val="dk1"/>
              </a:solidFill>
              <a:latin typeface="+mn-lt"/>
              <a:ea typeface="+mn-ea"/>
              <a:cs typeface="+mn-cs"/>
            </a:rPr>
            <a:t>On the PAR and A-lamp side, these applications are where LED is winning, but we think more conservative estimates of LED saturation of the flow is appropriate. Rob thought A lamp was likely more LED in commercial than residential, but we think it is lower than what was projected.</a:t>
          </a:r>
        </a:p>
        <a:p>
          <a:r>
            <a:rPr lang="en-US" sz="1100">
              <a:solidFill>
                <a:schemeClr val="dk1"/>
              </a:solidFill>
              <a:latin typeface="+mn-lt"/>
              <a:ea typeface="+mn-ea"/>
              <a:cs typeface="+mn-cs"/>
            </a:rPr>
            <a:t> </a:t>
          </a:r>
        </a:p>
        <a:p>
          <a:r>
            <a:rPr lang="en-US" sz="1100" b="1">
              <a:solidFill>
                <a:schemeClr val="dk1"/>
              </a:solidFill>
              <a:latin typeface="+mn-lt"/>
              <a:ea typeface="+mn-ea"/>
              <a:cs typeface="+mn-cs"/>
            </a:rPr>
            <a:t>Our concrete recommendation</a:t>
          </a:r>
          <a:r>
            <a:rPr lang="en-US" sz="1100">
              <a:solidFill>
                <a:schemeClr val="dk1"/>
              </a:solidFill>
              <a:latin typeface="+mn-lt"/>
              <a:ea typeface="+mn-ea"/>
              <a:cs typeface="+mn-cs"/>
            </a:rPr>
            <a:t>: I have attached what we think are more reasonable LED penetration (we were confused past row 23). I also want to share that when we were comparing different lighting scenarios on this model, the sensitivities were always WHEN not IF—in the short-term, things could look really different depending on the assumptions. That is why I am advocating a more conservative approach, because I think that these models are incorrect in the short-term.</a:t>
          </a:r>
        </a:p>
        <a:p>
          <a:r>
            <a:rPr lang="en-US" sz="1100">
              <a:solidFill>
                <a:schemeClr val="dk1"/>
              </a:solidFill>
              <a:latin typeface="+mn-lt"/>
              <a:ea typeface="+mn-ea"/>
              <a:cs typeface="+mn-cs"/>
            </a:rPr>
            <a:t> </a:t>
          </a:r>
        </a:p>
        <a:p>
          <a:r>
            <a:rPr lang="en-US" sz="1100">
              <a:solidFill>
                <a:schemeClr val="dk1"/>
              </a:solidFill>
              <a:latin typeface="+mn-lt"/>
              <a:ea typeface="+mn-ea"/>
              <a:cs typeface="+mn-cs"/>
            </a:rPr>
            <a:t>Carrie Cobb</a:t>
          </a:r>
        </a:p>
        <a:p>
          <a:r>
            <a:rPr lang="en-US" sz="1100" u="sng">
              <a:solidFill>
                <a:schemeClr val="dk1"/>
              </a:solidFill>
              <a:latin typeface="+mn-lt"/>
              <a:ea typeface="+mn-ea"/>
              <a:cs typeface="+mn-cs"/>
              <a:hlinkClick xmlns:r="http://schemas.openxmlformats.org/officeDocument/2006/relationships" r:id=""/>
            </a:rPr>
            <a:t>clcobb@bpa.gov</a:t>
          </a:r>
          <a:endParaRPr lang="en-US" sz="1100">
            <a:solidFill>
              <a:schemeClr val="dk1"/>
            </a:solidFill>
            <a:latin typeface="+mn-lt"/>
            <a:ea typeface="+mn-ea"/>
            <a:cs typeface="+mn-cs"/>
          </a:endParaRPr>
        </a:p>
        <a:p>
          <a:r>
            <a:rPr lang="en-US" sz="1100">
              <a:solidFill>
                <a:schemeClr val="dk1"/>
              </a:solidFill>
              <a:latin typeface="+mn-lt"/>
              <a:ea typeface="+mn-ea"/>
              <a:cs typeface="+mn-cs"/>
            </a:rPr>
            <a:t>503-230-4985</a:t>
          </a:r>
        </a:p>
        <a:p>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123824</xdr:colOff>
      <xdr:row>61</xdr:row>
      <xdr:rowOff>152400</xdr:rowOff>
    </xdr:from>
    <xdr:to>
      <xdr:col>4</xdr:col>
      <xdr:colOff>504824</xdr:colOff>
      <xdr:row>82</xdr:row>
      <xdr:rowOff>142875</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0</xdr:colOff>
      <xdr:row>23</xdr:row>
      <xdr:rowOff>0</xdr:rowOff>
    </xdr:from>
    <xdr:to>
      <xdr:col>6</xdr:col>
      <xdr:colOff>104775</xdr:colOff>
      <xdr:row>31</xdr:row>
      <xdr:rowOff>142875</xdr:rowOff>
    </xdr:to>
    <xdr:sp macro="" textlink="">
      <xdr:nvSpPr>
        <xdr:cNvPr id="3" name="TextBox 2"/>
        <xdr:cNvSpPr txBox="1"/>
      </xdr:nvSpPr>
      <xdr:spPr>
        <a:xfrm>
          <a:off x="4733925" y="7086600"/>
          <a:ext cx="2667000" cy="16668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b="0" i="0" u="none" strike="noStrike">
              <a:solidFill>
                <a:schemeClr val="dk1"/>
              </a:solidFill>
              <a:latin typeface="+mn-lt"/>
              <a:ea typeface="+mn-ea"/>
              <a:cs typeface="+mn-cs"/>
            </a:rPr>
            <a:t>S = Signage</a:t>
          </a:r>
          <a:br>
            <a:rPr lang="en-US" sz="1100" b="0" i="0" u="none" strike="noStrike">
              <a:solidFill>
                <a:schemeClr val="dk1"/>
              </a:solidFill>
              <a:latin typeface="+mn-lt"/>
              <a:ea typeface="+mn-ea"/>
              <a:cs typeface="+mn-cs"/>
            </a:rPr>
          </a:br>
          <a:r>
            <a:rPr lang="en-US" sz="1100" b="0" i="0" u="none" strike="noStrike">
              <a:solidFill>
                <a:schemeClr val="dk1"/>
              </a:solidFill>
              <a:latin typeface="+mn-lt"/>
              <a:ea typeface="+mn-ea"/>
              <a:cs typeface="+mn-cs"/>
            </a:rPr>
            <a:t>F = Façade</a:t>
          </a:r>
          <a:br>
            <a:rPr lang="en-US" sz="1100" b="0" i="0" u="none" strike="noStrike">
              <a:solidFill>
                <a:schemeClr val="dk1"/>
              </a:solidFill>
              <a:latin typeface="+mn-lt"/>
              <a:ea typeface="+mn-ea"/>
              <a:cs typeface="+mn-cs"/>
            </a:rPr>
          </a:br>
          <a:r>
            <a:rPr lang="en-US" sz="1100" b="0" i="0" u="none" strike="noStrike">
              <a:solidFill>
                <a:schemeClr val="dk1"/>
              </a:solidFill>
              <a:latin typeface="+mn-lt"/>
              <a:ea typeface="+mn-ea"/>
              <a:cs typeface="+mn-cs"/>
            </a:rPr>
            <a:t>P = Parking Lot</a:t>
          </a:r>
          <a:br>
            <a:rPr lang="en-US" sz="1100" b="0" i="0" u="none" strike="noStrike">
              <a:solidFill>
                <a:schemeClr val="dk1"/>
              </a:solidFill>
              <a:latin typeface="+mn-lt"/>
              <a:ea typeface="+mn-ea"/>
              <a:cs typeface="+mn-cs"/>
            </a:rPr>
          </a:br>
          <a:r>
            <a:rPr lang="en-US" sz="1100" b="0" i="0" u="none" strike="noStrike">
              <a:solidFill>
                <a:schemeClr val="dk1"/>
              </a:solidFill>
              <a:latin typeface="+mn-lt"/>
              <a:ea typeface="+mn-ea"/>
              <a:cs typeface="+mn-cs"/>
            </a:rPr>
            <a:t>SF = Sporting Field</a:t>
          </a:r>
          <a:br>
            <a:rPr lang="en-US" sz="1100" b="0" i="0" u="none" strike="noStrike">
              <a:solidFill>
                <a:schemeClr val="dk1"/>
              </a:solidFill>
              <a:latin typeface="+mn-lt"/>
              <a:ea typeface="+mn-ea"/>
              <a:cs typeface="+mn-cs"/>
            </a:rPr>
          </a:br>
          <a:r>
            <a:rPr lang="en-US" sz="1100" b="0" i="0" u="none" strike="noStrike">
              <a:solidFill>
                <a:schemeClr val="dk1"/>
              </a:solidFill>
              <a:latin typeface="+mn-lt"/>
              <a:ea typeface="+mn-ea"/>
              <a:cs typeface="+mn-cs"/>
            </a:rPr>
            <a:t>O = Other</a:t>
          </a:r>
          <a:br>
            <a:rPr lang="en-US" sz="1100" b="0" i="0" u="none" strike="noStrike">
              <a:solidFill>
                <a:schemeClr val="dk1"/>
              </a:solidFill>
              <a:latin typeface="+mn-lt"/>
              <a:ea typeface="+mn-ea"/>
              <a:cs typeface="+mn-cs"/>
            </a:rPr>
          </a:br>
          <a:r>
            <a:rPr lang="en-US" sz="1100" b="0" i="0" u="none" strike="noStrike">
              <a:solidFill>
                <a:schemeClr val="dk1"/>
              </a:solidFill>
              <a:latin typeface="+mn-lt"/>
              <a:ea typeface="+mn-ea"/>
              <a:cs typeface="+mn-cs"/>
            </a:rPr>
            <a:t>W = Walkway </a:t>
          </a:r>
          <a:br>
            <a:rPr lang="en-US" sz="1100" b="0" i="0" u="none" strike="noStrike">
              <a:solidFill>
                <a:schemeClr val="dk1"/>
              </a:solidFill>
              <a:latin typeface="+mn-lt"/>
              <a:ea typeface="+mn-ea"/>
              <a:cs typeface="+mn-cs"/>
            </a:rPr>
          </a:br>
          <a:r>
            <a:rPr lang="en-US" sz="1100" b="0" i="0" u="none" strike="noStrike">
              <a:solidFill>
                <a:schemeClr val="dk1"/>
              </a:solidFill>
              <a:latin typeface="+mn-lt"/>
              <a:ea typeface="+mn-ea"/>
              <a:cs typeface="+mn-cs"/>
            </a:rPr>
            <a:t>ES = Exterior Sales</a:t>
          </a:r>
          <a:br>
            <a:rPr lang="en-US" sz="1100" b="0" i="0" u="none" strike="noStrike">
              <a:solidFill>
                <a:schemeClr val="dk1"/>
              </a:solidFill>
              <a:latin typeface="+mn-lt"/>
              <a:ea typeface="+mn-ea"/>
              <a:cs typeface="+mn-cs"/>
            </a:rPr>
          </a:br>
          <a:r>
            <a:rPr lang="en-US" sz="1100" b="0" i="0" u="none" strike="noStrike">
              <a:solidFill>
                <a:schemeClr val="dk1"/>
              </a:solidFill>
              <a:latin typeface="+mn-lt"/>
              <a:ea typeface="+mn-ea"/>
              <a:cs typeface="+mn-cs"/>
            </a:rPr>
            <a:t>Unk = Unknown</a:t>
          </a:r>
          <a:br>
            <a:rPr lang="en-US" sz="1100" b="0" i="0" u="none" strike="noStrike">
              <a:solidFill>
                <a:schemeClr val="dk1"/>
              </a:solidFill>
              <a:latin typeface="+mn-lt"/>
              <a:ea typeface="+mn-ea"/>
              <a:cs typeface="+mn-cs"/>
            </a:rPr>
          </a:br>
          <a:r>
            <a:rPr lang="en-US" sz="1100" b="0" i="0" u="none" strike="noStrike">
              <a:solidFill>
                <a:schemeClr val="dk1"/>
              </a:solidFill>
              <a:latin typeface="+mn-lt"/>
              <a:ea typeface="+mn-ea"/>
              <a:cs typeface="+mn-cs"/>
            </a:rPr>
            <a:t>NF = Not Filled</a:t>
          </a:r>
          <a:r>
            <a:rPr lang="en-US"/>
            <a:t> </a:t>
          </a:r>
          <a:endParaRPr lang="en-US" sz="1100"/>
        </a:p>
      </xdr:txBody>
    </xdr:sp>
    <xdr:clientData/>
  </xdr:twoCellAnchor>
  <xdr:twoCellAnchor>
    <xdr:from>
      <xdr:col>14</xdr:col>
      <xdr:colOff>0</xdr:colOff>
      <xdr:row>24</xdr:row>
      <xdr:rowOff>0</xdr:rowOff>
    </xdr:from>
    <xdr:to>
      <xdr:col>16</xdr:col>
      <xdr:colOff>923925</xdr:colOff>
      <xdr:row>32</xdr:row>
      <xdr:rowOff>142875</xdr:rowOff>
    </xdr:to>
    <xdr:sp macro="" textlink="">
      <xdr:nvSpPr>
        <xdr:cNvPr id="4" name="TextBox 3"/>
        <xdr:cNvSpPr txBox="1"/>
      </xdr:nvSpPr>
      <xdr:spPr>
        <a:xfrm>
          <a:off x="18811875" y="7277100"/>
          <a:ext cx="2667000" cy="16668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b="0" i="0" u="none" strike="noStrike">
              <a:solidFill>
                <a:schemeClr val="dk1"/>
              </a:solidFill>
              <a:latin typeface="+mn-lt"/>
              <a:ea typeface="+mn-ea"/>
              <a:cs typeface="+mn-cs"/>
            </a:rPr>
            <a:t>S = Signage</a:t>
          </a:r>
          <a:br>
            <a:rPr lang="en-US" sz="1100" b="0" i="0" u="none" strike="noStrike">
              <a:solidFill>
                <a:schemeClr val="dk1"/>
              </a:solidFill>
              <a:latin typeface="+mn-lt"/>
              <a:ea typeface="+mn-ea"/>
              <a:cs typeface="+mn-cs"/>
            </a:rPr>
          </a:br>
          <a:r>
            <a:rPr lang="en-US" sz="1100" b="0" i="0" u="none" strike="noStrike">
              <a:solidFill>
                <a:schemeClr val="dk1"/>
              </a:solidFill>
              <a:latin typeface="+mn-lt"/>
              <a:ea typeface="+mn-ea"/>
              <a:cs typeface="+mn-cs"/>
            </a:rPr>
            <a:t>F = Façade</a:t>
          </a:r>
          <a:br>
            <a:rPr lang="en-US" sz="1100" b="0" i="0" u="none" strike="noStrike">
              <a:solidFill>
                <a:schemeClr val="dk1"/>
              </a:solidFill>
              <a:latin typeface="+mn-lt"/>
              <a:ea typeface="+mn-ea"/>
              <a:cs typeface="+mn-cs"/>
            </a:rPr>
          </a:br>
          <a:r>
            <a:rPr lang="en-US" sz="1100" b="0" i="0" u="none" strike="noStrike">
              <a:solidFill>
                <a:schemeClr val="dk1"/>
              </a:solidFill>
              <a:latin typeface="+mn-lt"/>
              <a:ea typeface="+mn-ea"/>
              <a:cs typeface="+mn-cs"/>
            </a:rPr>
            <a:t>P = Parking Lot</a:t>
          </a:r>
          <a:br>
            <a:rPr lang="en-US" sz="1100" b="0" i="0" u="none" strike="noStrike">
              <a:solidFill>
                <a:schemeClr val="dk1"/>
              </a:solidFill>
              <a:latin typeface="+mn-lt"/>
              <a:ea typeface="+mn-ea"/>
              <a:cs typeface="+mn-cs"/>
            </a:rPr>
          </a:br>
          <a:r>
            <a:rPr lang="en-US" sz="1100" b="0" i="0" u="none" strike="noStrike">
              <a:solidFill>
                <a:schemeClr val="dk1"/>
              </a:solidFill>
              <a:latin typeface="+mn-lt"/>
              <a:ea typeface="+mn-ea"/>
              <a:cs typeface="+mn-cs"/>
            </a:rPr>
            <a:t>SF = Sporting Field</a:t>
          </a:r>
          <a:br>
            <a:rPr lang="en-US" sz="1100" b="0" i="0" u="none" strike="noStrike">
              <a:solidFill>
                <a:schemeClr val="dk1"/>
              </a:solidFill>
              <a:latin typeface="+mn-lt"/>
              <a:ea typeface="+mn-ea"/>
              <a:cs typeface="+mn-cs"/>
            </a:rPr>
          </a:br>
          <a:r>
            <a:rPr lang="en-US" sz="1100" b="0" i="0" u="none" strike="noStrike">
              <a:solidFill>
                <a:schemeClr val="dk1"/>
              </a:solidFill>
              <a:latin typeface="+mn-lt"/>
              <a:ea typeface="+mn-ea"/>
              <a:cs typeface="+mn-cs"/>
            </a:rPr>
            <a:t>O = Other</a:t>
          </a:r>
          <a:br>
            <a:rPr lang="en-US" sz="1100" b="0" i="0" u="none" strike="noStrike">
              <a:solidFill>
                <a:schemeClr val="dk1"/>
              </a:solidFill>
              <a:latin typeface="+mn-lt"/>
              <a:ea typeface="+mn-ea"/>
              <a:cs typeface="+mn-cs"/>
            </a:rPr>
          </a:br>
          <a:r>
            <a:rPr lang="en-US" sz="1100" b="0" i="0" u="none" strike="noStrike">
              <a:solidFill>
                <a:schemeClr val="dk1"/>
              </a:solidFill>
              <a:latin typeface="+mn-lt"/>
              <a:ea typeface="+mn-ea"/>
              <a:cs typeface="+mn-cs"/>
            </a:rPr>
            <a:t>W = Walkway </a:t>
          </a:r>
          <a:br>
            <a:rPr lang="en-US" sz="1100" b="0" i="0" u="none" strike="noStrike">
              <a:solidFill>
                <a:schemeClr val="dk1"/>
              </a:solidFill>
              <a:latin typeface="+mn-lt"/>
              <a:ea typeface="+mn-ea"/>
              <a:cs typeface="+mn-cs"/>
            </a:rPr>
          </a:br>
          <a:r>
            <a:rPr lang="en-US" sz="1100" b="0" i="0" u="none" strike="noStrike">
              <a:solidFill>
                <a:schemeClr val="dk1"/>
              </a:solidFill>
              <a:latin typeface="+mn-lt"/>
              <a:ea typeface="+mn-ea"/>
              <a:cs typeface="+mn-cs"/>
            </a:rPr>
            <a:t>ES = Exterior Sales</a:t>
          </a:r>
          <a:br>
            <a:rPr lang="en-US" sz="1100" b="0" i="0" u="none" strike="noStrike">
              <a:solidFill>
                <a:schemeClr val="dk1"/>
              </a:solidFill>
              <a:latin typeface="+mn-lt"/>
              <a:ea typeface="+mn-ea"/>
              <a:cs typeface="+mn-cs"/>
            </a:rPr>
          </a:br>
          <a:r>
            <a:rPr lang="en-US" sz="1100" b="0" i="0" u="none" strike="noStrike">
              <a:solidFill>
                <a:schemeClr val="dk1"/>
              </a:solidFill>
              <a:latin typeface="+mn-lt"/>
              <a:ea typeface="+mn-ea"/>
              <a:cs typeface="+mn-cs"/>
            </a:rPr>
            <a:t>Unk = Unknown</a:t>
          </a:r>
          <a:br>
            <a:rPr lang="en-US" sz="1100" b="0" i="0" u="none" strike="noStrike">
              <a:solidFill>
                <a:schemeClr val="dk1"/>
              </a:solidFill>
              <a:latin typeface="+mn-lt"/>
              <a:ea typeface="+mn-ea"/>
              <a:cs typeface="+mn-cs"/>
            </a:rPr>
          </a:br>
          <a:r>
            <a:rPr lang="en-US" sz="1100" b="0" i="0" u="none" strike="noStrike">
              <a:solidFill>
                <a:schemeClr val="dk1"/>
              </a:solidFill>
              <a:latin typeface="+mn-lt"/>
              <a:ea typeface="+mn-ea"/>
              <a:cs typeface="+mn-cs"/>
            </a:rPr>
            <a:t>NF = Not Filled</a:t>
          </a:r>
          <a:r>
            <a:rPr lang="en-US"/>
            <a:t> </a:t>
          </a:r>
          <a:endParaRPr 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14</xdr:col>
      <xdr:colOff>28575</xdr:colOff>
      <xdr:row>0</xdr:row>
      <xdr:rowOff>23813</xdr:rowOff>
    </xdr:from>
    <xdr:to>
      <xdr:col>19</xdr:col>
      <xdr:colOff>581024</xdr:colOff>
      <xdr:row>9</xdr:row>
      <xdr:rowOff>152400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14</xdr:col>
      <xdr:colOff>28575</xdr:colOff>
      <xdr:row>10</xdr:row>
      <xdr:rowOff>19050</xdr:rowOff>
    </xdr:from>
    <xdr:to>
      <xdr:col>19</xdr:col>
      <xdr:colOff>581024</xdr:colOff>
      <xdr:row>19</xdr:row>
      <xdr:rowOff>123825</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14</xdr:col>
      <xdr:colOff>28575</xdr:colOff>
      <xdr:row>20</xdr:row>
      <xdr:rowOff>0</xdr:rowOff>
    </xdr:from>
    <xdr:to>
      <xdr:col>19</xdr:col>
      <xdr:colOff>581024</xdr:colOff>
      <xdr:row>30</xdr:row>
      <xdr:rowOff>104775</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14</xdr:col>
      <xdr:colOff>28574</xdr:colOff>
      <xdr:row>31</xdr:row>
      <xdr:rowOff>61911</xdr:rowOff>
    </xdr:from>
    <xdr:to>
      <xdr:col>24</xdr:col>
      <xdr:colOff>571500</xdr:colOff>
      <xdr:row>52</xdr:row>
      <xdr:rowOff>114299</xdr:rowOff>
    </xdr:to>
    <xdr:graphicFrame macro="">
      <xdr:nvGraphicFramePr>
        <xdr:cNvPr id="5" name="Chart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0</xdr:colOff>
      <xdr:row>3</xdr:row>
      <xdr:rowOff>0</xdr:rowOff>
    </xdr:from>
    <xdr:to>
      <xdr:col>5</xdr:col>
      <xdr:colOff>1171575</xdr:colOff>
      <xdr:row>10</xdr:row>
      <xdr:rowOff>152400</xdr:rowOff>
    </xdr:to>
    <xdr:pic>
      <xdr:nvPicPr>
        <xdr:cNvPr id="59393"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1828800" y="485775"/>
          <a:ext cx="5400675" cy="1285875"/>
        </a:xfrm>
        <a:prstGeom prst="rect">
          <a:avLst/>
        </a:prstGeom>
        <a:noFill/>
      </xdr:spPr>
    </xdr:pic>
    <xdr:clientData/>
  </xdr:twoCellAnchor>
  <xdr:twoCellAnchor editAs="oneCell">
    <xdr:from>
      <xdr:col>3</xdr:col>
      <xdr:colOff>0</xdr:colOff>
      <xdr:row>12</xdr:row>
      <xdr:rowOff>161924</xdr:rowOff>
    </xdr:from>
    <xdr:to>
      <xdr:col>5</xdr:col>
      <xdr:colOff>1457325</xdr:colOff>
      <xdr:row>32</xdr:row>
      <xdr:rowOff>42121</xdr:rowOff>
    </xdr:to>
    <xdr:pic>
      <xdr:nvPicPr>
        <xdr:cNvPr id="59394" name="Picture 2"/>
        <xdr:cNvPicPr>
          <a:picLocks noChangeAspect="1" noChangeArrowheads="1"/>
        </xdr:cNvPicPr>
      </xdr:nvPicPr>
      <xdr:blipFill>
        <a:blip xmlns:r="http://schemas.openxmlformats.org/officeDocument/2006/relationships" r:embed="rId2" cstate="print"/>
        <a:srcRect/>
        <a:stretch>
          <a:fillRect/>
        </a:stretch>
      </xdr:blipFill>
      <xdr:spPr bwMode="auto">
        <a:xfrm>
          <a:off x="1828800" y="2105024"/>
          <a:ext cx="5686425" cy="3118697"/>
        </a:xfrm>
        <a:prstGeom prst="rect">
          <a:avLst/>
        </a:prstGeom>
        <a:noFill/>
      </xdr:spPr>
    </xdr:pic>
    <xdr:clientData/>
  </xdr:twoCellAnchor>
  <xdr:twoCellAnchor editAs="oneCell">
    <xdr:from>
      <xdr:col>6</xdr:col>
      <xdr:colOff>495300</xdr:colOff>
      <xdr:row>14</xdr:row>
      <xdr:rowOff>152400</xdr:rowOff>
    </xdr:from>
    <xdr:to>
      <xdr:col>6</xdr:col>
      <xdr:colOff>5324475</xdr:colOff>
      <xdr:row>30</xdr:row>
      <xdr:rowOff>95250</xdr:rowOff>
    </xdr:to>
    <xdr:pic>
      <xdr:nvPicPr>
        <xdr:cNvPr id="59395" name="Picture 3"/>
        <xdr:cNvPicPr>
          <a:picLocks noChangeAspect="1" noChangeArrowheads="1"/>
        </xdr:cNvPicPr>
      </xdr:nvPicPr>
      <xdr:blipFill>
        <a:blip xmlns:r="http://schemas.openxmlformats.org/officeDocument/2006/relationships" r:embed="rId3" cstate="print"/>
        <a:srcRect/>
        <a:stretch>
          <a:fillRect/>
        </a:stretch>
      </xdr:blipFill>
      <xdr:spPr bwMode="auto">
        <a:xfrm>
          <a:off x="8353425" y="2419350"/>
          <a:ext cx="4829175" cy="2533650"/>
        </a:xfrm>
        <a:prstGeom prst="rect">
          <a:avLst/>
        </a:prstGeom>
        <a:noFill/>
      </xdr:spPr>
    </xdr:pic>
    <xdr:clientData/>
  </xdr:twoCellAnchor>
  <xdr:twoCellAnchor editAs="oneCell">
    <xdr:from>
      <xdr:col>6</xdr:col>
      <xdr:colOff>571500</xdr:colOff>
      <xdr:row>4</xdr:row>
      <xdr:rowOff>95250</xdr:rowOff>
    </xdr:from>
    <xdr:to>
      <xdr:col>6</xdr:col>
      <xdr:colOff>5819775</xdr:colOff>
      <xdr:row>13</xdr:row>
      <xdr:rowOff>76200</xdr:rowOff>
    </xdr:to>
    <xdr:pic>
      <xdr:nvPicPr>
        <xdr:cNvPr id="59396" name="Picture 4"/>
        <xdr:cNvPicPr>
          <a:picLocks noChangeAspect="1" noChangeArrowheads="1"/>
        </xdr:cNvPicPr>
      </xdr:nvPicPr>
      <xdr:blipFill>
        <a:blip xmlns:r="http://schemas.openxmlformats.org/officeDocument/2006/relationships" r:embed="rId4" cstate="print"/>
        <a:srcRect/>
        <a:stretch>
          <a:fillRect/>
        </a:stretch>
      </xdr:blipFill>
      <xdr:spPr bwMode="auto">
        <a:xfrm>
          <a:off x="8429625" y="742950"/>
          <a:ext cx="5248275" cy="1438275"/>
        </a:xfrm>
        <a:prstGeom prst="rect">
          <a:avLst/>
        </a:prstGeom>
        <a:noFill/>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om_Master_7P.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SeventhPlan/Conservation%20Analysis/Global%20EE%20Inputs/Units%20Forecasts/7P%20Forecasts%20D2.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PNLPricePerfLED.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Int_Light_Comp-7P_v1.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Overview"/>
      <sheetName val="MLIST"/>
      <sheetName val="FILES"/>
      <sheetName val="APPLIC"/>
      <sheetName val="BASE"/>
      <sheetName val="STOCK"/>
      <sheetName val="TURN"/>
      <sheetName val="ACHIEV"/>
      <sheetName val="FEAS"/>
      <sheetName val="RAMP"/>
      <sheetName val="CODE"/>
      <sheetName val="CHAR"/>
      <sheetName val="Floor"/>
      <sheetName val="Vars"/>
      <sheetName val="Labels"/>
      <sheetName val="Lookup"/>
      <sheetName val="EUI"/>
      <sheetName val="Measure Name List"/>
      <sheetName val="CBSA Data"/>
      <sheetName val="CBSA Data New"/>
      <sheetName val="BPA Taxonomy"/>
    </sheetNames>
    <definedNames>
      <definedName name="ACHIEV" refersTo="='ACHIEV'!$B$19:$Y$119"/>
      <definedName name="BLDGTYPE" refersTo="='APPLIC'!$B$11:$U$11"/>
      <definedName name="TURN" refersTo="='TURN'!$B$12:$U$95" sheetId="6"/>
    </definedNames>
    <sheetDataSet>
      <sheetData sheetId="0">
        <row r="82">
          <cell r="B82" t="str">
            <v>Contents</v>
          </cell>
        </row>
        <row r="83">
          <cell r="B83" t="str">
            <v>Overview of model structure</v>
          </cell>
        </row>
        <row r="84">
          <cell r="B84" t="str">
            <v xml:space="preserve">Update Log:  Log for updates to Draft 6th Plan Assessment </v>
          </cell>
        </row>
        <row r="85">
          <cell r="B85" t="str">
            <v>Master List of measure bundles</v>
          </cell>
        </row>
        <row r="86">
          <cell r="B86" t="str">
            <v>List and links to measure-level files. Plus housekeeping and administrative functions.</v>
          </cell>
        </row>
        <row r="87">
          <cell r="B87" t="str">
            <v>Applicability factor for the measure bundle.  Fraction of stock the measure applies to.</v>
          </cell>
        </row>
        <row r="88">
          <cell r="B88" t="str">
            <v>Baseline penetration of measure bundles.  Estimated fraction of stock where the measure is already in place.</v>
          </cell>
        </row>
        <row r="89">
          <cell r="B89" t="str">
            <v>Vintage cohort for measure bundles.</v>
          </cell>
        </row>
        <row r="90">
          <cell r="B90" t="str">
            <v>Turnover rate for stock to which measure applies.</v>
          </cell>
        </row>
        <row r="91">
          <cell r="B91" t="str">
            <v>Achievable rate of acquisition for measure bundles by year</v>
          </cell>
        </row>
        <row r="92">
          <cell r="B92" t="str">
            <v>Tables developed to estimate regional baseline penetration for various elements of energy codes by jurisdiction</v>
          </cell>
        </row>
        <row r="93">
          <cell r="B93" t="str">
            <v xml:space="preserve">Key characteristics for stock by vintage cohort and building subtype.  Used to develop regional application of measures. </v>
          </cell>
        </row>
        <row r="94">
          <cell r="B94" t="str">
            <v>Floor area forecast summary used to develop data in CHAR</v>
          </cell>
        </row>
        <row r="95">
          <cell r="B95" t="str">
            <v>List of variables and definitions used in the CHAR tab and elsewhere in the files.</v>
          </cell>
        </row>
        <row r="96">
          <cell r="B96" t="str">
            <v>Map of building types labels from different sources.</v>
          </cell>
        </row>
        <row r="97">
          <cell r="B97" t="str">
            <v>Lookup table for vintage cohort</v>
          </cell>
        </row>
        <row r="98">
          <cell r="B98" t="str">
            <v xml:space="preserve">Reference EUI from various sources including CBECS &amp; CBSA.  </v>
          </cell>
        </row>
      </sheetData>
      <sheetData sheetId="1">
        <row r="11">
          <cell r="B11" t="str">
            <v>Base Measure Name</v>
          </cell>
          <cell r="C11" t="str">
            <v>VCohort</v>
          </cell>
          <cell r="D11" t="str">
            <v>Measure Index Name</v>
          </cell>
          <cell r="E11" t="str">
            <v>Unit of Savings</v>
          </cell>
          <cell r="F11" t="str">
            <v>Measure Bundle Description</v>
          </cell>
          <cell r="G11" t="str">
            <v>Number of Measures in Bundle</v>
          </cell>
          <cell r="H11" t="str">
            <v>Descriptive Name</v>
          </cell>
          <cell r="I11" t="str">
            <v>Segment</v>
          </cell>
          <cell r="J11" t="str">
            <v>Savings Sources</v>
          </cell>
          <cell r="K11" t="str">
            <v>7P Technical Savings (aMW)</v>
          </cell>
          <cell r="L11" t="str">
            <v>Baseline</v>
          </cell>
          <cell r="M11" t="str">
            <v>Baseline Saturation</v>
          </cell>
          <cell r="N11" t="str">
            <v>Baseline Notes</v>
          </cell>
          <cell r="O11" t="str">
            <v>Cost Source</v>
          </cell>
          <cell r="P11" t="str">
            <v>Cost Notes</v>
          </cell>
          <cell r="Q11" t="str">
            <v>New from 6P</v>
          </cell>
          <cell r="R11" t="str">
            <v>6P Vintage</v>
          </cell>
          <cell r="S11" t="str">
            <v>Status</v>
          </cell>
          <cell r="T11" t="str">
            <v>Status notes</v>
          </cell>
          <cell r="U11" t="str">
            <v>Category</v>
          </cell>
        </row>
        <row r="12">
          <cell r="B12" t="str">
            <v>Compressed Air</v>
          </cell>
          <cell r="C12" t="str">
            <v>Retro</v>
          </cell>
          <cell r="D12" t="str">
            <v>Compressed Air-Retro</v>
          </cell>
          <cell r="E12" t="str">
            <v>kWh per HP BT</v>
          </cell>
          <cell r="F12" t="str">
            <v>Compressed Air Controls</v>
          </cell>
          <cell r="G12">
            <v>1</v>
          </cell>
          <cell r="H12" t="str">
            <v>Compressed Air Controls</v>
          </cell>
          <cell r="I12" t="str">
            <v>Some</v>
          </cell>
          <cell r="L12" t="str">
            <v>CBSA 2014</v>
          </cell>
          <cell r="Q12" t="str">
            <v>x</v>
          </cell>
          <cell r="R12" t="str">
            <v>N/A</v>
          </cell>
          <cell r="U12" t="str">
            <v>Compressed Air System Controls</v>
          </cell>
        </row>
        <row r="13">
          <cell r="B13" t="str">
            <v>Compressed Air</v>
          </cell>
          <cell r="C13" t="str">
            <v>NR</v>
          </cell>
          <cell r="D13" t="str">
            <v>Compressed Air-NR</v>
          </cell>
          <cell r="E13" t="str">
            <v>kWh per HP BT</v>
          </cell>
          <cell r="F13" t="str">
            <v>Compressed Air Improvements</v>
          </cell>
          <cell r="G13">
            <v>1</v>
          </cell>
          <cell r="H13" t="str">
            <v>Compressed Air Improvements</v>
          </cell>
          <cell r="I13" t="str">
            <v>Some</v>
          </cell>
          <cell r="L13" t="str">
            <v>CBSA 2014</v>
          </cell>
          <cell r="Q13" t="str">
            <v>x</v>
          </cell>
          <cell r="R13" t="str">
            <v>N/A</v>
          </cell>
          <cell r="U13" t="str">
            <v>Compressed Air System Improvements</v>
          </cell>
        </row>
        <row r="14">
          <cell r="B14" t="str">
            <v>Network PC Power Management</v>
          </cell>
          <cell r="C14" t="str">
            <v>Retro</v>
          </cell>
          <cell r="D14" t="str">
            <v>Network PC Power Management-Retro</v>
          </cell>
          <cell r="E14" t="str">
            <v>Count</v>
          </cell>
          <cell r="F14" t="str">
            <v>Control of a networked computer's advanced energy management systems</v>
          </cell>
          <cell r="G14">
            <v>1</v>
          </cell>
          <cell r="H14" t="str">
            <v>Network PC Power Management</v>
          </cell>
          <cell r="I14" t="str">
            <v>All</v>
          </cell>
          <cell r="L14" t="str">
            <v>CBSA 2014</v>
          </cell>
          <cell r="R14" t="str">
            <v>N/A</v>
          </cell>
          <cell r="U14" t="str">
            <v>Computer Technologies</v>
          </cell>
        </row>
        <row r="15">
          <cell r="B15" t="str">
            <v>Laptop</v>
          </cell>
          <cell r="C15" t="str">
            <v>NR</v>
          </cell>
          <cell r="D15" t="str">
            <v>Laptop-NR</v>
          </cell>
          <cell r="E15" t="str">
            <v>Count</v>
          </cell>
          <cell r="F15" t="str">
            <v>ENERGY STAR Laptops</v>
          </cell>
          <cell r="G15">
            <v>1</v>
          </cell>
          <cell r="H15" t="str">
            <v>ENERGY STAR Laptops</v>
          </cell>
          <cell r="I15" t="str">
            <v>All</v>
          </cell>
          <cell r="L15" t="str">
            <v>CBSA 2014</v>
          </cell>
          <cell r="R15" t="str">
            <v>N/A</v>
          </cell>
          <cell r="U15" t="str">
            <v>Computer Technologies</v>
          </cell>
        </row>
        <row r="16">
          <cell r="B16" t="str">
            <v>Smart Plug Power Strips</v>
          </cell>
          <cell r="C16" t="str">
            <v>Retro</v>
          </cell>
          <cell r="D16" t="str">
            <v>Smart Plug Power Strips-Retro</v>
          </cell>
          <cell r="E16" t="str">
            <v>Count</v>
          </cell>
          <cell r="F16" t="str">
            <v>Smart Plug Power Strips</v>
          </cell>
          <cell r="G16">
            <v>1</v>
          </cell>
          <cell r="H16" t="str">
            <v>Smart Plug Power Strips</v>
          </cell>
          <cell r="I16" t="str">
            <v>All</v>
          </cell>
          <cell r="L16" t="str">
            <v>CBSA 2014</v>
          </cell>
          <cell r="Q16" t="str">
            <v>x</v>
          </cell>
          <cell r="R16" t="str">
            <v>N/A</v>
          </cell>
          <cell r="U16" t="str">
            <v xml:space="preserve">Plug Load </v>
          </cell>
        </row>
        <row r="17">
          <cell r="B17" t="str">
            <v>Data Centers</v>
          </cell>
          <cell r="C17" t="str">
            <v>NR</v>
          </cell>
          <cell r="D17" t="str">
            <v>Data Centers-NR</v>
          </cell>
          <cell r="E17" t="str">
            <v>Count</v>
          </cell>
          <cell r="F17" t="str">
            <v xml:space="preserve">Data Centers; Virtualization, efficient servers, network gear, power supplies, and other measures at NR </v>
          </cell>
          <cell r="G17">
            <v>22</v>
          </cell>
          <cell r="H17" t="str">
            <v>Data Centers</v>
          </cell>
          <cell r="I17" t="str">
            <v>All</v>
          </cell>
          <cell r="L17" t="str">
            <v>CBSA 2014</v>
          </cell>
          <cell r="Q17" t="str">
            <v>x</v>
          </cell>
          <cell r="R17" t="str">
            <v>N/A</v>
          </cell>
          <cell r="U17" t="str">
            <v>Computer Technologies</v>
          </cell>
        </row>
        <row r="18">
          <cell r="B18" t="str">
            <v>Monitor</v>
          </cell>
          <cell r="C18" t="str">
            <v>NR</v>
          </cell>
          <cell r="D18" t="str">
            <v>Monitor-NR</v>
          </cell>
          <cell r="E18" t="str">
            <v>Count</v>
          </cell>
          <cell r="F18" t="str">
            <v>Commercial Computer Monitor</v>
          </cell>
          <cell r="G18">
            <v>1</v>
          </cell>
          <cell r="H18" t="str">
            <v>ENERGY STAR Monitor</v>
          </cell>
          <cell r="I18" t="str">
            <v>All</v>
          </cell>
          <cell r="L18" t="str">
            <v>Std Monitor</v>
          </cell>
          <cell r="R18" t="str">
            <v>N/A</v>
          </cell>
          <cell r="U18" t="str">
            <v>Computer Technologies</v>
          </cell>
        </row>
        <row r="19">
          <cell r="B19" t="str">
            <v>Desktop</v>
          </cell>
          <cell r="C19" t="str">
            <v>NR</v>
          </cell>
          <cell r="D19" t="str">
            <v>Desktop-NR</v>
          </cell>
          <cell r="E19" t="str">
            <v>Count</v>
          </cell>
          <cell r="F19" t="str">
            <v>Commercial Computer Desktop</v>
          </cell>
          <cell r="G19">
            <v>1</v>
          </cell>
          <cell r="H19" t="str">
            <v>ENERGY STAR Desktop</v>
          </cell>
          <cell r="I19" t="str">
            <v>All</v>
          </cell>
          <cell r="L19" t="str">
            <v>Std Computer</v>
          </cell>
          <cell r="R19" t="str">
            <v>N/A</v>
          </cell>
          <cell r="U19" t="str">
            <v>Computer Technologies</v>
          </cell>
        </row>
        <row r="20">
          <cell r="B20" t="str">
            <v>Pre-Rinse Spray Valve</v>
          </cell>
          <cell r="C20" t="str">
            <v>Retro</v>
          </cell>
          <cell r="D20" t="str">
            <v>Pre-Rinse Spray Valve-Retro</v>
          </cell>
          <cell r="E20" t="str">
            <v>Count</v>
          </cell>
          <cell r="F20" t="str">
            <v>Low-flow pre-rinse spray valves for restaurant kitchens, cafeterias, and food-serving</v>
          </cell>
          <cell r="G20">
            <v>1</v>
          </cell>
          <cell r="H20" t="str">
            <v>Pre-Rinse Spray Valve</v>
          </cell>
          <cell r="I20" t="str">
            <v>Some</v>
          </cell>
          <cell r="L20" t="str">
            <v>CBSA 2014</v>
          </cell>
          <cell r="R20" t="str">
            <v>N/A</v>
          </cell>
          <cell r="U20" t="str">
            <v>Water Using Devices</v>
          </cell>
        </row>
        <row r="21">
          <cell r="B21" t="str">
            <v>Cooking Equipment</v>
          </cell>
          <cell r="C21" t="str">
            <v>NR</v>
          </cell>
          <cell r="D21" t="str">
            <v>Cooking Equipment-NR</v>
          </cell>
          <cell r="E21" t="str">
            <v>Count</v>
          </cell>
          <cell r="F21" t="str">
            <v>Efficient cooking equipment such as hot food holders, steamers and ovens</v>
          </cell>
          <cell r="G21">
            <v>4</v>
          </cell>
          <cell r="H21" t="str">
            <v>Cooking Equipment</v>
          </cell>
          <cell r="I21" t="str">
            <v>All</v>
          </cell>
          <cell r="L21" t="str">
            <v>CBSA 2014</v>
          </cell>
          <cell r="R21" t="str">
            <v>N/A</v>
          </cell>
          <cell r="U21" t="str">
            <v>Cooking</v>
          </cell>
        </row>
        <row r="22">
          <cell r="B22" t="str">
            <v>Premium HVAC Equipment</v>
          </cell>
          <cell r="C22" t="str">
            <v>New</v>
          </cell>
          <cell r="D22" t="str">
            <v>Premium HVAC Equipment-New</v>
          </cell>
          <cell r="E22" t="str">
            <v>kWh per KSF BT</v>
          </cell>
          <cell r="F22" t="str">
            <v>HVAC equipment more efficient than applicable code or standard practice</v>
          </cell>
          <cell r="G22">
            <v>4</v>
          </cell>
          <cell r="H22" t="str">
            <v>Premium HVAC Equipment</v>
          </cell>
          <cell r="I22" t="str">
            <v>All</v>
          </cell>
          <cell r="L22" t="str">
            <v>CBSA 2014</v>
          </cell>
          <cell r="R22" t="str">
            <v>PRE/POST 2006</v>
          </cell>
          <cell r="U22" t="str">
            <v>HVAC System Improvements</v>
          </cell>
        </row>
        <row r="23">
          <cell r="B23" t="str">
            <v>Premium HVAC Equipment</v>
          </cell>
          <cell r="C23" t="str">
            <v>NR</v>
          </cell>
          <cell r="D23" t="str">
            <v>Premium HVAC Equipment-NR</v>
          </cell>
          <cell r="E23" t="str">
            <v>kWh per KSF BT</v>
          </cell>
          <cell r="F23" t="str">
            <v>HVAC equipment more efficient than applicable code or standard practice</v>
          </cell>
          <cell r="G23">
            <v>4</v>
          </cell>
          <cell r="H23" t="str">
            <v>Premium HVAC Equipment</v>
          </cell>
          <cell r="I23" t="str">
            <v>All</v>
          </cell>
          <cell r="L23" t="str">
            <v>CBSA 2014</v>
          </cell>
          <cell r="R23" t="str">
            <v>PRE/POST 2006</v>
          </cell>
          <cell r="U23" t="str">
            <v>HVAC System Improvements</v>
          </cell>
        </row>
        <row r="24">
          <cell r="B24" t="str">
            <v>Glass</v>
          </cell>
          <cell r="C24" t="str">
            <v>New</v>
          </cell>
          <cell r="D24" t="str">
            <v>Glass-New</v>
          </cell>
          <cell r="E24" t="str">
            <v>kWh per KSF BT</v>
          </cell>
          <cell r="F24" t="str">
            <v>Windows and glazing more efficiecnt that code or standard practice</v>
          </cell>
          <cell r="G24">
            <v>39</v>
          </cell>
          <cell r="H24" t="str">
            <v>Windows</v>
          </cell>
          <cell r="I24" t="str">
            <v>All</v>
          </cell>
          <cell r="L24" t="str">
            <v>CBSA 2014</v>
          </cell>
          <cell r="R24" t="str">
            <v>PRE1987/PRE2002/POST2006</v>
          </cell>
          <cell r="U24" t="str">
            <v>Envelope</v>
          </cell>
        </row>
        <row r="25">
          <cell r="B25" t="str">
            <v>Glass</v>
          </cell>
          <cell r="C25" t="str">
            <v>NR</v>
          </cell>
          <cell r="D25" t="str">
            <v>Glass-NR</v>
          </cell>
          <cell r="E25" t="str">
            <v>kWh per KSF BT</v>
          </cell>
          <cell r="F25" t="str">
            <v>Windows and glazing more efficiecnt that code or standard practice</v>
          </cell>
          <cell r="G25">
            <v>39</v>
          </cell>
          <cell r="H25" t="str">
            <v>Windows</v>
          </cell>
          <cell r="I25" t="str">
            <v>All</v>
          </cell>
          <cell r="L25" t="str">
            <v>CBSA 2014</v>
          </cell>
          <cell r="R25" t="str">
            <v>PRE1987/PRE2002/POST2007</v>
          </cell>
          <cell r="U25" t="str">
            <v>Envelope</v>
          </cell>
        </row>
        <row r="26">
          <cell r="B26" t="str">
            <v>Glass</v>
          </cell>
          <cell r="C26" t="str">
            <v>Retro</v>
          </cell>
          <cell r="D26" t="str">
            <v>Glass-Retro</v>
          </cell>
          <cell r="E26" t="str">
            <v>kWh per KSF BT</v>
          </cell>
          <cell r="F26" t="str">
            <v>Windows and glazing more efficiecnt that code or standard practice</v>
          </cell>
          <cell r="G26">
            <v>3</v>
          </cell>
          <cell r="H26" t="str">
            <v>Windows</v>
          </cell>
          <cell r="I26" t="str">
            <v>All</v>
          </cell>
          <cell r="L26" t="str">
            <v>CBSA 2014</v>
          </cell>
          <cell r="R26" t="str">
            <v>PRE1987/PRE2002/POST2008</v>
          </cell>
          <cell r="U26" t="str">
            <v>Envelope</v>
          </cell>
        </row>
        <row r="27">
          <cell r="B27" t="str">
            <v>Advanced Rooftop Controller</v>
          </cell>
          <cell r="C27" t="str">
            <v>New</v>
          </cell>
          <cell r="D27" t="str">
            <v>Advanced Rooftop Controller-New</v>
          </cell>
          <cell r="E27" t="str">
            <v>kWh per KSF BT</v>
          </cell>
          <cell r="F27" t="str">
            <v>Suite of measures and control strategies for buildings served by package roof top HVAC units</v>
          </cell>
          <cell r="G27">
            <v>3</v>
          </cell>
          <cell r="H27" t="str">
            <v>Advanced Rooftop Controller</v>
          </cell>
          <cell r="I27" t="str">
            <v>Most</v>
          </cell>
          <cell r="L27" t="str">
            <v>CBSA 2014</v>
          </cell>
          <cell r="R27" t="str">
            <v>PRE/POST 2006</v>
          </cell>
          <cell r="U27" t="str">
            <v>HVAC System Improvements</v>
          </cell>
        </row>
        <row r="28">
          <cell r="B28" t="str">
            <v>Advanced Rooftop Controller</v>
          </cell>
          <cell r="C28" t="str">
            <v>NR</v>
          </cell>
          <cell r="D28" t="str">
            <v>Advanced Rooftop Controller-NR</v>
          </cell>
          <cell r="E28" t="str">
            <v>kWh per KSF BT</v>
          </cell>
          <cell r="F28" t="str">
            <v>Suite of measures and control strategies for buildings served by package roof top HVAC units</v>
          </cell>
          <cell r="G28">
            <v>2</v>
          </cell>
          <cell r="H28" t="str">
            <v>Advanced Rooftop Controller</v>
          </cell>
          <cell r="I28" t="str">
            <v>Most</v>
          </cell>
          <cell r="L28" t="str">
            <v>CBSA 2014</v>
          </cell>
          <cell r="R28" t="str">
            <v>PRE/POST 2006</v>
          </cell>
          <cell r="U28" t="str">
            <v>HVAC System Improvements</v>
          </cell>
        </row>
        <row r="29">
          <cell r="B29" t="str">
            <v>Advanced Rooftop Controller</v>
          </cell>
          <cell r="C29" t="str">
            <v>Retro</v>
          </cell>
          <cell r="D29" t="str">
            <v>Advanced Rooftop Controller-Retro</v>
          </cell>
          <cell r="E29" t="str">
            <v>kWh per KSF BT</v>
          </cell>
          <cell r="F29" t="str">
            <v>Suite of measures and control strategies for buildings served by package roof top HVAC units</v>
          </cell>
          <cell r="G29">
            <v>3</v>
          </cell>
          <cell r="H29" t="str">
            <v>Advanced Rooftop Controller</v>
          </cell>
          <cell r="I29" t="str">
            <v>Most</v>
          </cell>
          <cell r="L29" t="str">
            <v>CBSA 2014</v>
          </cell>
          <cell r="R29" t="str">
            <v>PRE/POST 2006</v>
          </cell>
          <cell r="U29" t="str">
            <v>HVAC System Improvements</v>
          </cell>
        </row>
        <row r="30">
          <cell r="B30" t="str">
            <v>Variable Speed Chiller</v>
          </cell>
          <cell r="C30" t="str">
            <v>New</v>
          </cell>
          <cell r="D30" t="str">
            <v>Variable Speed Chiller-New</v>
          </cell>
          <cell r="E30" t="str">
            <v>kWh per KSF BT</v>
          </cell>
          <cell r="F30" t="str">
            <v>Variable speed chillers</v>
          </cell>
          <cell r="G30">
            <v>1</v>
          </cell>
          <cell r="H30" t="str">
            <v>Variable Speed Chiller</v>
          </cell>
          <cell r="I30" t="str">
            <v>Some</v>
          </cell>
          <cell r="L30" t="str">
            <v>CBSA 2014</v>
          </cell>
          <cell r="R30" t="str">
            <v>PRE/POST 2006</v>
          </cell>
          <cell r="U30" t="str">
            <v>Envelope</v>
          </cell>
        </row>
        <row r="31">
          <cell r="B31" t="str">
            <v>Variable Speed Chiller</v>
          </cell>
          <cell r="C31" t="str">
            <v>NR</v>
          </cell>
          <cell r="D31" t="str">
            <v>Variable Speed Chiller-NR</v>
          </cell>
          <cell r="E31" t="str">
            <v>kWh per KSF BT</v>
          </cell>
          <cell r="F31" t="str">
            <v>Variable speed chillers</v>
          </cell>
          <cell r="G31">
            <v>1</v>
          </cell>
          <cell r="H31" t="str">
            <v>Variable Speed Chiller</v>
          </cell>
          <cell r="I31" t="str">
            <v>Some</v>
          </cell>
          <cell r="L31" t="str">
            <v>CBSA 2014</v>
          </cell>
          <cell r="R31" t="str">
            <v>PRE/POST 2006</v>
          </cell>
          <cell r="U31" t="str">
            <v>Envelope</v>
          </cell>
        </row>
        <row r="32">
          <cell r="B32" t="str">
            <v>Commercial EM</v>
          </cell>
          <cell r="C32" t="str">
            <v>New</v>
          </cell>
          <cell r="D32" t="str">
            <v>Commercial EM-New</v>
          </cell>
          <cell r="E32" t="str">
            <v>kWh per KSF BT</v>
          </cell>
          <cell r="F32" t="str">
            <v>Commercial Energy Management</v>
          </cell>
          <cell r="G32">
            <v>1</v>
          </cell>
          <cell r="H32" t="str">
            <v>Commercial Energy Management For Complex systems</v>
          </cell>
          <cell r="I32" t="str">
            <v>All</v>
          </cell>
          <cell r="L32" t="str">
            <v>CBSA 2014</v>
          </cell>
          <cell r="R32" t="str">
            <v>PRE/POST 2006</v>
          </cell>
          <cell r="U32" t="str">
            <v>Whole Bldg/Meter Level System Improvements</v>
          </cell>
        </row>
        <row r="33">
          <cell r="B33" t="str">
            <v>Commercial EM</v>
          </cell>
          <cell r="C33" t="str">
            <v>NR</v>
          </cell>
          <cell r="D33" t="str">
            <v>Commercial EM-NR</v>
          </cell>
          <cell r="E33" t="str">
            <v>kWh per KSF BT</v>
          </cell>
          <cell r="F33" t="str">
            <v>Commercial Energy Management</v>
          </cell>
          <cell r="G33">
            <v>1</v>
          </cell>
          <cell r="H33" t="str">
            <v>Commercial Energy Management For Complex systems</v>
          </cell>
          <cell r="I33" t="str">
            <v>All</v>
          </cell>
          <cell r="L33" t="str">
            <v>CBSA 2014</v>
          </cell>
          <cell r="R33" t="str">
            <v>PRE/POST 2006</v>
          </cell>
          <cell r="U33" t="str">
            <v>Whole Bldg/Meter Level System Improvements</v>
          </cell>
        </row>
        <row r="34">
          <cell r="B34" t="str">
            <v>Commercial EM</v>
          </cell>
          <cell r="C34" t="str">
            <v>Retro</v>
          </cell>
          <cell r="D34" t="str">
            <v>Commercial EM-Retro</v>
          </cell>
          <cell r="E34" t="str">
            <v>kWh per KSF BT</v>
          </cell>
          <cell r="F34" t="str">
            <v>Commercial Energy Management</v>
          </cell>
          <cell r="G34">
            <v>20</v>
          </cell>
          <cell r="H34" t="str">
            <v>Commercial Energy Management For Complex systems</v>
          </cell>
          <cell r="I34" t="str">
            <v>All</v>
          </cell>
          <cell r="L34" t="str">
            <v>CBSA 2014</v>
          </cell>
          <cell r="R34" t="str">
            <v>PRE/POST 2006</v>
          </cell>
          <cell r="U34" t="str">
            <v>Whole Bldg/Meter Level System Improvements</v>
          </cell>
        </row>
        <row r="35">
          <cell r="B35" t="str">
            <v>Evaporative Assist Cooling</v>
          </cell>
          <cell r="C35" t="str">
            <v>New</v>
          </cell>
          <cell r="D35" t="str">
            <v>Evaporative Assist Cooling-New</v>
          </cell>
          <cell r="E35" t="str">
            <v>kWh per KSF BT</v>
          </cell>
          <cell r="F35" t="str">
            <v>Evaporative Assist Cooling</v>
          </cell>
          <cell r="G35">
            <v>1</v>
          </cell>
          <cell r="H35" t="str">
            <v>Evaporative Assist Cooling</v>
          </cell>
          <cell r="I35" t="str">
            <v>Some</v>
          </cell>
          <cell r="L35" t="str">
            <v>CBSA 2014</v>
          </cell>
          <cell r="R35" t="str">
            <v>PRE/POST 2006</v>
          </cell>
          <cell r="U35" t="str">
            <v>HVAC System Improvements</v>
          </cell>
        </row>
        <row r="36">
          <cell r="B36" t="str">
            <v>Evaporative Assist Cooling</v>
          </cell>
          <cell r="C36" t="str">
            <v>NR</v>
          </cell>
          <cell r="D36" t="str">
            <v>Evaporative Assist Cooling-NR</v>
          </cell>
          <cell r="E36" t="str">
            <v>kWh per KSF BT</v>
          </cell>
          <cell r="F36" t="str">
            <v>Evaporative Assist Cooling</v>
          </cell>
          <cell r="G36">
            <v>1</v>
          </cell>
          <cell r="H36" t="str">
            <v>Evaporative Assist Cooling</v>
          </cell>
          <cell r="I36" t="str">
            <v>Some</v>
          </cell>
          <cell r="L36" t="str">
            <v>CBSA 2014</v>
          </cell>
          <cell r="R36" t="str">
            <v>PRE/POST 2006</v>
          </cell>
          <cell r="U36" t="str">
            <v>HVAC System Improvements</v>
          </cell>
        </row>
        <row r="37">
          <cell r="B37" t="str">
            <v>Economizer</v>
          </cell>
          <cell r="C37" t="str">
            <v>Retro</v>
          </cell>
          <cell r="D37" t="str">
            <v>Economizer-Retro</v>
          </cell>
          <cell r="E37" t="str">
            <v>kWh per KSF BT</v>
          </cell>
          <cell r="F37" t="str">
            <v>Economizer Improvements</v>
          </cell>
          <cell r="G37">
            <v>2</v>
          </cell>
          <cell r="H37" t="str">
            <v>Economizer maintenance and repair</v>
          </cell>
          <cell r="I37" t="str">
            <v>Some</v>
          </cell>
          <cell r="L37" t="str">
            <v>CBSA 2014</v>
          </cell>
          <cell r="R37" t="str">
            <v>POST 2006</v>
          </cell>
          <cell r="U37" t="str">
            <v>HVAC System Improvements</v>
          </cell>
        </row>
        <row r="38">
          <cell r="B38" t="str">
            <v>Demand Control Ventilation</v>
          </cell>
          <cell r="C38" t="str">
            <v>New</v>
          </cell>
          <cell r="D38" t="str">
            <v>Demand Control Ventilation-New</v>
          </cell>
          <cell r="E38" t="str">
            <v>kWh per KSF BT</v>
          </cell>
          <cell r="F38" t="str">
            <v>Fan control strategies, DCV and Fleet Strategy DOAS with heat recovery in simple HVAC systems</v>
          </cell>
          <cell r="G38">
            <v>2</v>
          </cell>
          <cell r="H38" t="str">
            <v>Demand Control Ventilation</v>
          </cell>
          <cell r="I38" t="str">
            <v>All</v>
          </cell>
          <cell r="L38" t="str">
            <v>CBSA 2014</v>
          </cell>
          <cell r="R38" t="str">
            <v>PRE/POST 2006</v>
          </cell>
          <cell r="U38" t="str">
            <v>HVAC System Controls</v>
          </cell>
        </row>
        <row r="39">
          <cell r="B39" t="str">
            <v>Demand Control Ventilation</v>
          </cell>
          <cell r="C39" t="str">
            <v>NR</v>
          </cell>
          <cell r="D39" t="str">
            <v>Demand Control Ventilation-NR</v>
          </cell>
          <cell r="E39" t="str">
            <v>kWh per KSF BT</v>
          </cell>
          <cell r="F39" t="str">
            <v>Fan control strategies, DCV and Fleet Strategy DOAS with heat recovery in simple HVAC systems</v>
          </cell>
          <cell r="G39">
            <v>1</v>
          </cell>
          <cell r="H39" t="str">
            <v>Demand Control Ventilation</v>
          </cell>
          <cell r="I39" t="str">
            <v>All</v>
          </cell>
          <cell r="L39" t="str">
            <v>CBSA 2014</v>
          </cell>
          <cell r="R39" t="str">
            <v>PRE/POST 2006</v>
          </cell>
          <cell r="U39" t="str">
            <v>HVAC System Controls</v>
          </cell>
        </row>
        <row r="40">
          <cell r="B40" t="str">
            <v>Demand Control Ventilation</v>
          </cell>
          <cell r="C40" t="str">
            <v>Retro</v>
          </cell>
          <cell r="D40" t="str">
            <v>Demand Control Ventilation-Retro</v>
          </cell>
          <cell r="E40" t="str">
            <v>kWh per KSF BT</v>
          </cell>
          <cell r="F40" t="str">
            <v>Fan control strategies, DCV and Fleet Strategy DOAS with heat recovery in simple HVAC systems</v>
          </cell>
          <cell r="G40">
            <v>2</v>
          </cell>
          <cell r="H40" t="str">
            <v>Demand Control Ventilation</v>
          </cell>
          <cell r="I40" t="str">
            <v>All</v>
          </cell>
          <cell r="L40" t="str">
            <v>CBSA 2014</v>
          </cell>
          <cell r="R40" t="str">
            <v>PRE/POST 2006</v>
          </cell>
          <cell r="U40" t="str">
            <v>HVAC System Controls</v>
          </cell>
        </row>
        <row r="41">
          <cell r="B41" t="str">
            <v>Premium Fume Hood</v>
          </cell>
          <cell r="C41" t="str">
            <v>NR</v>
          </cell>
          <cell r="D41" t="str">
            <v>Premium Fume Hood-NR</v>
          </cell>
          <cell r="E41" t="str">
            <v>Count</v>
          </cell>
          <cell r="F41" t="str">
            <v>Effiicient fume hoods in labs</v>
          </cell>
          <cell r="G41">
            <v>1</v>
          </cell>
          <cell r="H41" t="str">
            <v>Premium Fume Hood</v>
          </cell>
          <cell r="I41" t="str">
            <v>Some</v>
          </cell>
          <cell r="L41" t="str">
            <v>CBSA 2014</v>
          </cell>
          <cell r="R41" t="str">
            <v>N/A</v>
          </cell>
          <cell r="U41" t="str">
            <v>Pumps and Fans</v>
          </cell>
        </row>
        <row r="42">
          <cell r="B42" t="str">
            <v>DCV Restaurant Hood</v>
          </cell>
          <cell r="C42" t="str">
            <v>Retro</v>
          </cell>
          <cell r="D42" t="str">
            <v>DCV Restaurant Hood-Retro</v>
          </cell>
          <cell r="E42" t="str">
            <v>Count</v>
          </cell>
          <cell r="F42" t="str">
            <v>Demand control ventilation systems for large restaurant hoods</v>
          </cell>
          <cell r="G42">
            <v>1</v>
          </cell>
          <cell r="H42" t="str">
            <v>DCV Restaurant Hood</v>
          </cell>
          <cell r="I42" t="str">
            <v>Restaurant</v>
          </cell>
          <cell r="L42" t="str">
            <v>CBSA 2014</v>
          </cell>
          <cell r="R42" t="str">
            <v>N/A</v>
          </cell>
          <cell r="U42" t="str">
            <v>Pumps and Fans</v>
          </cell>
        </row>
        <row r="43">
          <cell r="B43" t="str">
            <v>DCV Parking Garage</v>
          </cell>
          <cell r="C43" t="str">
            <v>Retro</v>
          </cell>
          <cell r="D43" t="str">
            <v>DCV Parking Garage-Retro</v>
          </cell>
          <cell r="E43" t="str">
            <v>kWh per kSF BT</v>
          </cell>
          <cell r="F43" t="str">
            <v>Demand control ventilation systems for parking garages</v>
          </cell>
          <cell r="G43">
            <v>1</v>
          </cell>
          <cell r="H43" t="str">
            <v>DCV Parking Garage</v>
          </cell>
          <cell r="I43" t="str">
            <v>All</v>
          </cell>
          <cell r="L43" t="str">
            <v>CBSA 2014</v>
          </cell>
          <cell r="Q43" t="str">
            <v>x</v>
          </cell>
          <cell r="R43" t="str">
            <v>N/A</v>
          </cell>
          <cell r="U43" t="str">
            <v>Pumps and Fans</v>
          </cell>
        </row>
        <row r="44">
          <cell r="B44" t="str">
            <v>Weatherization - School</v>
          </cell>
          <cell r="C44" t="str">
            <v>Retro</v>
          </cell>
          <cell r="D44" t="str">
            <v>Weatherization - School-Retro</v>
          </cell>
          <cell r="E44" t="str">
            <v>kWh per KSF BT</v>
          </cell>
          <cell r="F44" t="str">
            <v>School building weatherization</v>
          </cell>
          <cell r="G44">
            <v>1</v>
          </cell>
          <cell r="H44" t="str">
            <v>Weatherization - School</v>
          </cell>
          <cell r="I44" t="str">
            <v>K-12</v>
          </cell>
          <cell r="L44" t="str">
            <v>CBSA 2014</v>
          </cell>
          <cell r="Q44" t="str">
            <v>x</v>
          </cell>
          <cell r="R44" t="str">
            <v>N/A</v>
          </cell>
          <cell r="U44" t="str">
            <v>Envelope</v>
          </cell>
        </row>
        <row r="45">
          <cell r="B45" t="str">
            <v>Energy Recovery Ventilator</v>
          </cell>
          <cell r="C45" t="str">
            <v>NR</v>
          </cell>
          <cell r="D45" t="str">
            <v>Energy Recovery Ventilator-NR</v>
          </cell>
          <cell r="E45" t="str">
            <v>Count</v>
          </cell>
          <cell r="F45" t="str">
            <v>Heat Recovery Ventilation</v>
          </cell>
          <cell r="G45">
            <v>1</v>
          </cell>
          <cell r="H45" t="str">
            <v>Heat Recovery Ventilation</v>
          </cell>
          <cell r="I45" t="str">
            <v>All</v>
          </cell>
          <cell r="L45" t="str">
            <v>CBSA 20154</v>
          </cell>
          <cell r="R45" t="str">
            <v>N/A</v>
          </cell>
          <cell r="U45" t="str">
            <v>Computer Technologies</v>
          </cell>
        </row>
        <row r="46">
          <cell r="B46" t="str">
            <v>AC Heat Recovery for Water Heating</v>
          </cell>
          <cell r="C46" t="str">
            <v>NR</v>
          </cell>
          <cell r="D46" t="str">
            <v>AC Heat Recovery for Water Heating-NR</v>
          </cell>
          <cell r="E46" t="str">
            <v>Count</v>
          </cell>
          <cell r="F46" t="str">
            <v>AC Heat Recovery for Water Heating</v>
          </cell>
          <cell r="G46">
            <v>1</v>
          </cell>
          <cell r="H46" t="str">
            <v>AC Heat Recovery for Water Heating</v>
          </cell>
          <cell r="I46" t="str">
            <v>All</v>
          </cell>
          <cell r="L46" t="str">
            <v>CBSA 2014</v>
          </cell>
          <cell r="Q46" t="str">
            <v>x</v>
          </cell>
          <cell r="R46" t="str">
            <v>N/A</v>
          </cell>
          <cell r="U46" t="str">
            <v>Heat Recovery</v>
          </cell>
        </row>
        <row r="47">
          <cell r="B47" t="str">
            <v>Room Occupancy Sensors in Lodging</v>
          </cell>
          <cell r="C47" t="str">
            <v>Retro</v>
          </cell>
          <cell r="D47" t="str">
            <v>Room Occupancy Sensors in Lodging-Retro</v>
          </cell>
          <cell r="E47" t="str">
            <v>Count</v>
          </cell>
          <cell r="F47" t="str">
            <v>Room Occupancy Sensors in Lodging</v>
          </cell>
          <cell r="G47">
            <v>1</v>
          </cell>
          <cell r="H47" t="str">
            <v>Room Occupancy Sensors in Lodging</v>
          </cell>
          <cell r="I47" t="str">
            <v>Lodging</v>
          </cell>
          <cell r="L47" t="str">
            <v>CBSA 2014</v>
          </cell>
          <cell r="Q47" t="str">
            <v>x</v>
          </cell>
          <cell r="R47" t="str">
            <v>N/A</v>
          </cell>
          <cell r="U47" t="str">
            <v>Whole Bldg/Meter Level System Improvements</v>
          </cell>
        </row>
        <row r="48">
          <cell r="B48" t="str">
            <v>Chiller - chilled water retrofit</v>
          </cell>
          <cell r="C48" t="str">
            <v>Retro</v>
          </cell>
          <cell r="D48" t="str">
            <v>Chiller - chilled water retrofit-Retro</v>
          </cell>
          <cell r="E48" t="str">
            <v>kWh per KSF BT</v>
          </cell>
          <cell r="F48" t="str">
            <v>Chiller system improvements</v>
          </cell>
          <cell r="G48">
            <v>1</v>
          </cell>
          <cell r="H48" t="str">
            <v>Chiller - chilled water retrofit</v>
          </cell>
          <cell r="I48" t="str">
            <v>Some</v>
          </cell>
          <cell r="L48" t="str">
            <v>CBSA 2014</v>
          </cell>
          <cell r="Q48" t="str">
            <v>x</v>
          </cell>
          <cell r="R48" t="str">
            <v>N/A</v>
          </cell>
          <cell r="U48" t="str">
            <v>HVAC System Improvements</v>
          </cell>
        </row>
        <row r="49">
          <cell r="B49" t="str">
            <v>Chiller - equip retrofits</v>
          </cell>
          <cell r="C49" t="str">
            <v>Retro</v>
          </cell>
          <cell r="D49" t="str">
            <v>Chiller - equip retrofits-Retro</v>
          </cell>
          <cell r="E49" t="str">
            <v>kWh per KSF BT</v>
          </cell>
          <cell r="F49" t="str">
            <v>Chiller equipment improvements</v>
          </cell>
          <cell r="G49">
            <v>1</v>
          </cell>
          <cell r="H49" t="str">
            <v>Chiller - equip retrofits</v>
          </cell>
          <cell r="I49" t="str">
            <v>Some</v>
          </cell>
          <cell r="L49" t="str">
            <v>CBSA 2014</v>
          </cell>
          <cell r="Q49" t="str">
            <v>x</v>
          </cell>
          <cell r="R49" t="str">
            <v>N/A</v>
          </cell>
          <cell r="U49" t="str">
            <v>HVAC System Improvements</v>
          </cell>
        </row>
        <row r="50">
          <cell r="B50" t="str">
            <v>Pool Blankets</v>
          </cell>
          <cell r="C50" t="str">
            <v>Retro</v>
          </cell>
          <cell r="D50" t="str">
            <v>Pool Blankets-Retro</v>
          </cell>
          <cell r="E50" t="str">
            <v>Count</v>
          </cell>
          <cell r="F50" t="str">
            <v>Pool Blankets</v>
          </cell>
          <cell r="G50">
            <v>1</v>
          </cell>
          <cell r="H50" t="str">
            <v>Pool Blankets</v>
          </cell>
          <cell r="I50" t="str">
            <v>Some</v>
          </cell>
          <cell r="L50" t="str">
            <v>CBSA 2014</v>
          </cell>
          <cell r="Q50" t="str">
            <v>x</v>
          </cell>
          <cell r="R50" t="str">
            <v>N/A</v>
          </cell>
          <cell r="U50" t="str">
            <v>Pool System Improvements</v>
          </cell>
        </row>
        <row r="51">
          <cell r="B51" t="str">
            <v>Web-Enabled Thermostats</v>
          </cell>
          <cell r="C51" t="str">
            <v>Retro</v>
          </cell>
          <cell r="D51" t="str">
            <v>Web-Enabled Thermostats-Retro</v>
          </cell>
          <cell r="E51" t="str">
            <v>kWh per KSF BT</v>
          </cell>
          <cell r="F51" t="str">
            <v>Web-Enabled Thermostats</v>
          </cell>
          <cell r="G51">
            <v>1</v>
          </cell>
          <cell r="H51" t="str">
            <v>Web-Enabled Thermostats</v>
          </cell>
          <cell r="I51" t="str">
            <v>Some</v>
          </cell>
          <cell r="L51" t="str">
            <v>CBSA 2014</v>
          </cell>
          <cell r="Q51" t="str">
            <v>x</v>
          </cell>
          <cell r="R51" t="str">
            <v>N/A</v>
          </cell>
          <cell r="U51" t="str">
            <v>HVAC System Controls</v>
          </cell>
        </row>
        <row r="52">
          <cell r="B52" t="str">
            <v>Garage CO2 ventilation</v>
          </cell>
          <cell r="C52" t="str">
            <v>Retro</v>
          </cell>
          <cell r="D52" t="str">
            <v>Garage CO2 ventilation-Retro</v>
          </cell>
          <cell r="E52" t="str">
            <v>Count</v>
          </cell>
          <cell r="F52" t="str">
            <v>Garage CO2 ventilation</v>
          </cell>
          <cell r="G52">
            <v>1</v>
          </cell>
          <cell r="H52" t="str">
            <v>Garage CO2 ventilation</v>
          </cell>
          <cell r="I52" t="str">
            <v>Some</v>
          </cell>
          <cell r="L52" t="str">
            <v>CBSA 2014</v>
          </cell>
          <cell r="Q52" t="str">
            <v>x</v>
          </cell>
          <cell r="R52" t="str">
            <v>N/A</v>
          </cell>
          <cell r="U52" t="str">
            <v>HVAC System Controls</v>
          </cell>
        </row>
        <row r="53">
          <cell r="B53" t="str">
            <v>Circ Pump ECM and drive</v>
          </cell>
          <cell r="C53" t="str">
            <v>Retro</v>
          </cell>
          <cell r="D53" t="str">
            <v>Circ Pump ECM and drive-Retro</v>
          </cell>
          <cell r="E53" t="str">
            <v>Count</v>
          </cell>
          <cell r="F53" t="str">
            <v>Circulation Pump ECM and drive</v>
          </cell>
          <cell r="G53">
            <v>1</v>
          </cell>
          <cell r="H53" t="str">
            <v>Circ Pump ECM and drive</v>
          </cell>
          <cell r="I53" t="str">
            <v>Some</v>
          </cell>
          <cell r="L53" t="str">
            <v>CBSA 2014</v>
          </cell>
          <cell r="Q53" t="str">
            <v>x</v>
          </cell>
          <cell r="R53" t="str">
            <v>N/A</v>
          </cell>
          <cell r="U53" t="str">
            <v>Pumps and Fans</v>
          </cell>
        </row>
        <row r="54">
          <cell r="B54" t="str">
            <v>VRF</v>
          </cell>
          <cell r="C54" t="str">
            <v>New</v>
          </cell>
          <cell r="D54" t="str">
            <v>VRF-New</v>
          </cell>
          <cell r="E54" t="str">
            <v>kWh per KSF BT</v>
          </cell>
          <cell r="F54" t="str">
            <v>Variable Refrigerant Flow</v>
          </cell>
          <cell r="G54">
            <v>1</v>
          </cell>
          <cell r="H54" t="str">
            <v>Variable Refrigerant Flow</v>
          </cell>
          <cell r="I54" t="str">
            <v>Some</v>
          </cell>
          <cell r="L54" t="str">
            <v>CBSA 2014</v>
          </cell>
          <cell r="Q54" t="str">
            <v>x</v>
          </cell>
          <cell r="U54" t="str">
            <v>HVAC System Improvements</v>
          </cell>
        </row>
        <row r="55">
          <cell r="B55" t="str">
            <v>VRF</v>
          </cell>
          <cell r="C55" t="str">
            <v>Retro</v>
          </cell>
          <cell r="D55" t="str">
            <v>VRF-Retro</v>
          </cell>
          <cell r="E55" t="str">
            <v>kWh per KSF BT</v>
          </cell>
          <cell r="F55" t="str">
            <v>Variable Refrigerant Flow</v>
          </cell>
          <cell r="G55">
            <v>1</v>
          </cell>
          <cell r="H55" t="str">
            <v>Variable Refrigerant Flow</v>
          </cell>
          <cell r="I55" t="str">
            <v>Some</v>
          </cell>
          <cell r="L55" t="str">
            <v>CBSA 2014</v>
          </cell>
          <cell r="Q55" t="str">
            <v>x</v>
          </cell>
          <cell r="R55" t="str">
            <v>N/A</v>
          </cell>
          <cell r="U55" t="str">
            <v>Envelope</v>
          </cell>
        </row>
        <row r="56">
          <cell r="B56" t="str">
            <v>Evaporator Roof Top HVAC</v>
          </cell>
          <cell r="C56" t="str">
            <v>Retro</v>
          </cell>
          <cell r="D56" t="str">
            <v>Evaporator Roof Top HVAC-Retro</v>
          </cell>
          <cell r="E56" t="str">
            <v>kWh per KSF BT</v>
          </cell>
          <cell r="F56" t="str">
            <v>Evaporator Roof Top HVAC</v>
          </cell>
          <cell r="G56">
            <v>1</v>
          </cell>
          <cell r="H56" t="str">
            <v>Evaporator Roof Top HVAC</v>
          </cell>
          <cell r="I56" t="str">
            <v>Some</v>
          </cell>
          <cell r="L56" t="str">
            <v>CBSA 2014</v>
          </cell>
          <cell r="Q56" t="str">
            <v>x</v>
          </cell>
          <cell r="R56" t="str">
            <v>N/A</v>
          </cell>
          <cell r="U56" t="str">
            <v>HVAC System Improvements</v>
          </cell>
        </row>
        <row r="57">
          <cell r="B57" t="str">
            <v>Secondary Glazing Systems</v>
          </cell>
          <cell r="C57" t="str">
            <v>Retro</v>
          </cell>
          <cell r="D57" t="str">
            <v>Secondary Glazing Systems-Retro</v>
          </cell>
          <cell r="E57" t="str">
            <v>kWh per KSF BT</v>
          </cell>
          <cell r="F57" t="str">
            <v>Secondary Glazing Systems</v>
          </cell>
          <cell r="G57">
            <v>1</v>
          </cell>
          <cell r="H57" t="str">
            <v>Secondary Glazing Systems</v>
          </cell>
          <cell r="I57" t="str">
            <v>All</v>
          </cell>
          <cell r="L57" t="str">
            <v>CBSA 2014</v>
          </cell>
          <cell r="Q57" t="str">
            <v>x</v>
          </cell>
          <cell r="R57" t="str">
            <v>N/A</v>
          </cell>
          <cell r="U57" t="str">
            <v>Envelope</v>
          </cell>
        </row>
        <row r="58">
          <cell r="B58" t="str">
            <v>LPD Package</v>
          </cell>
          <cell r="C58" t="str">
            <v>New</v>
          </cell>
          <cell r="D58" t="str">
            <v>LPD Package-New</v>
          </cell>
          <cell r="E58" t="str">
            <v>kWh per KSF BT</v>
          </cell>
          <cell r="F58" t="str">
            <v>Lamp, ballast and fixture improvements to lighting power density</v>
          </cell>
          <cell r="G58">
            <v>8</v>
          </cell>
          <cell r="H58" t="str">
            <v>Lighting Power Density</v>
          </cell>
          <cell r="I58" t="str">
            <v>All</v>
          </cell>
          <cell r="L58" t="str">
            <v>CBSA 2014</v>
          </cell>
          <cell r="R58" t="str">
            <v>PRE/POST 2006</v>
          </cell>
          <cell r="U58" t="str">
            <v>Lamps/Ballasts/Fixtures</v>
          </cell>
        </row>
        <row r="59">
          <cell r="B59" t="str">
            <v>LPD Package</v>
          </cell>
          <cell r="C59" t="str">
            <v>NR</v>
          </cell>
          <cell r="D59" t="str">
            <v>LPD Package-NR</v>
          </cell>
          <cell r="E59" t="str">
            <v>kWh per KSF BT</v>
          </cell>
          <cell r="F59" t="str">
            <v>Lamp, ballast and fixture improvements to lighting power density</v>
          </cell>
          <cell r="G59">
            <v>12</v>
          </cell>
          <cell r="H59" t="str">
            <v>Lighting Power Density</v>
          </cell>
          <cell r="I59" t="str">
            <v>All</v>
          </cell>
          <cell r="L59" t="str">
            <v>CBSA 2014</v>
          </cell>
          <cell r="R59" t="str">
            <v>PRE/POST 2006</v>
          </cell>
          <cell r="U59" t="str">
            <v>Lamps/Ballasts/Fixtures</v>
          </cell>
        </row>
        <row r="60">
          <cell r="B60" t="str">
            <v>LPD Package</v>
          </cell>
          <cell r="C60" t="str">
            <v>Retro</v>
          </cell>
          <cell r="D60" t="str">
            <v>LPD Package-Retro</v>
          </cell>
          <cell r="E60" t="str">
            <v>kWh per KSF BT</v>
          </cell>
          <cell r="F60" t="str">
            <v>Lamp, ballast and fixture improvements to lighting power density</v>
          </cell>
          <cell r="G60">
            <v>22</v>
          </cell>
          <cell r="H60" t="str">
            <v>Lighting Power Density</v>
          </cell>
          <cell r="I60" t="str">
            <v>All</v>
          </cell>
          <cell r="L60" t="str">
            <v>CBSA 2014</v>
          </cell>
          <cell r="R60" t="str">
            <v>PRE/POST 2006</v>
          </cell>
          <cell r="U60" t="str">
            <v>Lamps/Ballasts/Fixtures</v>
          </cell>
        </row>
        <row r="61">
          <cell r="B61" t="str">
            <v>Top Daylighting</v>
          </cell>
          <cell r="C61" t="str">
            <v>New</v>
          </cell>
          <cell r="D61" t="str">
            <v>Top Daylighting-New</v>
          </cell>
          <cell r="E61" t="str">
            <v>kWh per KSF BT</v>
          </cell>
          <cell r="F61" t="str">
            <v>Skylights with lighting controls</v>
          </cell>
          <cell r="G61">
            <v>6</v>
          </cell>
          <cell r="H61" t="str">
            <v>Daylighting with Skylights</v>
          </cell>
          <cell r="I61" t="str">
            <v>All</v>
          </cell>
          <cell r="L61" t="str">
            <v>CBSA 2014</v>
          </cell>
          <cell r="R61" t="str">
            <v>POST 2006</v>
          </cell>
          <cell r="U61" t="str">
            <v>Lighting Controls</v>
          </cell>
        </row>
        <row r="62">
          <cell r="B62" t="str">
            <v>Perimeter Daylighting Controls Advanced</v>
          </cell>
          <cell r="C62" t="str">
            <v>New</v>
          </cell>
          <cell r="D62" t="str">
            <v>Perimeter Daylighting Controls Advanced-New</v>
          </cell>
          <cell r="E62" t="str">
            <v>kWh per KSF BT</v>
          </cell>
          <cell r="F62" t="str">
            <v>Perimeter daylighting controls</v>
          </cell>
          <cell r="G62">
            <v>6</v>
          </cell>
          <cell r="H62" t="str">
            <v>Daylighting with Windows</v>
          </cell>
          <cell r="I62" t="str">
            <v>All</v>
          </cell>
          <cell r="L62" t="str">
            <v>CBSA 2014</v>
          </cell>
          <cell r="R62" t="str">
            <v>PRE/POST 2006</v>
          </cell>
          <cell r="U62" t="str">
            <v>Lighting Controls</v>
          </cell>
        </row>
        <row r="63">
          <cell r="B63" t="str">
            <v>Perimeter Daylighting Controls Advanced</v>
          </cell>
          <cell r="C63" t="str">
            <v>NR</v>
          </cell>
          <cell r="D63" t="str">
            <v>Perimeter Daylighting Controls Advanced-NR</v>
          </cell>
          <cell r="E63" t="str">
            <v>kWh per KSF BT</v>
          </cell>
          <cell r="F63" t="str">
            <v>Perimeter daylighting controls</v>
          </cell>
          <cell r="G63">
            <v>6</v>
          </cell>
          <cell r="H63" t="str">
            <v>Daylighting with Windows</v>
          </cell>
          <cell r="I63" t="str">
            <v>All</v>
          </cell>
          <cell r="L63" t="str">
            <v>CBSA 2014</v>
          </cell>
          <cell r="R63" t="str">
            <v>PRE/POST 2006</v>
          </cell>
          <cell r="U63" t="str">
            <v>Lighting Controls</v>
          </cell>
        </row>
        <row r="64">
          <cell r="B64" t="str">
            <v>Lighting Controls Interior</v>
          </cell>
          <cell r="C64" t="str">
            <v>New</v>
          </cell>
          <cell r="D64" t="str">
            <v>Lighting Controls Interior-New</v>
          </cell>
          <cell r="E64" t="str">
            <v>kWh per KSF BT</v>
          </cell>
          <cell r="F64" t="str">
            <v>Occupancy controls for lighting areas not required by code such as warehouse aisle, classrooms</v>
          </cell>
          <cell r="G64">
            <v>6</v>
          </cell>
          <cell r="H64" t="str">
            <v>Lighting Controls Interior</v>
          </cell>
          <cell r="I64" t="str">
            <v>All</v>
          </cell>
          <cell r="L64" t="str">
            <v>CBSA 2014</v>
          </cell>
          <cell r="R64" t="str">
            <v>PRE/POST 2006</v>
          </cell>
          <cell r="U64" t="str">
            <v>Lighting Controls</v>
          </cell>
        </row>
        <row r="65">
          <cell r="B65" t="str">
            <v>Lighting Controls Interior</v>
          </cell>
          <cell r="C65" t="str">
            <v>NR</v>
          </cell>
          <cell r="D65" t="str">
            <v>Lighting Controls Interior-NR</v>
          </cell>
          <cell r="E65" t="str">
            <v>kWh per KSF BT</v>
          </cell>
          <cell r="F65" t="str">
            <v>Occupancy controls for lighting areas not required by code such as warehouse aisle, classrooms</v>
          </cell>
          <cell r="G65">
            <v>6</v>
          </cell>
          <cell r="H65" t="str">
            <v>Lighting Controls Interior</v>
          </cell>
          <cell r="I65" t="str">
            <v>All</v>
          </cell>
          <cell r="L65" t="str">
            <v>CBSA 2014</v>
          </cell>
          <cell r="R65" t="str">
            <v>PRE/POST 2006</v>
          </cell>
          <cell r="U65" t="str">
            <v>Lighting Controls</v>
          </cell>
        </row>
        <row r="66">
          <cell r="B66" t="str">
            <v>Exterior Building Lighting</v>
          </cell>
          <cell r="C66" t="str">
            <v>New</v>
          </cell>
          <cell r="D66" t="str">
            <v>Exterior Building Lighting-New</v>
          </cell>
          <cell r="E66" t="str">
            <v>kWh per KSF BT</v>
          </cell>
          <cell r="F66" t="str">
            <v>Effiicient façade, walkway, area and decorative exterior lighting, such as LED</v>
          </cell>
          <cell r="G66">
            <v>4</v>
          </cell>
          <cell r="H66" t="str">
            <v>Exterior Building Lighting</v>
          </cell>
          <cell r="I66" t="str">
            <v>All</v>
          </cell>
          <cell r="L66" t="str">
            <v>CBSA 2014</v>
          </cell>
          <cell r="U66" t="str">
            <v>Lamps/Ballasts/Fixtures</v>
          </cell>
        </row>
        <row r="67">
          <cell r="B67" t="str">
            <v>Exterior Building Lighting</v>
          </cell>
          <cell r="C67" t="str">
            <v>NR</v>
          </cell>
          <cell r="D67" t="str">
            <v>Exterior Building Lighting-NR</v>
          </cell>
          <cell r="E67" t="str">
            <v>kWh per KSF BT</v>
          </cell>
          <cell r="F67" t="str">
            <v>Effiicient façade, walkway, area and decorative exterior lighting, such as LED</v>
          </cell>
          <cell r="G67">
            <v>4</v>
          </cell>
          <cell r="H67" t="str">
            <v>Exterior Building Lighting</v>
          </cell>
          <cell r="I67" t="str">
            <v>All</v>
          </cell>
          <cell r="L67" t="str">
            <v>CBSA 2014</v>
          </cell>
          <cell r="R67" t="str">
            <v>N/A</v>
          </cell>
          <cell r="U67" t="str">
            <v>Lamps/Ballasts/Fixtures</v>
          </cell>
        </row>
        <row r="68">
          <cell r="B68" t="str">
            <v>Street and Roadway Lighting</v>
          </cell>
          <cell r="C68" t="str">
            <v>New</v>
          </cell>
          <cell r="D68" t="str">
            <v>Street and Roadway Lighting-New</v>
          </cell>
          <cell r="E68" t="str">
            <v>Count</v>
          </cell>
          <cell r="F68" t="str">
            <v>Efficient street and roadway lighting, LED and induction</v>
          </cell>
          <cell r="G68">
            <v>6</v>
          </cell>
          <cell r="H68" t="str">
            <v>Street and Roadway Lighting</v>
          </cell>
          <cell r="I68" t="str">
            <v>Non-Building</v>
          </cell>
          <cell r="L68" t="str">
            <v>Navigant 2014</v>
          </cell>
          <cell r="U68" t="str">
            <v>Lamps/Ballasts/Fixtures</v>
          </cell>
        </row>
        <row r="69">
          <cell r="B69" t="str">
            <v>Street and Roadway Lighting</v>
          </cell>
          <cell r="C69" t="str">
            <v>NR</v>
          </cell>
          <cell r="D69" t="str">
            <v>Street and Roadway Lighting-NR</v>
          </cell>
          <cell r="E69" t="str">
            <v>Count</v>
          </cell>
          <cell r="F69" t="str">
            <v>Efficient street and roadway lighting, LED and induction</v>
          </cell>
          <cell r="G69">
            <v>6</v>
          </cell>
          <cell r="H69" t="str">
            <v>Street and Roadway Lighting</v>
          </cell>
          <cell r="I69" t="str">
            <v>Non-Building</v>
          </cell>
          <cell r="L69" t="str">
            <v>Survey 2014</v>
          </cell>
          <cell r="R69" t="str">
            <v>N/A</v>
          </cell>
          <cell r="U69" t="str">
            <v>Lamps/Ballasts/Fixtures</v>
          </cell>
        </row>
        <row r="70">
          <cell r="B70" t="str">
            <v>Parking Lighting</v>
          </cell>
          <cell r="C70" t="str">
            <v>New</v>
          </cell>
          <cell r="D70" t="str">
            <v>Parking Lighting-New</v>
          </cell>
          <cell r="E70" t="str">
            <v>kWh per KSF BT</v>
          </cell>
          <cell r="F70" t="str">
            <v>Efficient parking lot and garage lighting and controls</v>
          </cell>
          <cell r="G70">
            <v>2</v>
          </cell>
          <cell r="H70" t="str">
            <v>Parking Lighting</v>
          </cell>
          <cell r="I70" t="str">
            <v>All</v>
          </cell>
          <cell r="L70" t="str">
            <v>CBSA 2014</v>
          </cell>
          <cell r="U70" t="str">
            <v>Lamps/Ballasts/Fixtures</v>
          </cell>
          <cell r="V70" t="str">
            <v>Lamps/Ballasts/Fixtures w/Controls</v>
          </cell>
        </row>
        <row r="71">
          <cell r="B71" t="str">
            <v>Parking Lighting</v>
          </cell>
          <cell r="C71" t="str">
            <v>NR</v>
          </cell>
          <cell r="D71" t="str">
            <v>Parking Lighting-NR</v>
          </cell>
          <cell r="E71" t="str">
            <v>kWh per KSF BT</v>
          </cell>
          <cell r="F71" t="str">
            <v>Efficient parking lot and garage lighting and controls</v>
          </cell>
          <cell r="G71">
            <v>2</v>
          </cell>
          <cell r="H71" t="str">
            <v>Parking Lighting</v>
          </cell>
          <cell r="I71" t="str">
            <v>All</v>
          </cell>
          <cell r="L71" t="str">
            <v>CBSA 2014</v>
          </cell>
          <cell r="R71" t="str">
            <v>N/A</v>
          </cell>
          <cell r="U71" t="str">
            <v>Lamps/Ballasts/Fixtures</v>
          </cell>
          <cell r="V71" t="str">
            <v>Lamps/Ballasts/Fixtures w/Controls</v>
          </cell>
        </row>
        <row r="72">
          <cell r="B72" t="str">
            <v>Bi-Level Stairwell Lighting</v>
          </cell>
          <cell r="C72" t="str">
            <v>NR</v>
          </cell>
          <cell r="D72" t="str">
            <v>Bi-Level Stairwell Lighting-NR</v>
          </cell>
          <cell r="E72" t="str">
            <v>kWh per KSF BT</v>
          </cell>
          <cell r="F72" t="str">
            <v xml:space="preserve">Bi-Level occupancy sensor control on stairwell </v>
          </cell>
          <cell r="G72">
            <v>1</v>
          </cell>
          <cell r="H72" t="str">
            <v>Bi-Level Stairwell</v>
          </cell>
          <cell r="I72" t="str">
            <v>All</v>
          </cell>
          <cell r="L72" t="str">
            <v>CBSA 2014</v>
          </cell>
          <cell r="R72" t="str">
            <v>N/A</v>
          </cell>
          <cell r="U72" t="str">
            <v>Lighting Controls</v>
          </cell>
        </row>
        <row r="73">
          <cell r="B73" t="str">
            <v>ECM-VAV</v>
          </cell>
          <cell r="C73" t="str">
            <v>New</v>
          </cell>
          <cell r="D73" t="str">
            <v>ECM-VAV-New</v>
          </cell>
          <cell r="E73" t="str">
            <v>kWh per KSF BT</v>
          </cell>
          <cell r="F73" t="str">
            <v>Electically Commutated Motors on Variable Air Volume Boxes</v>
          </cell>
          <cell r="G73">
            <v>1</v>
          </cell>
          <cell r="H73" t="str">
            <v>ECM Motors on Variable Air Volume Boxes</v>
          </cell>
          <cell r="I73" t="str">
            <v>All</v>
          </cell>
          <cell r="L73" t="str">
            <v>CBSA 2014</v>
          </cell>
          <cell r="R73" t="str">
            <v>PRE/POST 2006</v>
          </cell>
          <cell r="U73" t="str">
            <v>Motors</v>
          </cell>
        </row>
        <row r="74">
          <cell r="B74" t="str">
            <v>ECM-VAV</v>
          </cell>
          <cell r="C74" t="str">
            <v>NR</v>
          </cell>
          <cell r="D74" t="str">
            <v>ECM-VAV-NR</v>
          </cell>
          <cell r="E74" t="str">
            <v>kWh per KSF BT</v>
          </cell>
          <cell r="F74" t="str">
            <v>Electically Commutated Motors on Variable Air Volume Boxes</v>
          </cell>
          <cell r="G74">
            <v>1</v>
          </cell>
          <cell r="H74" t="str">
            <v>ECM Motors on Variable Air Volume Boxes</v>
          </cell>
          <cell r="I74" t="str">
            <v>All</v>
          </cell>
          <cell r="L74" t="str">
            <v>CBSA 2014</v>
          </cell>
          <cell r="R74" t="str">
            <v>PRE/POST 2006</v>
          </cell>
          <cell r="U74" t="str">
            <v>Motors</v>
          </cell>
        </row>
        <row r="75">
          <cell r="B75" t="str">
            <v>Pool pumps</v>
          </cell>
          <cell r="C75" t="str">
            <v>Retro</v>
          </cell>
          <cell r="D75" t="str">
            <v>Pool pumps-Retro</v>
          </cell>
          <cell r="E75" t="str">
            <v>Count</v>
          </cell>
          <cell r="F75" t="str">
            <v>Pool pumps</v>
          </cell>
          <cell r="G75">
            <v>1</v>
          </cell>
          <cell r="H75" t="str">
            <v>Pool pumps</v>
          </cell>
          <cell r="I75" t="str">
            <v>Some</v>
          </cell>
          <cell r="L75" t="str">
            <v>CBSA 2014</v>
          </cell>
          <cell r="Q75" t="str">
            <v>x</v>
          </cell>
          <cell r="R75" t="str">
            <v>N/A</v>
          </cell>
          <cell r="U75" t="str">
            <v>Pool System Improvements</v>
          </cell>
        </row>
        <row r="76">
          <cell r="B76" t="str">
            <v>MotorsRewind</v>
          </cell>
          <cell r="C76" t="str">
            <v>New</v>
          </cell>
          <cell r="D76" t="str">
            <v>MotorsRewind-New</v>
          </cell>
          <cell r="E76" t="str">
            <v>Count</v>
          </cell>
          <cell r="F76" t="str">
            <v>Motors - Rewind</v>
          </cell>
          <cell r="G76">
            <v>1</v>
          </cell>
          <cell r="H76" t="str">
            <v>Motors - Rewind</v>
          </cell>
          <cell r="I76" t="str">
            <v>All</v>
          </cell>
          <cell r="L76" t="str">
            <v>CBSA 2014</v>
          </cell>
          <cell r="Q76" t="str">
            <v>x</v>
          </cell>
          <cell r="R76" t="str">
            <v>N/A</v>
          </cell>
          <cell r="U76" t="str">
            <v>Motors</v>
          </cell>
        </row>
        <row r="77">
          <cell r="B77" t="str">
            <v>MotorsRewind</v>
          </cell>
          <cell r="C77" t="str">
            <v>NR</v>
          </cell>
          <cell r="D77" t="str">
            <v>MotorsRewind-NR</v>
          </cell>
          <cell r="E77" t="str">
            <v>Count</v>
          </cell>
          <cell r="F77" t="str">
            <v>Motors - Rewind</v>
          </cell>
          <cell r="G77">
            <v>1</v>
          </cell>
          <cell r="H77" t="str">
            <v>Motors - Rewind</v>
          </cell>
          <cell r="I77" t="str">
            <v>All</v>
          </cell>
          <cell r="L77" t="str">
            <v>CBSA 2014</v>
          </cell>
          <cell r="Q77" t="str">
            <v>x</v>
          </cell>
          <cell r="R77" t="str">
            <v>N/A</v>
          </cell>
          <cell r="U77" t="str">
            <v>Motors</v>
          </cell>
        </row>
        <row r="78">
          <cell r="B78" t="str">
            <v>Municipal Sewage Treatment</v>
          </cell>
          <cell r="C78" t="str">
            <v>Retro</v>
          </cell>
          <cell r="D78" t="str">
            <v>Municipal Sewage Treatment-Retro</v>
          </cell>
          <cell r="E78" t="str">
            <v>MGD Flow</v>
          </cell>
          <cell r="F78" t="str">
            <v>Suite of measures for sewage treatment</v>
          </cell>
          <cell r="G78">
            <v>10</v>
          </cell>
          <cell r="H78" t="str">
            <v>Municipal Sewage Treatment</v>
          </cell>
          <cell r="I78" t="str">
            <v>Non-Building</v>
          </cell>
          <cell r="J78" t="str">
            <v>BACGEN</v>
          </cell>
          <cell r="L78" t="str">
            <v>2013 EPA Flow rates</v>
          </cell>
          <cell r="M78" t="str">
            <v>Achievements</v>
          </cell>
          <cell r="O78" t="str">
            <v>6P+ETO data</v>
          </cell>
          <cell r="R78" t="str">
            <v>N/A</v>
          </cell>
          <cell r="S78" t="str">
            <v>V1</v>
          </cell>
          <cell r="T78" t="str">
            <v>More data coming from NEEA</v>
          </cell>
          <cell r="U78" t="str">
            <v>Process Loads System Improvements</v>
          </cell>
        </row>
        <row r="79">
          <cell r="B79" t="str">
            <v>Municipal Water Supply</v>
          </cell>
          <cell r="C79" t="str">
            <v>Retro</v>
          </cell>
          <cell r="D79" t="str">
            <v>Municipal Water Supply-Retro</v>
          </cell>
          <cell r="E79" t="str">
            <v>MGD Flow</v>
          </cell>
          <cell r="F79" t="str">
            <v>Suite of measures for water supply systems</v>
          </cell>
          <cell r="G79">
            <v>5</v>
          </cell>
          <cell r="H79" t="str">
            <v>Municipal Water Supply</v>
          </cell>
          <cell r="I79" t="str">
            <v>Non-Building</v>
          </cell>
          <cell r="J79" t="str">
            <v>BACGEN</v>
          </cell>
          <cell r="L79" t="str">
            <v>2013 EPA Flow rates</v>
          </cell>
          <cell r="M79" t="str">
            <v>Achievements</v>
          </cell>
          <cell r="O79" t="str">
            <v>6P+ETO data</v>
          </cell>
          <cell r="R79" t="str">
            <v>N/A</v>
          </cell>
          <cell r="S79" t="str">
            <v>V1</v>
          </cell>
          <cell r="T79" t="str">
            <v>More data coming from NEEA</v>
          </cell>
          <cell r="U79" t="str">
            <v>Process Loads System Improvements</v>
          </cell>
        </row>
        <row r="80">
          <cell r="B80" t="str">
            <v>Engine Generator Block Heaters</v>
          </cell>
          <cell r="C80" t="str">
            <v>Retro</v>
          </cell>
          <cell r="D80" t="str">
            <v>Engine Generator Block Heaters-Retro</v>
          </cell>
          <cell r="E80" t="str">
            <v>Count</v>
          </cell>
          <cell r="F80" t="str">
            <v>Engine Generator Block Heaters (for standby generators)</v>
          </cell>
          <cell r="G80">
            <v>1</v>
          </cell>
          <cell r="H80" t="str">
            <v>Engine Generator Block Heaters</v>
          </cell>
          <cell r="I80" t="str">
            <v>All</v>
          </cell>
          <cell r="L80" t="str">
            <v>No Control</v>
          </cell>
          <cell r="Q80" t="str">
            <v>x</v>
          </cell>
          <cell r="R80" t="str">
            <v>N/A</v>
          </cell>
          <cell r="U80" t="str">
            <v>Process Loads System Controls</v>
          </cell>
        </row>
        <row r="81">
          <cell r="B81" t="str">
            <v>Grocery Refrigeration Bundle</v>
          </cell>
          <cell r="C81" t="str">
            <v>Retro</v>
          </cell>
          <cell r="D81" t="str">
            <v>Grocery Refrigeration Bundle-Retro</v>
          </cell>
          <cell r="E81" t="str">
            <v>kWh per KSF BT</v>
          </cell>
          <cell r="F81" t="str">
            <v>Grocery store refrigeration measures</v>
          </cell>
          <cell r="G81">
            <v>12</v>
          </cell>
          <cell r="H81" t="str">
            <v>Grocery Refrigeration Bundle</v>
          </cell>
          <cell r="I81" t="str">
            <v>Grocery</v>
          </cell>
          <cell r="L81" t="str">
            <v>CBSA 2014</v>
          </cell>
          <cell r="R81" t="str">
            <v>N/A</v>
          </cell>
          <cell r="U81" t="str">
            <v>Refrigeration System Improvements</v>
          </cell>
        </row>
        <row r="82">
          <cell r="B82" t="str">
            <v>Packaged Refrigeration Equipment</v>
          </cell>
          <cell r="C82" t="str">
            <v>New</v>
          </cell>
          <cell r="D82" t="str">
            <v>Packaged Refrigeration Equipment-New</v>
          </cell>
          <cell r="E82" t="str">
            <v>Count</v>
          </cell>
          <cell r="F82" t="str">
            <v>Efficient refrigerators and freezers, beverage merchandizers, ice makers and vending machines</v>
          </cell>
          <cell r="G82">
            <v>20</v>
          </cell>
          <cell r="H82" t="str">
            <v>Packaged Refrigeration Equipment</v>
          </cell>
          <cell r="I82" t="str">
            <v>Grocery</v>
          </cell>
          <cell r="L82" t="str">
            <v>CBSA 2014</v>
          </cell>
          <cell r="R82" t="str">
            <v>N/A</v>
          </cell>
          <cell r="U82" t="str">
            <v>Packaged Refrigeration</v>
          </cell>
        </row>
        <row r="83">
          <cell r="B83" t="str">
            <v>Appliances - Freezers</v>
          </cell>
          <cell r="C83" t="str">
            <v>NR</v>
          </cell>
          <cell r="D83" t="str">
            <v>Appliances - Freezers-NR</v>
          </cell>
          <cell r="E83" t="str">
            <v>Count</v>
          </cell>
          <cell r="F83" t="str">
            <v>Residential freezers in commercial buildings</v>
          </cell>
          <cell r="G83">
            <v>1</v>
          </cell>
          <cell r="H83" t="str">
            <v>Appliances - Freezers</v>
          </cell>
          <cell r="I83" t="str">
            <v>All</v>
          </cell>
          <cell r="L83" t="str">
            <v>Fed Std 2014</v>
          </cell>
          <cell r="Q83" t="str">
            <v>x</v>
          </cell>
          <cell r="R83" t="str">
            <v>N/A</v>
          </cell>
          <cell r="U83" t="str">
            <v>Refrigeration System Improvements</v>
          </cell>
        </row>
        <row r="84">
          <cell r="B84" t="str">
            <v>Appliances - Refrigerators</v>
          </cell>
          <cell r="C84" t="str">
            <v>NR</v>
          </cell>
          <cell r="D84" t="str">
            <v>Appliances - Refrigerators-NR</v>
          </cell>
          <cell r="E84" t="str">
            <v>Count</v>
          </cell>
          <cell r="F84" t="str">
            <v>Residential refrigerators in commercial buildings</v>
          </cell>
          <cell r="G84">
            <v>1</v>
          </cell>
          <cell r="H84" t="str">
            <v>Appliances - Refrigerators</v>
          </cell>
          <cell r="I84" t="str">
            <v>All</v>
          </cell>
          <cell r="L84" t="str">
            <v>Fed Std 2014</v>
          </cell>
          <cell r="Q84" t="str">
            <v>x</v>
          </cell>
          <cell r="R84" t="str">
            <v>N/A</v>
          </cell>
          <cell r="U84" t="str">
            <v>Refrigeration System Improvements</v>
          </cell>
        </row>
        <row r="85">
          <cell r="B85" t="str">
            <v>Water Cooler Controls</v>
          </cell>
          <cell r="C85" t="str">
            <v>NR</v>
          </cell>
          <cell r="D85" t="str">
            <v>Water Cooler Controls-NR</v>
          </cell>
          <cell r="E85" t="str">
            <v>Count</v>
          </cell>
          <cell r="F85" t="str">
            <v>Water Cooler Controls</v>
          </cell>
          <cell r="G85">
            <v>1</v>
          </cell>
          <cell r="H85" t="str">
            <v>Water Cooler Controls</v>
          </cell>
          <cell r="I85" t="str">
            <v>Some</v>
          </cell>
          <cell r="L85" t="str">
            <v>Uncontrolled</v>
          </cell>
          <cell r="Q85" t="str">
            <v>x</v>
          </cell>
          <cell r="R85" t="str">
            <v>N/A</v>
          </cell>
          <cell r="U85" t="str">
            <v>Refrigeration System Controls</v>
          </cell>
        </row>
        <row r="86">
          <cell r="B86" t="str">
            <v>WHTanks</v>
          </cell>
          <cell r="C86" t="str">
            <v>New</v>
          </cell>
          <cell r="D86" t="str">
            <v>WHTanks-New</v>
          </cell>
          <cell r="E86" t="str">
            <v>Count</v>
          </cell>
          <cell r="F86" t="str">
            <v>Clotheswashers more efficient than federal standard</v>
          </cell>
          <cell r="H86" t="str">
            <v>DHW - Efficient Tanks</v>
          </cell>
          <cell r="I86" t="str">
            <v>Some</v>
          </cell>
          <cell r="L86" t="str">
            <v>CBSA 2014</v>
          </cell>
          <cell r="R86" t="str">
            <v>N/A</v>
          </cell>
          <cell r="U86" t="str">
            <v>Water Using Devices</v>
          </cell>
        </row>
        <row r="87">
          <cell r="B87" t="str">
            <v>WHTanks</v>
          </cell>
          <cell r="C87" t="str">
            <v>NR</v>
          </cell>
          <cell r="D87" t="str">
            <v>WHTanks-NR</v>
          </cell>
          <cell r="E87" t="str">
            <v>Count</v>
          </cell>
          <cell r="F87" t="str">
            <v>Efficient Residential water heaters in commercial buildings</v>
          </cell>
          <cell r="G87">
            <v>1</v>
          </cell>
          <cell r="H87" t="str">
            <v>DHW - Efficient Tanks</v>
          </cell>
          <cell r="I87" t="str">
            <v>All</v>
          </cell>
          <cell r="L87" t="str">
            <v>CBSA 2014</v>
          </cell>
          <cell r="Q87" t="str">
            <v>x</v>
          </cell>
          <cell r="R87" t="str">
            <v>N/A</v>
          </cell>
          <cell r="U87" t="str">
            <v>Water Heaters</v>
          </cell>
        </row>
        <row r="88">
          <cell r="B88" t="str">
            <v>Appliances - Clothes Washers</v>
          </cell>
          <cell r="C88" t="str">
            <v>NR</v>
          </cell>
          <cell r="D88" t="str">
            <v>Appliances - Clothes Washers-NR</v>
          </cell>
          <cell r="E88" t="str">
            <v>Count</v>
          </cell>
          <cell r="F88" t="str">
            <v>Efficient residential clothes washers in commercial buildings</v>
          </cell>
          <cell r="G88">
            <v>1</v>
          </cell>
          <cell r="H88" t="str">
            <v>Appliances - Clothes Washers</v>
          </cell>
          <cell r="I88" t="str">
            <v>Some</v>
          </cell>
          <cell r="L88" t="str">
            <v>CBSA 2014</v>
          </cell>
          <cell r="Q88" t="str">
            <v>x</v>
          </cell>
          <cell r="R88" t="str">
            <v>N/A</v>
          </cell>
          <cell r="U88" t="str">
            <v>Water Using Devices</v>
          </cell>
        </row>
        <row r="89">
          <cell r="B89" t="str">
            <v>Showerheads</v>
          </cell>
          <cell r="C89" t="str">
            <v>Retro</v>
          </cell>
          <cell r="D89" t="str">
            <v>Showerheads-Retro</v>
          </cell>
          <cell r="E89" t="str">
            <v>Count</v>
          </cell>
          <cell r="F89" t="str">
            <v>Efficient showerheads</v>
          </cell>
          <cell r="G89">
            <v>1</v>
          </cell>
          <cell r="H89" t="str">
            <v>DHW - Showerheads</v>
          </cell>
          <cell r="I89" t="str">
            <v>Some</v>
          </cell>
          <cell r="L89" t="str">
            <v>2.5 GPM</v>
          </cell>
          <cell r="Q89" t="str">
            <v>x</v>
          </cell>
          <cell r="R89" t="str">
            <v>N/A</v>
          </cell>
          <cell r="U89" t="str">
            <v>Water Using Devices</v>
          </cell>
        </row>
        <row r="90">
          <cell r="B90" t="str">
            <v>Water Heating - GFHX</v>
          </cell>
          <cell r="C90" t="str">
            <v>New</v>
          </cell>
          <cell r="D90" t="str">
            <v>Water Heating - GFHX-New</v>
          </cell>
          <cell r="E90" t="str">
            <v>Count</v>
          </cell>
          <cell r="F90" t="str">
            <v>Drain water heat recovery in new mulitfaimly applications</v>
          </cell>
          <cell r="G90">
            <v>1</v>
          </cell>
          <cell r="H90" t="str">
            <v>Water Heating - GFHX</v>
          </cell>
          <cell r="I90" t="str">
            <v>All</v>
          </cell>
          <cell r="L90" t="str">
            <v>No Heat Recovery</v>
          </cell>
          <cell r="Q90" t="str">
            <v>x</v>
          </cell>
          <cell r="R90" t="str">
            <v>N/A</v>
          </cell>
          <cell r="U90" t="str">
            <v>Water Using Devices</v>
          </cell>
        </row>
        <row r="91">
          <cell r="B91" t="str">
            <v>Demand Control Circulating system DHW</v>
          </cell>
          <cell r="C91" t="str">
            <v>Retro</v>
          </cell>
          <cell r="D91" t="str">
            <v>Demand Control Circulating system DHW-Retro</v>
          </cell>
          <cell r="E91" t="str">
            <v>kWh per KSF BT</v>
          </cell>
          <cell r="F91" t="str">
            <v>Demand Control Circulating system DHW</v>
          </cell>
          <cell r="G91">
            <v>1</v>
          </cell>
          <cell r="H91" t="str">
            <v>Demand Control Circulating system DHW</v>
          </cell>
          <cell r="I91" t="str">
            <v>Some</v>
          </cell>
          <cell r="L91" t="str">
            <v>CBSA 2014</v>
          </cell>
          <cell r="Q91" t="str">
            <v>x</v>
          </cell>
          <cell r="R91" t="str">
            <v>N/A</v>
          </cell>
          <cell r="U91" t="str">
            <v>Water Using Devices</v>
          </cell>
        </row>
        <row r="92">
          <cell r="B92" t="str">
            <v>Central HPWH MF</v>
          </cell>
          <cell r="C92" t="str">
            <v>Retro</v>
          </cell>
          <cell r="D92" t="str">
            <v>Central HPWH MF-Retro</v>
          </cell>
          <cell r="E92" t="str">
            <v>Count</v>
          </cell>
          <cell r="F92" t="str">
            <v>Central HPWH MF</v>
          </cell>
          <cell r="G92">
            <v>1</v>
          </cell>
          <cell r="H92" t="str">
            <v>Central HPWH MF</v>
          </cell>
          <cell r="I92" t="str">
            <v>Multifamily</v>
          </cell>
          <cell r="L92" t="str">
            <v>CBSA 2014</v>
          </cell>
          <cell r="Q92" t="str">
            <v>x</v>
          </cell>
          <cell r="R92" t="str">
            <v>N/A</v>
          </cell>
          <cell r="U92" t="str">
            <v>Water Heaters</v>
          </cell>
        </row>
        <row r="93">
          <cell r="B93" t="str">
            <v>Ultra Low Energy Building</v>
          </cell>
          <cell r="C93" t="str">
            <v>New</v>
          </cell>
          <cell r="D93" t="str">
            <v>Ultra Low Energy Building-New</v>
          </cell>
          <cell r="E93" t="str">
            <v>kWh per KSF BT</v>
          </cell>
          <cell r="F93" t="str">
            <v>Multiple measures applied in integrated design practice</v>
          </cell>
          <cell r="G93">
            <v>13</v>
          </cell>
          <cell r="H93" t="str">
            <v>Ultra Low Energy Building</v>
          </cell>
          <cell r="I93" t="str">
            <v>Some</v>
          </cell>
          <cell r="L93" t="str">
            <v>Code</v>
          </cell>
          <cell r="R93" t="str">
            <v>POST2006</v>
          </cell>
          <cell r="U93" t="str">
            <v>Whole Bldg/Meter Level System Improvements</v>
          </cell>
        </row>
        <row r="94">
          <cell r="B94" t="str">
            <v>Low Power LF Lamps</v>
          </cell>
          <cell r="C94" t="str">
            <v>NR</v>
          </cell>
          <cell r="D94" t="str">
            <v>Low Power LF Lamps-NR</v>
          </cell>
          <cell r="E94" t="str">
            <v>lamp</v>
          </cell>
          <cell r="F94" t="str">
            <v>Shift mix of 32W, 28W and 25W lamps towards low watt lamps</v>
          </cell>
          <cell r="G94">
            <v>2</v>
          </cell>
          <cell r="H94" t="str">
            <v>High Performance Low Power Fluorescent Lamps</v>
          </cell>
          <cell r="I94" t="str">
            <v>All</v>
          </cell>
          <cell r="L94" t="str">
            <v>Federal GSFL 2014</v>
          </cell>
          <cell r="Q94" t="str">
            <v>x</v>
          </cell>
          <cell r="R94" t="str">
            <v>N/A</v>
          </cell>
          <cell r="U94" t="str">
            <v>Lamps/Ballasts/Fixtures</v>
          </cell>
        </row>
        <row r="112">
          <cell r="B112" t="str">
            <v>Category_Name</v>
          </cell>
          <cell r="C112" t="str">
            <v>TAP_Name</v>
          </cell>
        </row>
        <row r="113">
          <cell r="B113" t="str">
            <v>Compressed Air System Controls</v>
          </cell>
          <cell r="C113" t="str">
            <v>Compressed Air Control Improvements (non-VFD)</v>
          </cell>
        </row>
        <row r="114">
          <cell r="B114" t="str">
            <v>Compressed Air System Improvements</v>
          </cell>
          <cell r="C114" t="str">
            <v>Compressed Air Control Improvements (VFD)</v>
          </cell>
        </row>
        <row r="115">
          <cell r="B115" t="str">
            <v>Computer Technologies</v>
          </cell>
          <cell r="C115" t="str">
            <v>Compressed Air System Compressor Improvements (non-VFD)</v>
          </cell>
        </row>
        <row r="116">
          <cell r="B116" t="str">
            <v>Cooking</v>
          </cell>
          <cell r="C116" t="str">
            <v>Compressed Air System Compressor Improvements (VFD)</v>
          </cell>
        </row>
        <row r="117">
          <cell r="B117" t="str">
            <v>Delamping</v>
          </cell>
          <cell r="C117" t="str">
            <v>Compressed Air System Demand Side Improvements</v>
          </cell>
        </row>
        <row r="118">
          <cell r="B118" t="str">
            <v>Elevators</v>
          </cell>
          <cell r="C118" t="str">
            <v>Compressed Air System Dryer Improvements</v>
          </cell>
        </row>
        <row r="119">
          <cell r="B119" t="str">
            <v>Envelope</v>
          </cell>
          <cell r="C119" t="str">
            <v>Compressed Air System Regulation Improvements</v>
          </cell>
        </row>
      </sheetData>
      <sheetData sheetId="2">
        <row r="4">
          <cell r="H4">
            <v>2035</v>
          </cell>
        </row>
        <row r="11">
          <cell r="B11" t="str">
            <v>Measure Index Name</v>
          </cell>
          <cell r="C11" t="str">
            <v>File Link</v>
          </cell>
          <cell r="D11" t="str">
            <v>Supply Curve Worksheet</v>
          </cell>
          <cell r="E11" t="str">
            <v>Lost Opp</v>
          </cell>
          <cell r="F11" t="str">
            <v>Descriptive Name</v>
          </cell>
          <cell r="G11" t="str">
            <v>Most Recent Substantive Update</v>
          </cell>
          <cell r="H11" t="str">
            <v>Cumulative Technically  Achievable Savings in 2035 in MWa</v>
          </cell>
          <cell r="I11" t="str">
            <v>aMW in New Building Non Plug Load</v>
          </cell>
          <cell r="K11" t="str">
            <v>Comparable Estimate for 6th Plan (Pasted Values)</v>
          </cell>
          <cell r="L11" t="str">
            <v>Final Check for Draft Plan</v>
          </cell>
          <cell r="O11" t="str">
            <v>Analyst</v>
          </cell>
          <cell r="P11" t="str">
            <v>Comments Reviewed &amp; Updates Complete</v>
          </cell>
          <cell r="Q11" t="str">
            <v>Run ProCost with Final Inputs (Gas)</v>
          </cell>
          <cell r="R11" t="str">
            <v>Check/Repair RPM Links</v>
          </cell>
          <cell r="S11" t="str">
            <v>SC Curve to Auto High/Low Forecast</v>
          </cell>
          <cell r="T11" t="str">
            <v>SC Curve measure references linked to MList</v>
          </cell>
          <cell r="U11" t="str">
            <v>Check Linked Files and Range Names.  Correct link to ComMaster</v>
          </cell>
        </row>
        <row r="12">
          <cell r="B12" t="str">
            <v>Compressed Air-Retro</v>
          </cell>
          <cell r="C12" t="str">
            <v>COM-CompressedAir-7P_V2.xlsm</v>
          </cell>
          <cell r="F12" t="str">
            <v>Compressed Air Controls</v>
          </cell>
          <cell r="H12">
            <v>3.2238288305372076</v>
          </cell>
          <cell r="I12">
            <v>0</v>
          </cell>
          <cell r="K12" t="str">
            <v/>
          </cell>
          <cell r="O12" t="str">
            <v>ks</v>
          </cell>
        </row>
        <row r="13">
          <cell r="B13" t="str">
            <v>Compressed Air-NR</v>
          </cell>
          <cell r="C13" t="str">
            <v>COM-CompressedAir-7P_V2.xlsm</v>
          </cell>
          <cell r="F13" t="str">
            <v>Compressed Air Improvements</v>
          </cell>
          <cell r="H13">
            <v>1.0195557332307676</v>
          </cell>
          <cell r="I13">
            <v>0</v>
          </cell>
          <cell r="K13" t="str">
            <v/>
          </cell>
          <cell r="O13" t="str">
            <v>ks</v>
          </cell>
        </row>
        <row r="14">
          <cell r="B14" t="str">
            <v>Network PC Power Management-Retro</v>
          </cell>
          <cell r="C14" t="str">
            <v>dropped for 7p</v>
          </cell>
          <cell r="F14" t="str">
            <v>Network PC Power Management</v>
          </cell>
          <cell r="K14">
            <v>72.717466539008427</v>
          </cell>
        </row>
        <row r="15">
          <cell r="B15" t="str">
            <v>Laptop-NR</v>
          </cell>
          <cell r="C15" t="str">
            <v>COM-Computers-7P_V1.xlsx</v>
          </cell>
          <cell r="F15" t="str">
            <v>ENERGY STAR Laptops</v>
          </cell>
          <cell r="H15">
            <v>3.9941361655064203</v>
          </cell>
          <cell r="I15">
            <v>0</v>
          </cell>
          <cell r="K15">
            <v>129.97956115621164</v>
          </cell>
          <cell r="O15" t="str">
            <v>tj</v>
          </cell>
        </row>
        <row r="16">
          <cell r="B16" t="str">
            <v>Smart Plug Power Strips-Retro</v>
          </cell>
          <cell r="C16" t="str">
            <v>COM-Powerstrips-7P_v3.xlsm</v>
          </cell>
          <cell r="F16" t="str">
            <v>Smart Plug Power Strips</v>
          </cell>
          <cell r="H16">
            <v>46.672185845920254</v>
          </cell>
          <cell r="I16">
            <v>0</v>
          </cell>
          <cell r="K16" t="str">
            <v/>
          </cell>
          <cell r="O16" t="str">
            <v>ks</v>
          </cell>
        </row>
        <row r="17">
          <cell r="B17" t="str">
            <v>Data Centers-NR</v>
          </cell>
          <cell r="C17" t="str">
            <v>Com-DataCenters-7P_V4.xlsx</v>
          </cell>
          <cell r="F17" t="str">
            <v>Data Centers</v>
          </cell>
          <cell r="G17">
            <v>42057</v>
          </cell>
          <cell r="H17">
            <v>261.31837015129264</v>
          </cell>
          <cell r="I17">
            <v>0</v>
          </cell>
          <cell r="K17" t="str">
            <v/>
          </cell>
          <cell r="O17" t="str">
            <v>cg</v>
          </cell>
          <cell r="R17">
            <v>42069</v>
          </cell>
          <cell r="T17">
            <v>42069</v>
          </cell>
        </row>
        <row r="18">
          <cell r="B18" t="str">
            <v>Monitor-NR</v>
          </cell>
          <cell r="C18" t="str">
            <v>COM-Computers-7P_V1.xlsx</v>
          </cell>
          <cell r="F18" t="str">
            <v>ENERGY STAR Monitor</v>
          </cell>
          <cell r="H18">
            <v>24.336936136177435</v>
          </cell>
          <cell r="I18">
            <v>0</v>
          </cell>
          <cell r="K18" t="str">
            <v/>
          </cell>
          <cell r="O18" t="str">
            <v>tj</v>
          </cell>
        </row>
        <row r="19">
          <cell r="B19" t="str">
            <v>Desktop-NR</v>
          </cell>
          <cell r="C19" t="str">
            <v>COM-Computers-7P_V1.xlsx</v>
          </cell>
          <cell r="F19" t="str">
            <v>ENERGY STAR Desktop</v>
          </cell>
          <cell r="H19">
            <v>55.8193241357245</v>
          </cell>
          <cell r="I19">
            <v>0</v>
          </cell>
          <cell r="K19" t="str">
            <v/>
          </cell>
          <cell r="O19" t="str">
            <v>tj</v>
          </cell>
        </row>
        <row r="20">
          <cell r="B20" t="str">
            <v>Pre-Rinse Spray Valve-Retro</v>
          </cell>
          <cell r="C20" t="str">
            <v>COM-PreRinseSpray-7P_V2.xlsm</v>
          </cell>
          <cell r="F20" t="str">
            <v>Pre-Rinse Spray Valve</v>
          </cell>
          <cell r="H20">
            <v>0.97671631632425404</v>
          </cell>
          <cell r="I20">
            <v>0</v>
          </cell>
          <cell r="K20">
            <v>1.8020364840570837</v>
          </cell>
          <cell r="O20" t="str">
            <v>ks</v>
          </cell>
        </row>
        <row r="21">
          <cell r="B21" t="str">
            <v>Cooking Equipment-NR</v>
          </cell>
          <cell r="C21" t="str">
            <v>COM-Cooking-7P_V4.xlsm</v>
          </cell>
          <cell r="F21" t="str">
            <v>Cooking Equipment</v>
          </cell>
          <cell r="H21">
            <v>66.300435443908256</v>
          </cell>
          <cell r="I21">
            <v>0</v>
          </cell>
          <cell r="K21">
            <v>31.83672767383753</v>
          </cell>
          <cell r="O21" t="str">
            <v>ks</v>
          </cell>
        </row>
        <row r="22">
          <cell r="B22" t="str">
            <v>Premium HVAC Equipment-New</v>
          </cell>
          <cell r="C22" t="str">
            <v>dropped for 7p Stds</v>
          </cell>
          <cell r="F22" t="str">
            <v>Premium HVAC Equipment</v>
          </cell>
          <cell r="H22">
            <v>0</v>
          </cell>
          <cell r="K22">
            <v>7.3598915362035227</v>
          </cell>
        </row>
        <row r="23">
          <cell r="B23" t="str">
            <v>Premium HVAC Equipment-NR</v>
          </cell>
          <cell r="C23" t="str">
            <v>dropped for 7p Stds</v>
          </cell>
          <cell r="F23" t="str">
            <v>Premium HVAC Equipment</v>
          </cell>
          <cell r="H23">
            <v>0</v>
          </cell>
          <cell r="K23">
            <v>28.437885955279242</v>
          </cell>
        </row>
        <row r="24">
          <cell r="B24" t="str">
            <v>Glass-New</v>
          </cell>
          <cell r="C24" t="str">
            <v>dropped for 7p - codes</v>
          </cell>
          <cell r="F24" t="str">
            <v>Windows</v>
          </cell>
          <cell r="K24">
            <v>3.1359227208655991</v>
          </cell>
        </row>
        <row r="25">
          <cell r="B25" t="str">
            <v>Glass-NR</v>
          </cell>
          <cell r="C25" t="str">
            <v>dropped for 7p - codes</v>
          </cell>
          <cell r="F25" t="str">
            <v>Windows</v>
          </cell>
          <cell r="K25">
            <v>7.2056124298919988</v>
          </cell>
        </row>
        <row r="26">
          <cell r="B26" t="str">
            <v>Glass-Retro</v>
          </cell>
          <cell r="C26" t="str">
            <v>see secondary glazing</v>
          </cell>
          <cell r="F26" t="str">
            <v>Windows</v>
          </cell>
          <cell r="K26">
            <v>20.889312946804694</v>
          </cell>
        </row>
        <row r="27">
          <cell r="B27" t="str">
            <v>Advanced Rooftop Controller-New</v>
          </cell>
          <cell r="F27" t="str">
            <v>Advanced Rooftop Controller</v>
          </cell>
          <cell r="K27" t="str">
            <v/>
          </cell>
          <cell r="O27" t="str">
            <v>ks</v>
          </cell>
        </row>
        <row r="28">
          <cell r="B28" t="str">
            <v>Advanced Rooftop Controller-NR</v>
          </cell>
          <cell r="F28" t="str">
            <v>Advanced Rooftop Controller</v>
          </cell>
          <cell r="K28" t="str">
            <v/>
          </cell>
          <cell r="O28" t="str">
            <v>ks</v>
          </cell>
        </row>
        <row r="29">
          <cell r="B29" t="str">
            <v>Advanced Rooftop Controller-Retro</v>
          </cell>
          <cell r="C29" t="str">
            <v>Com-RooftopController-7P_V5.xlsm</v>
          </cell>
          <cell r="F29" t="str">
            <v>Advanced Rooftop Controller</v>
          </cell>
          <cell r="H29">
            <v>119.37282587197582</v>
          </cell>
          <cell r="I29">
            <v>0</v>
          </cell>
          <cell r="K29" t="str">
            <v/>
          </cell>
          <cell r="O29" t="str">
            <v>ks</v>
          </cell>
        </row>
        <row r="30">
          <cell r="B30" t="str">
            <v>Variable Speed Chiller-New</v>
          </cell>
          <cell r="F30" t="str">
            <v>Variable Speed Chiller</v>
          </cell>
          <cell r="K30">
            <v>1.1125921894779771</v>
          </cell>
        </row>
        <row r="31">
          <cell r="B31" t="str">
            <v>Variable Speed Chiller-NR</v>
          </cell>
          <cell r="F31" t="str">
            <v>Variable Speed Chiller</v>
          </cell>
          <cell r="K31">
            <v>12.287439737441444</v>
          </cell>
        </row>
        <row r="32">
          <cell r="B32" t="str">
            <v>Commercial EM-New</v>
          </cell>
          <cell r="F32" t="str">
            <v>Commercial Energy Management For Complex systems</v>
          </cell>
          <cell r="K32">
            <v>9.3003260024451517</v>
          </cell>
        </row>
        <row r="33">
          <cell r="B33" t="str">
            <v>Commercial EM-NR</v>
          </cell>
          <cell r="F33" t="str">
            <v>Commercial Energy Management For Complex systems</v>
          </cell>
          <cell r="K33">
            <v>0</v>
          </cell>
          <cell r="O33" t="str">
            <v>ks</v>
          </cell>
        </row>
        <row r="34">
          <cell r="B34" t="str">
            <v>Commercial EM-Retro</v>
          </cell>
          <cell r="C34" t="str">
            <v>COM-EM-Retro-7P_V3.xlsm</v>
          </cell>
          <cell r="F34" t="str">
            <v>Commercial Energy Management For Complex systems</v>
          </cell>
          <cell r="H34">
            <v>73.075152066903428</v>
          </cell>
          <cell r="I34">
            <v>10.961272810035513</v>
          </cell>
          <cell r="K34">
            <v>120.33075078506094</v>
          </cell>
          <cell r="O34" t="str">
            <v>ks</v>
          </cell>
        </row>
        <row r="35">
          <cell r="B35" t="str">
            <v>Evaporative Assist Cooling-New</v>
          </cell>
          <cell r="C35" t="str">
            <v>dropped for 7p - no data</v>
          </cell>
          <cell r="F35" t="str">
            <v>Evaporative Assist Cooling</v>
          </cell>
          <cell r="K35">
            <v>0</v>
          </cell>
        </row>
        <row r="36">
          <cell r="B36" t="str">
            <v>Evaporative Assist Cooling-NR</v>
          </cell>
          <cell r="C36" t="str">
            <v>dropped for 7p - no data</v>
          </cell>
          <cell r="F36" t="str">
            <v>Evaporative Assist Cooling</v>
          </cell>
          <cell r="K36">
            <v>0</v>
          </cell>
        </row>
        <row r="37">
          <cell r="B37" t="str">
            <v>Economizer-Retro</v>
          </cell>
          <cell r="C37" t="str">
            <v>COM-Economizer-7P_v1.xlsm</v>
          </cell>
          <cell r="F37" t="str">
            <v>Economizer maintenance and repair</v>
          </cell>
          <cell r="H37">
            <v>26.426181974293137</v>
          </cell>
          <cell r="K37">
            <v>5.9129303419382238</v>
          </cell>
        </row>
        <row r="38">
          <cell r="B38" t="str">
            <v>Demand Control Ventilation-New</v>
          </cell>
          <cell r="F38" t="str">
            <v>Demand Control Ventilation</v>
          </cell>
          <cell r="K38">
            <v>3.7806867212698152</v>
          </cell>
          <cell r="O38" t="str">
            <v>ks</v>
          </cell>
        </row>
        <row r="39">
          <cell r="B39" t="str">
            <v>Demand Control Ventilation-NR</v>
          </cell>
          <cell r="F39" t="str">
            <v>Demand Control Ventilation</v>
          </cell>
          <cell r="K39">
            <v>3.1208141189685712</v>
          </cell>
          <cell r="O39" t="str">
            <v>ks</v>
          </cell>
        </row>
        <row r="40">
          <cell r="B40" t="str">
            <v>Demand Control Ventilation-Retro</v>
          </cell>
          <cell r="C40" t="str">
            <v>Com-DCV-7P_V2.xlsm</v>
          </cell>
          <cell r="F40" t="str">
            <v>Demand Control Ventilation</v>
          </cell>
          <cell r="H40">
            <v>28.430557997918477</v>
          </cell>
          <cell r="I40">
            <v>0</v>
          </cell>
          <cell r="K40">
            <v>18.586994736156402</v>
          </cell>
          <cell r="O40" t="str">
            <v>ks</v>
          </cell>
        </row>
        <row r="41">
          <cell r="B41" t="str">
            <v>Premium Fume Hood-NR</v>
          </cell>
          <cell r="C41" t="str">
            <v>COM-FumeHood-7P_V1.xlsm</v>
          </cell>
          <cell r="F41" t="str">
            <v>Premium Fume Hood</v>
          </cell>
          <cell r="H41">
            <v>3.8878892674922914</v>
          </cell>
          <cell r="I41">
            <v>0</v>
          </cell>
          <cell r="K41">
            <v>19.625784442962761</v>
          </cell>
          <cell r="O41" t="str">
            <v>ks</v>
          </cell>
        </row>
        <row r="42">
          <cell r="B42" t="str">
            <v>DCV Restaurant Hood-Retro</v>
          </cell>
          <cell r="F42" t="str">
            <v>DCV Restaurant Hood</v>
          </cell>
          <cell r="K42">
            <v>5.2084283011879595</v>
          </cell>
          <cell r="O42" t="str">
            <v>ks</v>
          </cell>
        </row>
        <row r="43">
          <cell r="B43" t="str">
            <v>DCV Parking Garage-Retro</v>
          </cell>
          <cell r="C43" t="str">
            <v>COM-DCV-Garage-7P_V3.xlsm</v>
          </cell>
          <cell r="F43" t="str">
            <v>DCV Parking Garage</v>
          </cell>
          <cell r="H43">
            <v>12.888276850646843</v>
          </cell>
          <cell r="K43">
            <v>0</v>
          </cell>
          <cell r="O43" t="str">
            <v>ks</v>
          </cell>
        </row>
        <row r="44">
          <cell r="B44" t="str">
            <v>Weatherization - School-Retro</v>
          </cell>
          <cell r="F44" t="str">
            <v>Weatherization - School</v>
          </cell>
          <cell r="K44" t="str">
            <v/>
          </cell>
        </row>
        <row r="45">
          <cell r="B45" t="str">
            <v>Energy Recovery Ventilator-NR</v>
          </cell>
          <cell r="C45" t="str">
            <v>dropped for 7p - too expensive</v>
          </cell>
          <cell r="F45" t="str">
            <v>Heat Recovery Ventilation</v>
          </cell>
          <cell r="K45" t="str">
            <v/>
          </cell>
        </row>
        <row r="46">
          <cell r="B46" t="str">
            <v>AC Heat Recovery for Water Heating-NR</v>
          </cell>
          <cell r="C46" t="str">
            <v>dropped for 7p</v>
          </cell>
          <cell r="F46" t="str">
            <v>AC Heat Recovery for Water Heating</v>
          </cell>
          <cell r="K46" t="str">
            <v/>
          </cell>
        </row>
        <row r="47">
          <cell r="B47" t="str">
            <v>Room Occupancy Sensors in Lodging-Retro</v>
          </cell>
          <cell r="C47" t="str">
            <v>dropped for 7p</v>
          </cell>
          <cell r="F47" t="str">
            <v>Room Occupancy Sensors in Lodging</v>
          </cell>
          <cell r="K47" t="str">
            <v/>
          </cell>
        </row>
        <row r="48">
          <cell r="B48" t="str">
            <v>Chiller - chilled water retrofit-Retro</v>
          </cell>
          <cell r="F48" t="str">
            <v>Chiller - chilled water retrofit</v>
          </cell>
          <cell r="K48" t="str">
            <v/>
          </cell>
        </row>
        <row r="49">
          <cell r="B49" t="str">
            <v>Chiller - equip retrofits-Retro</v>
          </cell>
          <cell r="F49" t="str">
            <v>Chiller - equip retrofits</v>
          </cell>
          <cell r="K49" t="str">
            <v/>
          </cell>
        </row>
        <row r="50">
          <cell r="B50" t="str">
            <v>Pool Blankets-Retro</v>
          </cell>
          <cell r="F50" t="str">
            <v>Pool Blankets</v>
          </cell>
          <cell r="K50" t="str">
            <v/>
          </cell>
        </row>
        <row r="51">
          <cell r="B51" t="str">
            <v>Web-Enabled Thermostats-Retro</v>
          </cell>
          <cell r="F51" t="str">
            <v>Web-Enabled Thermostats</v>
          </cell>
          <cell r="K51" t="str">
            <v/>
          </cell>
        </row>
        <row r="52">
          <cell r="B52" t="str">
            <v>Garage CO2 ventilation-Retro</v>
          </cell>
          <cell r="C52" t="str">
            <v>see com-dcv-garage</v>
          </cell>
          <cell r="F52" t="str">
            <v>Garage CO2 ventilation</v>
          </cell>
          <cell r="K52" t="str">
            <v/>
          </cell>
          <cell r="O52" t="str">
            <v>ks</v>
          </cell>
        </row>
        <row r="53">
          <cell r="B53" t="str">
            <v>Circ Pump ECM and drive-Retro</v>
          </cell>
          <cell r="F53" t="str">
            <v>Circ Pump ECM and drive</v>
          </cell>
          <cell r="K53" t="str">
            <v/>
          </cell>
        </row>
        <row r="54">
          <cell r="B54" t="str">
            <v>VRF-New</v>
          </cell>
          <cell r="C54" t="str">
            <v>COM-VRF-7P_V5.xlsm</v>
          </cell>
          <cell r="F54" t="str">
            <v>Variable Refrigerant Flow</v>
          </cell>
          <cell r="H54">
            <v>61.089028709904269</v>
          </cell>
          <cell r="I54">
            <v>61.089028709904269</v>
          </cell>
          <cell r="K54" t="str">
            <v/>
          </cell>
          <cell r="O54" t="str">
            <v>ks</v>
          </cell>
        </row>
        <row r="55">
          <cell r="B55" t="str">
            <v>VRF-Retro</v>
          </cell>
          <cell r="C55" t="str">
            <v>COM-VRF-7P_V5.xlsm</v>
          </cell>
          <cell r="F55" t="str">
            <v>Variable Refrigerant Flow</v>
          </cell>
          <cell r="H55">
            <v>31.395155521232557</v>
          </cell>
          <cell r="K55" t="str">
            <v/>
          </cell>
          <cell r="O55" t="str">
            <v>ks</v>
          </cell>
        </row>
        <row r="56">
          <cell r="B56" t="str">
            <v>Evaporator Roof Top HVAC-Retro</v>
          </cell>
          <cell r="C56" t="str">
            <v>dropped for 7p</v>
          </cell>
          <cell r="F56" t="str">
            <v>Evaporator Roof Top HVAC</v>
          </cell>
          <cell r="K56" t="str">
            <v/>
          </cell>
        </row>
        <row r="57">
          <cell r="B57" t="str">
            <v>Secondary Glazing Systems-Retro</v>
          </cell>
          <cell r="C57" t="str">
            <v>Com-WindowSGS-7P_V3.xlsx</v>
          </cell>
          <cell r="F57" t="str">
            <v>Secondary Glazing Systems</v>
          </cell>
          <cell r="G57">
            <v>42063</v>
          </cell>
          <cell r="H57">
            <v>40.390797895321441</v>
          </cell>
          <cell r="K57" t="str">
            <v/>
          </cell>
          <cell r="O57" t="str">
            <v>cg</v>
          </cell>
          <cell r="R57">
            <v>42069</v>
          </cell>
          <cell r="T57">
            <v>42069</v>
          </cell>
        </row>
        <row r="58">
          <cell r="B58" t="str">
            <v>LPD Package-New</v>
          </cell>
          <cell r="C58" t="str">
            <v>Com-LightingInterior-7P_v36.xlsx</v>
          </cell>
          <cell r="F58" t="str">
            <v>Lighting Power Density</v>
          </cell>
          <cell r="G58">
            <v>42070</v>
          </cell>
          <cell r="H58">
            <v>77.181342695273457</v>
          </cell>
          <cell r="I58">
            <v>77.181342695273457</v>
          </cell>
          <cell r="K58">
            <v>43.425816906114818</v>
          </cell>
          <cell r="O58" t="str">
            <v>cg</v>
          </cell>
          <cell r="P58">
            <v>42070</v>
          </cell>
          <cell r="Q58">
            <v>42070</v>
          </cell>
          <cell r="R58">
            <v>42069</v>
          </cell>
          <cell r="T58">
            <v>42069</v>
          </cell>
          <cell r="U58">
            <v>42070</v>
          </cell>
        </row>
        <row r="59">
          <cell r="B59" t="str">
            <v>LPD Package-NR</v>
          </cell>
          <cell r="C59" t="str">
            <v>Com-LightingInterior-7P_v36.xlsx</v>
          </cell>
          <cell r="F59" t="str">
            <v>Lighting Power Density</v>
          </cell>
          <cell r="G59">
            <v>42070</v>
          </cell>
          <cell r="H59">
            <v>209.62341372597962</v>
          </cell>
          <cell r="K59">
            <v>288.64083212829757</v>
          </cell>
          <cell r="O59" t="str">
            <v>cg</v>
          </cell>
          <cell r="P59">
            <v>42070</v>
          </cell>
          <cell r="Q59">
            <v>42070</v>
          </cell>
          <cell r="R59">
            <v>42069</v>
          </cell>
          <cell r="T59">
            <v>42069</v>
          </cell>
          <cell r="U59">
            <v>42070</v>
          </cell>
        </row>
        <row r="60">
          <cell r="B60" t="str">
            <v>LPD Package-Retro</v>
          </cell>
          <cell r="C60" t="str">
            <v>Com-LightingInterior-7P_v36.xlsx</v>
          </cell>
          <cell r="F60" t="str">
            <v>Lighting Power Density</v>
          </cell>
          <cell r="G60">
            <v>42070</v>
          </cell>
          <cell r="H60">
            <v>108.93189922488979</v>
          </cell>
          <cell r="K60">
            <v>32.215584324387343</v>
          </cell>
          <cell r="O60" t="str">
            <v>cg</v>
          </cell>
          <cell r="P60">
            <v>42070</v>
          </cell>
          <cell r="Q60">
            <v>42070</v>
          </cell>
          <cell r="R60">
            <v>42069</v>
          </cell>
          <cell r="T60">
            <v>42069</v>
          </cell>
          <cell r="U60">
            <v>42070</v>
          </cell>
        </row>
        <row r="61">
          <cell r="B61" t="str">
            <v>Top Daylighting-New</v>
          </cell>
          <cell r="C61" t="str">
            <v>dropped for 7p - codes</v>
          </cell>
          <cell r="F61" t="str">
            <v>Daylighting with Skylights</v>
          </cell>
          <cell r="K61">
            <v>17.425003592262602</v>
          </cell>
          <cell r="O61" t="str">
            <v>cg</v>
          </cell>
          <cell r="R61">
            <v>42069</v>
          </cell>
          <cell r="T61">
            <v>42069</v>
          </cell>
        </row>
        <row r="62">
          <cell r="B62" t="str">
            <v>Perimeter Daylighting Controls Advanced-New</v>
          </cell>
          <cell r="C62" t="str">
            <v>dropped for 7p - codes</v>
          </cell>
          <cell r="F62" t="str">
            <v>Daylighting with Windows</v>
          </cell>
          <cell r="K62">
            <v>3.1006916194307825</v>
          </cell>
          <cell r="O62" t="str">
            <v>cg</v>
          </cell>
          <cell r="R62">
            <v>42069</v>
          </cell>
          <cell r="T62">
            <v>42069</v>
          </cell>
        </row>
        <row r="63">
          <cell r="B63" t="str">
            <v>Perimeter Daylighting Controls Advanced-NR</v>
          </cell>
          <cell r="F63" t="str">
            <v>Daylighting with Windows</v>
          </cell>
          <cell r="K63">
            <v>11.866846651298719</v>
          </cell>
          <cell r="O63" t="str">
            <v>cg</v>
          </cell>
          <cell r="R63">
            <v>42069</v>
          </cell>
          <cell r="T63">
            <v>42069</v>
          </cell>
        </row>
        <row r="64">
          <cell r="B64" t="str">
            <v>Lighting Controls Interior-New</v>
          </cell>
          <cell r="C64" t="str">
            <v>Com-InteriorLightingControls-7P_V5.xlsx</v>
          </cell>
          <cell r="F64" t="str">
            <v>Lighting Controls Interior</v>
          </cell>
          <cell r="G64">
            <v>42071</v>
          </cell>
          <cell r="H64">
            <v>10.950320424220106</v>
          </cell>
          <cell r="I64">
            <v>10.950320424220106</v>
          </cell>
          <cell r="K64">
            <v>5.4534720066331879</v>
          </cell>
          <cell r="O64" t="str">
            <v>cg</v>
          </cell>
          <cell r="R64">
            <v>42069</v>
          </cell>
          <cell r="T64">
            <v>42069</v>
          </cell>
        </row>
        <row r="65">
          <cell r="B65" t="str">
            <v>Lighting Controls Interior-NR</v>
          </cell>
          <cell r="C65" t="str">
            <v>Com-InteriorLightingControls-7P_V5.xlsx</v>
          </cell>
          <cell r="F65" t="str">
            <v>Lighting Controls Interior</v>
          </cell>
          <cell r="G65">
            <v>42071</v>
          </cell>
          <cell r="H65">
            <v>26.31391009160577</v>
          </cell>
          <cell r="K65">
            <v>53.550862716639848</v>
          </cell>
          <cell r="O65" t="str">
            <v>cg</v>
          </cell>
          <cell r="R65">
            <v>42069</v>
          </cell>
          <cell r="T65">
            <v>42069</v>
          </cell>
        </row>
        <row r="66">
          <cell r="B66" t="str">
            <v>Exterior Building Lighting-New</v>
          </cell>
          <cell r="C66" t="str">
            <v>Com-ExteriorLighting-7P_V13.xlsx</v>
          </cell>
          <cell r="F66" t="str">
            <v>Exterior Building Lighting</v>
          </cell>
          <cell r="G66">
            <v>42070</v>
          </cell>
          <cell r="H66">
            <v>18.695722892998404</v>
          </cell>
          <cell r="I66">
            <v>18.695722892998404</v>
          </cell>
          <cell r="K66">
            <v>23.218243762601482</v>
          </cell>
          <cell r="O66" t="str">
            <v>cg</v>
          </cell>
          <cell r="P66">
            <v>42069</v>
          </cell>
          <cell r="Q66">
            <v>42069</v>
          </cell>
          <cell r="R66">
            <v>42069</v>
          </cell>
          <cell r="T66">
            <v>42069</v>
          </cell>
          <cell r="U66">
            <v>42069</v>
          </cell>
        </row>
        <row r="67">
          <cell r="B67" t="str">
            <v>Exterior Building Lighting-NR</v>
          </cell>
          <cell r="C67" t="str">
            <v>Com-ExteriorLighting-7P_V13.xlsx</v>
          </cell>
          <cell r="F67" t="str">
            <v>Exterior Building Lighting</v>
          </cell>
          <cell r="G67">
            <v>42070</v>
          </cell>
          <cell r="H67">
            <v>123.72449000056638</v>
          </cell>
          <cell r="K67">
            <v>65.152385048123932</v>
          </cell>
          <cell r="O67" t="str">
            <v>cg</v>
          </cell>
          <cell r="P67">
            <v>42069</v>
          </cell>
          <cell r="Q67">
            <v>42069</v>
          </cell>
          <cell r="R67">
            <v>42069</v>
          </cell>
          <cell r="T67">
            <v>42069</v>
          </cell>
          <cell r="U67">
            <v>42069</v>
          </cell>
        </row>
        <row r="68">
          <cell r="B68" t="str">
            <v>Street and Roadway Lighting-New</v>
          </cell>
          <cell r="C68" t="str">
            <v>Com-Streetlight-7P_V8.xlsx</v>
          </cell>
          <cell r="F68" t="str">
            <v>Street and Roadway Lighting</v>
          </cell>
          <cell r="G68">
            <v>42070</v>
          </cell>
          <cell r="H68">
            <v>6.6186035002887751</v>
          </cell>
          <cell r="K68">
            <v>8.0478163439427366</v>
          </cell>
          <cell r="O68" t="str">
            <v>cg</v>
          </cell>
          <cell r="P68">
            <v>42069</v>
          </cell>
          <cell r="Q68">
            <v>42069</v>
          </cell>
          <cell r="R68">
            <v>42069</v>
          </cell>
          <cell r="T68">
            <v>42069</v>
          </cell>
          <cell r="U68">
            <v>42069</v>
          </cell>
        </row>
        <row r="69">
          <cell r="B69" t="str">
            <v>Street and Roadway Lighting-NR</v>
          </cell>
          <cell r="C69" t="str">
            <v>Com-Streetlight-7P_V8.xlsx</v>
          </cell>
          <cell r="F69" t="str">
            <v>Street and Roadway Lighting</v>
          </cell>
          <cell r="G69">
            <v>42070</v>
          </cell>
          <cell r="H69">
            <v>54.214701088024171</v>
          </cell>
          <cell r="K69">
            <v>35.768242090251178</v>
          </cell>
          <cell r="O69" t="str">
            <v>cg</v>
          </cell>
          <cell r="P69">
            <v>42069</v>
          </cell>
          <cell r="Q69">
            <v>42069</v>
          </cell>
          <cell r="R69">
            <v>42069</v>
          </cell>
          <cell r="T69">
            <v>42069</v>
          </cell>
          <cell r="U69">
            <v>42069</v>
          </cell>
        </row>
        <row r="70">
          <cell r="B70" t="str">
            <v>Parking Lighting-New</v>
          </cell>
          <cell r="F70" t="str">
            <v>Parking Lighting</v>
          </cell>
          <cell r="I70">
            <v>0</v>
          </cell>
          <cell r="K70">
            <v>8.3762581743454216</v>
          </cell>
          <cell r="O70" t="str">
            <v>cg</v>
          </cell>
          <cell r="R70">
            <v>42069</v>
          </cell>
          <cell r="T70">
            <v>42069</v>
          </cell>
        </row>
        <row r="71">
          <cell r="B71" t="str">
            <v>Parking Lighting-NR</v>
          </cell>
          <cell r="C71" t="str">
            <v>Com-ParkingGarageLighting-7P_v6.xlsx</v>
          </cell>
          <cell r="F71" t="str">
            <v>Parking Lighting</v>
          </cell>
          <cell r="G71">
            <v>42064</v>
          </cell>
          <cell r="H71">
            <v>8.4133728390346398</v>
          </cell>
          <cell r="K71">
            <v>45.816647060114327</v>
          </cell>
          <cell r="O71" t="str">
            <v>cg</v>
          </cell>
          <cell r="R71">
            <v>42069</v>
          </cell>
          <cell r="T71">
            <v>42069</v>
          </cell>
        </row>
        <row r="72">
          <cell r="B72" t="str">
            <v>Bi-Level Stairwell Lighting-NR</v>
          </cell>
          <cell r="C72" t="str">
            <v>Com-Bi-Level Stairwell-7P_V2.xlsx</v>
          </cell>
          <cell r="F72" t="str">
            <v>Bi-Level Stairwell</v>
          </cell>
          <cell r="G72">
            <v>42064</v>
          </cell>
          <cell r="H72">
            <v>11.858348727423326</v>
          </cell>
          <cell r="K72" t="str">
            <v/>
          </cell>
          <cell r="O72" t="str">
            <v>cg</v>
          </cell>
          <cell r="R72">
            <v>42069</v>
          </cell>
          <cell r="T72">
            <v>42069</v>
          </cell>
        </row>
        <row r="73">
          <cell r="B73" t="str">
            <v>ECM-VAV-New</v>
          </cell>
          <cell r="C73" t="str">
            <v>COM-ECM-VAV-7P_V2.xlsm</v>
          </cell>
          <cell r="F73" t="str">
            <v>ECM Motors on Variable Air Volume Boxes</v>
          </cell>
          <cell r="H73">
            <v>6.3907640383945719</v>
          </cell>
          <cell r="I73">
            <v>6.3907640383945719</v>
          </cell>
          <cell r="K73">
            <v>2.5095329434297415</v>
          </cell>
          <cell r="O73" t="str">
            <v>ks</v>
          </cell>
        </row>
        <row r="74">
          <cell r="B74" t="str">
            <v>ECM-VAV-NR</v>
          </cell>
          <cell r="C74" t="str">
            <v>COM-ECM-VAV-7P_V2.xlsm</v>
          </cell>
          <cell r="F74" t="str">
            <v>ECM Motors on Variable Air Volume Boxes</v>
          </cell>
          <cell r="H74">
            <v>27.229691418576945</v>
          </cell>
          <cell r="K74">
            <v>8.5068284449929461</v>
          </cell>
          <cell r="O74" t="str">
            <v>ks</v>
          </cell>
        </row>
        <row r="75">
          <cell r="B75" t="str">
            <v>Pool pumps-Retro</v>
          </cell>
          <cell r="C75" t="str">
            <v>dropped for 7p</v>
          </cell>
          <cell r="F75" t="str">
            <v>Pool pumps</v>
          </cell>
          <cell r="K75" t="str">
            <v/>
          </cell>
        </row>
        <row r="76">
          <cell r="B76" t="str">
            <v>MotorsRewind-New</v>
          </cell>
          <cell r="C76" t="str">
            <v>COM-MotorsRewind-7P_v1.xlsm</v>
          </cell>
          <cell r="F76" t="str">
            <v>Motors - Rewind</v>
          </cell>
          <cell r="H76">
            <v>0.59897056594621811</v>
          </cell>
          <cell r="I76">
            <v>0.59897056594621811</v>
          </cell>
          <cell r="K76" t="str">
            <v/>
          </cell>
          <cell r="O76" t="str">
            <v>ks</v>
          </cell>
        </row>
        <row r="77">
          <cell r="B77" t="str">
            <v>MotorsRewind-NR</v>
          </cell>
          <cell r="C77" t="str">
            <v>COM-MotorsRewind-7P_v1.xlsm</v>
          </cell>
          <cell r="F77" t="str">
            <v>Motors - Rewind</v>
          </cell>
          <cell r="H77">
            <v>2.6079890407215234</v>
          </cell>
          <cell r="K77" t="str">
            <v/>
          </cell>
          <cell r="O77" t="str">
            <v>ks</v>
          </cell>
        </row>
        <row r="78">
          <cell r="B78" t="str">
            <v>Municipal Sewage Treatment-Retro</v>
          </cell>
          <cell r="C78" t="str">
            <v>COM-Wastewater-7P_V4.xlsm</v>
          </cell>
          <cell r="D78" t="str">
            <v>SC_Retro</v>
          </cell>
          <cell r="E78" t="str">
            <v>Retro</v>
          </cell>
          <cell r="F78" t="str">
            <v>Municipal Sewage Treatment</v>
          </cell>
          <cell r="H78">
            <v>35.293413394978195</v>
          </cell>
          <cell r="K78">
            <v>35.639494471243012</v>
          </cell>
          <cell r="O78" t="str">
            <v>ks</v>
          </cell>
        </row>
        <row r="79">
          <cell r="B79" t="str">
            <v>Municipal Water Supply-Retro</v>
          </cell>
          <cell r="C79" t="str">
            <v>COM-WaterSupply-7P_V4.xlsm</v>
          </cell>
          <cell r="D79" t="str">
            <v>SC_Retro</v>
          </cell>
          <cell r="E79" t="str">
            <v>Retro</v>
          </cell>
          <cell r="F79" t="str">
            <v>Municipal Water Supply</v>
          </cell>
          <cell r="H79">
            <v>14.07904856503921</v>
          </cell>
          <cell r="K79">
            <v>13.786942026010605</v>
          </cell>
          <cell r="O79" t="str">
            <v>ks</v>
          </cell>
        </row>
        <row r="80">
          <cell r="B80" t="str">
            <v>Engine Generator Block Heaters-Retro</v>
          </cell>
          <cell r="C80" t="str">
            <v>dropped for 7p</v>
          </cell>
          <cell r="F80" t="str">
            <v>Engine Generator Block Heaters</v>
          </cell>
          <cell r="K80" t="str">
            <v/>
          </cell>
        </row>
        <row r="81">
          <cell r="B81" t="str">
            <v>Grocery Refrigeration Bundle-Retro</v>
          </cell>
          <cell r="C81" t="str">
            <v>Com-Grocery-7P_V5p.xlsx</v>
          </cell>
          <cell r="F81" t="str">
            <v>Grocery Refrigeration Bundle</v>
          </cell>
          <cell r="G81">
            <v>42064</v>
          </cell>
          <cell r="H81">
            <v>63.534810180973587</v>
          </cell>
          <cell r="K81">
            <v>85.641041401934004</v>
          </cell>
          <cell r="O81" t="str">
            <v>cg</v>
          </cell>
          <cell r="R81">
            <v>42069</v>
          </cell>
          <cell r="T81">
            <v>42069</v>
          </cell>
        </row>
        <row r="82">
          <cell r="B82" t="str">
            <v>Packaged Refrigeration Equipment-New</v>
          </cell>
          <cell r="C82" t="str">
            <v>dropped for 7p - stds</v>
          </cell>
          <cell r="F82" t="str">
            <v>Packaged Refrigeration Equipment</v>
          </cell>
          <cell r="K82">
            <v>49.431909921506794</v>
          </cell>
        </row>
        <row r="83">
          <cell r="B83" t="str">
            <v>Appliances - Freezers-NR</v>
          </cell>
          <cell r="F83" t="str">
            <v>Appliances - Freezers</v>
          </cell>
          <cell r="K83" t="str">
            <v/>
          </cell>
        </row>
        <row r="84">
          <cell r="B84" t="str">
            <v>Appliances - Refrigerators-NR</v>
          </cell>
          <cell r="F84" t="str">
            <v>Appliances - Refrigerators</v>
          </cell>
          <cell r="K84" t="str">
            <v/>
          </cell>
        </row>
        <row r="85">
          <cell r="B85" t="str">
            <v>Water Cooler Controls-NR</v>
          </cell>
          <cell r="C85" t="str">
            <v>Com-WaterCooler-7P_V3.xlsx</v>
          </cell>
          <cell r="F85" t="str">
            <v>Water Cooler Controls</v>
          </cell>
          <cell r="G85">
            <v>42063</v>
          </cell>
          <cell r="H85">
            <v>13.180394293600866</v>
          </cell>
          <cell r="K85" t="str">
            <v/>
          </cell>
          <cell r="O85" t="str">
            <v>cg</v>
          </cell>
          <cell r="R85">
            <v>42069</v>
          </cell>
          <cell r="T85">
            <v>42069</v>
          </cell>
        </row>
        <row r="86">
          <cell r="B86" t="str">
            <v>WHTanks-New</v>
          </cell>
          <cell r="C86" t="str">
            <v>COM-WHTanks-7p_v4.xlsm</v>
          </cell>
          <cell r="F86" t="str">
            <v>DHW - Efficient Tanks</v>
          </cell>
          <cell r="H86">
            <v>0.49370461821151984</v>
          </cell>
          <cell r="I86">
            <v>0.49370461821151984</v>
          </cell>
          <cell r="K86">
            <v>0</v>
          </cell>
          <cell r="O86" t="str">
            <v>ks</v>
          </cell>
        </row>
        <row r="87">
          <cell r="B87" t="str">
            <v>WHTanks-NR</v>
          </cell>
          <cell r="C87" t="str">
            <v>COM-WHTanks-7p_v4.xlsm</v>
          </cell>
          <cell r="F87" t="str">
            <v>DHW - Efficient Tanks</v>
          </cell>
          <cell r="H87">
            <v>2.0446577325813005</v>
          </cell>
          <cell r="K87" t="str">
            <v/>
          </cell>
          <cell r="O87" t="str">
            <v>ks</v>
          </cell>
        </row>
        <row r="88">
          <cell r="B88" t="str">
            <v>Appliances - Clothes Washers-NR</v>
          </cell>
          <cell r="F88" t="str">
            <v>Appliances - Clothes Washers</v>
          </cell>
          <cell r="K88" t="str">
            <v/>
          </cell>
        </row>
        <row r="89">
          <cell r="B89" t="str">
            <v>Showerheads-Retro</v>
          </cell>
          <cell r="C89" t="str">
            <v>COM-Showerhead-7P_v2.xlsm</v>
          </cell>
          <cell r="F89" t="str">
            <v>DHW - Showerheads</v>
          </cell>
          <cell r="H89">
            <v>3.7216771353503777</v>
          </cell>
          <cell r="K89" t="str">
            <v/>
          </cell>
          <cell r="O89" t="str">
            <v>ks</v>
          </cell>
        </row>
        <row r="90">
          <cell r="B90" t="str">
            <v>Water Heating - GFHX-New</v>
          </cell>
          <cell r="C90" t="str">
            <v>dropped for 7p</v>
          </cell>
          <cell r="F90" t="str">
            <v>Water Heating - GFHX</v>
          </cell>
          <cell r="K90" t="str">
            <v/>
          </cell>
        </row>
        <row r="91">
          <cell r="B91" t="str">
            <v>Demand Control Circulating system DHW-Retro</v>
          </cell>
          <cell r="C91" t="str">
            <v>dropped for 7p</v>
          </cell>
          <cell r="F91" t="str">
            <v>Demand Control Circulating system DHW</v>
          </cell>
          <cell r="K91" t="str">
            <v/>
          </cell>
        </row>
        <row r="92">
          <cell r="B92" t="str">
            <v>Central HPWH MF-Retro</v>
          </cell>
          <cell r="F92" t="str">
            <v>Central HPWH MF</v>
          </cell>
          <cell r="K92" t="str">
            <v/>
          </cell>
        </row>
        <row r="93">
          <cell r="B93" t="str">
            <v>Ultra Low Energy Building-New</v>
          </cell>
          <cell r="F93" t="str">
            <v>Ultra Low Energy Building</v>
          </cell>
          <cell r="K93">
            <v>57.012696990717721</v>
          </cell>
          <cell r="O93" t="str">
            <v>cg</v>
          </cell>
          <cell r="R93">
            <v>42069</v>
          </cell>
          <cell r="T93">
            <v>42069</v>
          </cell>
        </row>
        <row r="94">
          <cell r="B94" t="str">
            <v>Low Power LF Lamps-NR</v>
          </cell>
          <cell r="C94" t="str">
            <v>Com-HPLowPowerGSFL-7P_V5.xlsx</v>
          </cell>
          <cell r="F94" t="str">
            <v>High Perf Low Power Fluorescent Lamp PPA</v>
          </cell>
          <cell r="G94">
            <v>42057</v>
          </cell>
          <cell r="H94">
            <v>40.479721787784023</v>
          </cell>
          <cell r="O94" t="str">
            <v>cg</v>
          </cell>
          <cell r="P94">
            <v>42070</v>
          </cell>
          <cell r="Q94">
            <v>42070</v>
          </cell>
          <cell r="R94">
            <v>42069</v>
          </cell>
          <cell r="T94">
            <v>42069</v>
          </cell>
          <cell r="U94">
            <v>42070</v>
          </cell>
        </row>
        <row r="96">
          <cell r="B96" t="str">
            <v>From 6P not in 7P</v>
          </cell>
        </row>
        <row r="97">
          <cell r="B97" t="str">
            <v>Signage-New</v>
          </cell>
          <cell r="C97" t="str">
            <v>dropped for 7p</v>
          </cell>
          <cell r="K97">
            <v>1.1088142099641565</v>
          </cell>
        </row>
        <row r="98">
          <cell r="B98" t="str">
            <v>Signage-NR</v>
          </cell>
          <cell r="C98" t="str">
            <v>dropped for 7p</v>
          </cell>
          <cell r="K98">
            <v>5.6760557940938234</v>
          </cell>
        </row>
        <row r="99">
          <cell r="B99" t="str">
            <v>Exit Signs-NR</v>
          </cell>
          <cell r="C99" t="str">
            <v>dropped for 7p</v>
          </cell>
          <cell r="H99">
            <v>741</v>
          </cell>
          <cell r="K99">
            <v>4.88794421832577</v>
          </cell>
        </row>
        <row r="100">
          <cell r="B100" t="str">
            <v>Roof Insulation-NR</v>
          </cell>
          <cell r="C100" t="str">
            <v>dropped for 7p</v>
          </cell>
          <cell r="K100">
            <v>24.79389803241914</v>
          </cell>
        </row>
        <row r="101">
          <cell r="B101" t="str">
            <v>Package Roof Top Optimization and Repair-New</v>
          </cell>
          <cell r="C101" t="str">
            <v>These will be added back into list when completed</v>
          </cell>
          <cell r="K101">
            <v>4.3297471414332787</v>
          </cell>
        </row>
        <row r="102">
          <cell r="B102" t="str">
            <v>Package Roof Top Optimization and Repair-NR</v>
          </cell>
          <cell r="C102" t="str">
            <v>These will be added back into list when completed</v>
          </cell>
          <cell r="K102">
            <v>8.0798753943758364</v>
          </cell>
        </row>
        <row r="103">
          <cell r="B103" t="str">
            <v>Package Roof Top Optimization and Repair-Retro</v>
          </cell>
          <cell r="C103" t="str">
            <v>These will be added back into list when completed</v>
          </cell>
          <cell r="K103">
            <v>13.993833635474468</v>
          </cell>
        </row>
        <row r="104">
          <cell r="B104" t="str">
            <v>Computer Servers and IT-Retro</v>
          </cell>
          <cell r="C104" t="str">
            <v>See data centers</v>
          </cell>
        </row>
        <row r="105">
          <cell r="B105" t="str">
            <v>Low Pressure Distribution Complex HVAC-New</v>
          </cell>
          <cell r="F105" t="str">
            <v>Low Pressure Distribution Complex HVAC</v>
          </cell>
        </row>
        <row r="107">
          <cell r="B107" t="str">
            <v>Considered by not included in 7P</v>
          </cell>
        </row>
        <row r="108">
          <cell r="B108" t="str">
            <v>Energy Recovery Ventilator-NR</v>
          </cell>
          <cell r="C108" t="str">
            <v>dropped for 7p - too expensive</v>
          </cell>
        </row>
        <row r="109">
          <cell r="B109" t="str">
            <v>AC Heat Recovery for Water Heating-NR</v>
          </cell>
          <cell r="C109" t="str">
            <v>dropped for 7p</v>
          </cell>
        </row>
        <row r="110">
          <cell r="B110" t="str">
            <v>Room Occupancy Sensors in Lodging-Retro</v>
          </cell>
          <cell r="C110" t="str">
            <v>dropped for 7p</v>
          </cell>
          <cell r="D110" t="str">
            <v>dropped for 7p</v>
          </cell>
          <cell r="E110" t="str">
            <v>dropped for 7p</v>
          </cell>
          <cell r="F110" t="str">
            <v>dropped for 7p</v>
          </cell>
        </row>
        <row r="111">
          <cell r="B111" t="str">
            <v>Commercial Clothes Washers-New</v>
          </cell>
          <cell r="C111" t="str">
            <v>dropped for 7p</v>
          </cell>
          <cell r="D111" t="str">
            <v>dropped for 7p</v>
          </cell>
          <cell r="E111" t="str">
            <v>dropped for 7p</v>
          </cell>
          <cell r="F111" t="str">
            <v>dropped for 7p</v>
          </cell>
        </row>
        <row r="112">
          <cell r="B112" t="str">
            <v>Switched Reluctance/Permanent Magnet Motors-Retro</v>
          </cell>
          <cell r="C112" t="str">
            <v>see ecm-vav - could be expanded to other applications</v>
          </cell>
          <cell r="F112" t="str">
            <v>Switched Reluctance/Permanent Magnet Motors</v>
          </cell>
          <cell r="L112" t="str">
            <v>power supplies</v>
          </cell>
        </row>
        <row r="113">
          <cell r="B113">
            <v>0</v>
          </cell>
          <cell r="F113">
            <v>0</v>
          </cell>
          <cell r="L113" t="str">
            <v>Computers (in ICE)</v>
          </cell>
        </row>
        <row r="114">
          <cell r="L114" t="str">
            <v>Monitors (in ICE)</v>
          </cell>
        </row>
      </sheetData>
      <sheetData sheetId="3">
        <row r="11">
          <cell r="B11" t="str">
            <v>Measure Index Name</v>
          </cell>
          <cell r="C11" t="str">
            <v>Large Off</v>
          </cell>
          <cell r="D11" t="str">
            <v>Medium Off</v>
          </cell>
          <cell r="E11" t="str">
            <v>Small Off</v>
          </cell>
          <cell r="F11" t="str">
            <v>Xlarge Ret</v>
          </cell>
          <cell r="G11" t="str">
            <v>Large Ret</v>
          </cell>
          <cell r="H11" t="str">
            <v>Medium Ret</v>
          </cell>
          <cell r="I11" t="str">
            <v>Small Ret</v>
          </cell>
          <cell r="J11" t="str">
            <v>School K-12</v>
          </cell>
          <cell r="K11" t="str">
            <v>University</v>
          </cell>
          <cell r="L11" t="str">
            <v>Warehouse</v>
          </cell>
          <cell r="M11" t="str">
            <v>Supermarket</v>
          </cell>
          <cell r="N11" t="str">
            <v>MiniMart</v>
          </cell>
          <cell r="O11" t="str">
            <v>Restaurant</v>
          </cell>
          <cell r="P11" t="str">
            <v>Lodging</v>
          </cell>
          <cell r="Q11" t="str">
            <v>Hospital</v>
          </cell>
          <cell r="R11" t="str">
            <v>Residential Care</v>
          </cell>
          <cell r="S11" t="str">
            <v>Assembly</v>
          </cell>
          <cell r="T11" t="str">
            <v>Other</v>
          </cell>
          <cell r="U11" t="str">
            <v>Non-Building Stock</v>
          </cell>
        </row>
        <row r="12">
          <cell r="B12" t="str">
            <v>Compressed Air-Retro</v>
          </cell>
          <cell r="C12">
            <v>0.01</v>
          </cell>
          <cell r="D12">
            <v>0.01</v>
          </cell>
          <cell r="E12">
            <v>0.01</v>
          </cell>
          <cell r="F12">
            <v>0.01</v>
          </cell>
          <cell r="G12">
            <v>0.01</v>
          </cell>
          <cell r="H12">
            <v>0.01</v>
          </cell>
          <cell r="I12">
            <v>0.01</v>
          </cell>
          <cell r="J12">
            <v>0.01</v>
          </cell>
          <cell r="K12">
            <v>0.01</v>
          </cell>
          <cell r="L12">
            <v>0.01</v>
          </cell>
          <cell r="M12">
            <v>0.01</v>
          </cell>
          <cell r="N12">
            <v>0.01</v>
          </cell>
          <cell r="O12">
            <v>0.01</v>
          </cell>
          <cell r="P12">
            <v>0.01</v>
          </cell>
          <cell r="Q12">
            <v>0.01</v>
          </cell>
          <cell r="R12">
            <v>0.01</v>
          </cell>
          <cell r="S12">
            <v>0.01</v>
          </cell>
          <cell r="T12">
            <v>0.01</v>
          </cell>
        </row>
        <row r="13">
          <cell r="B13" t="str">
            <v>Compressed Air-NR</v>
          </cell>
          <cell r="C13">
            <v>9.9000000000000008E-3</v>
          </cell>
          <cell r="D13">
            <v>9.9000000000000008E-3</v>
          </cell>
          <cell r="E13">
            <v>9.9000000000000008E-3</v>
          </cell>
          <cell r="F13">
            <v>9.9000000000000008E-3</v>
          </cell>
          <cell r="G13">
            <v>9.9000000000000008E-3</v>
          </cell>
          <cell r="H13">
            <v>9.9000000000000008E-3</v>
          </cell>
          <cell r="I13">
            <v>9.9000000000000008E-3</v>
          </cell>
          <cell r="J13">
            <v>9.9000000000000008E-3</v>
          </cell>
          <cell r="K13">
            <v>9.9000000000000008E-3</v>
          </cell>
          <cell r="L13">
            <v>9.9000000000000008E-3</v>
          </cell>
          <cell r="M13">
            <v>9.9000000000000008E-3</v>
          </cell>
          <cell r="N13">
            <v>9.9000000000000008E-3</v>
          </cell>
          <cell r="O13">
            <v>9.9000000000000008E-3</v>
          </cell>
          <cell r="P13">
            <v>9.9000000000000008E-3</v>
          </cell>
          <cell r="Q13">
            <v>9.9000000000000008E-3</v>
          </cell>
          <cell r="R13">
            <v>9.9000000000000008E-3</v>
          </cell>
          <cell r="S13">
            <v>9.9000000000000008E-3</v>
          </cell>
          <cell r="T13">
            <v>9.9000000000000008E-3</v>
          </cell>
        </row>
        <row r="14">
          <cell r="B14" t="str">
            <v>Network PC Power Management-Retro</v>
          </cell>
          <cell r="C14">
            <v>0</v>
          </cell>
          <cell r="D14">
            <v>0</v>
          </cell>
          <cell r="E14">
            <v>0</v>
          </cell>
          <cell r="F14">
            <v>0</v>
          </cell>
          <cell r="G14">
            <v>0</v>
          </cell>
          <cell r="H14">
            <v>0</v>
          </cell>
          <cell r="I14">
            <v>0</v>
          </cell>
          <cell r="J14">
            <v>0</v>
          </cell>
          <cell r="K14">
            <v>0</v>
          </cell>
          <cell r="L14">
            <v>0</v>
          </cell>
          <cell r="M14">
            <v>0</v>
          </cell>
          <cell r="N14">
            <v>0</v>
          </cell>
          <cell r="O14">
            <v>0</v>
          </cell>
          <cell r="P14">
            <v>0</v>
          </cell>
          <cell r="Q14">
            <v>0</v>
          </cell>
          <cell r="R14">
            <v>0</v>
          </cell>
          <cell r="S14">
            <v>0</v>
          </cell>
          <cell r="T14">
            <v>0</v>
          </cell>
        </row>
        <row r="15">
          <cell r="B15" t="str">
            <v>Laptop-NR</v>
          </cell>
          <cell r="C15">
            <v>0</v>
          </cell>
          <cell r="D15">
            <v>0</v>
          </cell>
          <cell r="E15">
            <v>0</v>
          </cell>
          <cell r="F15">
            <v>0</v>
          </cell>
          <cell r="G15">
            <v>0</v>
          </cell>
          <cell r="H15">
            <v>0</v>
          </cell>
          <cell r="I15">
            <v>0</v>
          </cell>
          <cell r="J15">
            <v>0</v>
          </cell>
          <cell r="K15">
            <v>0</v>
          </cell>
          <cell r="L15">
            <v>0</v>
          </cell>
          <cell r="M15">
            <v>0</v>
          </cell>
          <cell r="N15">
            <v>0</v>
          </cell>
          <cell r="O15">
            <v>0</v>
          </cell>
          <cell r="P15">
            <v>0</v>
          </cell>
          <cell r="Q15">
            <v>0</v>
          </cell>
          <cell r="R15">
            <v>0</v>
          </cell>
          <cell r="S15">
            <v>0</v>
          </cell>
          <cell r="T15">
            <v>0</v>
          </cell>
          <cell r="U15">
            <v>9.9999999999999978E-2</v>
          </cell>
        </row>
        <row r="16">
          <cell r="B16" t="str">
            <v>Smart Plug Power Strips-Retro</v>
          </cell>
          <cell r="C16">
            <v>0.01</v>
          </cell>
          <cell r="D16">
            <v>0.01</v>
          </cell>
          <cell r="E16">
            <v>0.01</v>
          </cell>
          <cell r="F16">
            <v>0.01</v>
          </cell>
          <cell r="G16">
            <v>0.01</v>
          </cell>
          <cell r="H16">
            <v>0.01</v>
          </cell>
          <cell r="I16">
            <v>0.01</v>
          </cell>
          <cell r="J16">
            <v>0.01</v>
          </cell>
          <cell r="K16">
            <v>0.01</v>
          </cell>
          <cell r="L16">
            <v>0.01</v>
          </cell>
          <cell r="M16">
            <v>0.01</v>
          </cell>
          <cell r="N16">
            <v>0.01</v>
          </cell>
          <cell r="O16">
            <v>0.01</v>
          </cell>
          <cell r="P16">
            <v>0.01</v>
          </cell>
          <cell r="Q16">
            <v>0.01</v>
          </cell>
          <cell r="R16">
            <v>0.01</v>
          </cell>
          <cell r="S16">
            <v>0.01</v>
          </cell>
          <cell r="T16">
            <v>0.01</v>
          </cell>
          <cell r="U16">
            <v>0.6</v>
          </cell>
        </row>
        <row r="17">
          <cell r="B17" t="str">
            <v>Data Centers-NR</v>
          </cell>
          <cell r="C17">
            <v>0.01</v>
          </cell>
          <cell r="D17">
            <v>0.01</v>
          </cell>
          <cell r="E17">
            <v>0.01</v>
          </cell>
          <cell r="F17">
            <v>0.01</v>
          </cell>
          <cell r="G17">
            <v>0.01</v>
          </cell>
          <cell r="H17">
            <v>0.01</v>
          </cell>
          <cell r="I17">
            <v>0.01</v>
          </cell>
          <cell r="J17">
            <v>0.01</v>
          </cell>
          <cell r="K17">
            <v>0.01</v>
          </cell>
          <cell r="L17">
            <v>0.01</v>
          </cell>
          <cell r="M17">
            <v>0.01</v>
          </cell>
          <cell r="N17">
            <v>0.01</v>
          </cell>
          <cell r="O17">
            <v>0.01</v>
          </cell>
          <cell r="P17">
            <v>0.01</v>
          </cell>
          <cell r="Q17">
            <v>0.01</v>
          </cell>
          <cell r="R17">
            <v>0.01</v>
          </cell>
          <cell r="S17">
            <v>0.01</v>
          </cell>
          <cell r="T17">
            <v>0.01</v>
          </cell>
          <cell r="U17">
            <v>0.8</v>
          </cell>
        </row>
        <row r="18">
          <cell r="B18" t="str">
            <v>Monitor-NR</v>
          </cell>
          <cell r="C18">
            <v>0.01</v>
          </cell>
          <cell r="D18">
            <v>0.01</v>
          </cell>
          <cell r="E18">
            <v>0.01</v>
          </cell>
          <cell r="F18">
            <v>0.01</v>
          </cell>
          <cell r="G18">
            <v>0.01</v>
          </cell>
          <cell r="H18">
            <v>0.01</v>
          </cell>
          <cell r="I18">
            <v>0.01</v>
          </cell>
          <cell r="J18">
            <v>0.01</v>
          </cell>
          <cell r="K18">
            <v>0.01</v>
          </cell>
          <cell r="L18">
            <v>0.01</v>
          </cell>
          <cell r="M18">
            <v>0.01</v>
          </cell>
          <cell r="N18">
            <v>0.01</v>
          </cell>
          <cell r="O18">
            <v>0.01</v>
          </cell>
          <cell r="P18">
            <v>0.01</v>
          </cell>
          <cell r="Q18">
            <v>0.01</v>
          </cell>
          <cell r="R18">
            <v>0.01</v>
          </cell>
          <cell r="S18">
            <v>0.01</v>
          </cell>
          <cell r="T18">
            <v>0.01</v>
          </cell>
          <cell r="U18">
            <v>0.44999999999999996</v>
          </cell>
        </row>
        <row r="19">
          <cell r="B19" t="str">
            <v>Desktop-NR</v>
          </cell>
          <cell r="C19">
            <v>0.01</v>
          </cell>
          <cell r="D19">
            <v>0.01</v>
          </cell>
          <cell r="E19">
            <v>0.01</v>
          </cell>
          <cell r="F19">
            <v>0.01</v>
          </cell>
          <cell r="G19">
            <v>0.01</v>
          </cell>
          <cell r="H19">
            <v>0.01</v>
          </cell>
          <cell r="I19">
            <v>0.01</v>
          </cell>
          <cell r="J19">
            <v>0.01</v>
          </cell>
          <cell r="K19">
            <v>0.01</v>
          </cell>
          <cell r="L19">
            <v>0.01</v>
          </cell>
          <cell r="M19">
            <v>0.01</v>
          </cell>
          <cell r="N19">
            <v>0.01</v>
          </cell>
          <cell r="O19">
            <v>0.01</v>
          </cell>
          <cell r="P19">
            <v>0.01</v>
          </cell>
          <cell r="Q19">
            <v>0.01</v>
          </cell>
          <cell r="R19">
            <v>0.01</v>
          </cell>
          <cell r="S19">
            <v>0.01</v>
          </cell>
          <cell r="T19">
            <v>0.01</v>
          </cell>
          <cell r="U19">
            <v>0.25</v>
          </cell>
          <cell r="X19">
            <v>0.01</v>
          </cell>
          <cell r="Y19">
            <v>0.01</v>
          </cell>
        </row>
        <row r="20">
          <cell r="B20" t="str">
            <v>Pre-Rinse Spray Valve-Retro</v>
          </cell>
          <cell r="C20">
            <v>0</v>
          </cell>
          <cell r="D20">
            <v>0</v>
          </cell>
          <cell r="E20">
            <v>0</v>
          </cell>
          <cell r="F20">
            <v>0</v>
          </cell>
          <cell r="G20">
            <v>0</v>
          </cell>
          <cell r="H20">
            <v>0</v>
          </cell>
          <cell r="I20">
            <v>0</v>
          </cell>
          <cell r="J20">
            <v>0</v>
          </cell>
          <cell r="K20">
            <v>0</v>
          </cell>
          <cell r="L20">
            <v>0</v>
          </cell>
          <cell r="M20">
            <v>0</v>
          </cell>
          <cell r="N20">
            <v>0</v>
          </cell>
          <cell r="O20">
            <v>0</v>
          </cell>
          <cell r="P20">
            <v>0</v>
          </cell>
          <cell r="Q20">
            <v>0</v>
          </cell>
          <cell r="R20">
            <v>0</v>
          </cell>
          <cell r="S20">
            <v>0</v>
          </cell>
          <cell r="T20">
            <v>0</v>
          </cell>
          <cell r="U20">
            <v>0.74</v>
          </cell>
          <cell r="X20">
            <v>0</v>
          </cell>
          <cell r="Y20">
            <v>0</v>
          </cell>
        </row>
        <row r="21">
          <cell r="B21" t="str">
            <v>Cooking Equipment-NR</v>
          </cell>
          <cell r="C21">
            <v>0</v>
          </cell>
          <cell r="D21">
            <v>0</v>
          </cell>
          <cell r="E21">
            <v>0</v>
          </cell>
          <cell r="F21">
            <v>0</v>
          </cell>
          <cell r="G21">
            <v>0</v>
          </cell>
          <cell r="H21">
            <v>0</v>
          </cell>
          <cell r="I21">
            <v>0</v>
          </cell>
          <cell r="J21">
            <v>0</v>
          </cell>
          <cell r="K21">
            <v>0</v>
          </cell>
          <cell r="L21">
            <v>0</v>
          </cell>
          <cell r="M21">
            <v>0</v>
          </cell>
          <cell r="N21">
            <v>0</v>
          </cell>
          <cell r="O21">
            <v>0</v>
          </cell>
          <cell r="P21">
            <v>0</v>
          </cell>
          <cell r="Q21">
            <v>0</v>
          </cell>
          <cell r="R21">
            <v>0</v>
          </cell>
          <cell r="S21">
            <v>0</v>
          </cell>
          <cell r="T21">
            <v>0</v>
          </cell>
          <cell r="U21">
            <v>0.54900000000000004</v>
          </cell>
          <cell r="X21">
            <v>0</v>
          </cell>
          <cell r="Y21">
            <v>0</v>
          </cell>
        </row>
        <row r="22">
          <cell r="B22" t="str">
            <v>Premium HVAC Equipment-New</v>
          </cell>
          <cell r="C22">
            <v>0.9</v>
          </cell>
          <cell r="D22">
            <v>0.9</v>
          </cell>
          <cell r="E22">
            <v>0.9</v>
          </cell>
          <cell r="F22">
            <v>0.9</v>
          </cell>
          <cell r="G22">
            <v>0.9</v>
          </cell>
          <cell r="H22">
            <v>0.9</v>
          </cell>
          <cell r="I22">
            <v>0.9</v>
          </cell>
          <cell r="J22">
            <v>0.9</v>
          </cell>
          <cell r="K22">
            <v>0.9</v>
          </cell>
          <cell r="L22">
            <v>0.9</v>
          </cell>
          <cell r="M22">
            <v>0.9</v>
          </cell>
          <cell r="N22">
            <v>0.9</v>
          </cell>
          <cell r="O22">
            <v>0.9</v>
          </cell>
          <cell r="P22">
            <v>0.9</v>
          </cell>
          <cell r="Q22">
            <v>0.9</v>
          </cell>
          <cell r="R22">
            <v>0.9</v>
          </cell>
          <cell r="S22">
            <v>0.9</v>
          </cell>
          <cell r="T22">
            <v>0.9</v>
          </cell>
          <cell r="X22">
            <v>1</v>
          </cell>
          <cell r="Y22">
            <v>1</v>
          </cell>
        </row>
        <row r="23">
          <cell r="B23" t="str">
            <v>Premium HVAC Equipment-NR</v>
          </cell>
          <cell r="C23">
            <v>0.9</v>
          </cell>
          <cell r="D23">
            <v>0.9</v>
          </cell>
          <cell r="E23">
            <v>0.9</v>
          </cell>
          <cell r="F23">
            <v>0.9</v>
          </cell>
          <cell r="G23">
            <v>0.9</v>
          </cell>
          <cell r="H23">
            <v>0.9</v>
          </cell>
          <cell r="I23">
            <v>0.9</v>
          </cell>
          <cell r="J23">
            <v>0.9</v>
          </cell>
          <cell r="K23">
            <v>0.9</v>
          </cell>
          <cell r="L23">
            <v>0.9</v>
          </cell>
          <cell r="M23">
            <v>0.9</v>
          </cell>
          <cell r="N23">
            <v>0.9</v>
          </cell>
          <cell r="O23">
            <v>0.9</v>
          </cell>
          <cell r="P23">
            <v>0.9</v>
          </cell>
          <cell r="Q23">
            <v>0.9</v>
          </cell>
          <cell r="R23">
            <v>0.9</v>
          </cell>
          <cell r="S23">
            <v>0.9</v>
          </cell>
          <cell r="T23">
            <v>0.9</v>
          </cell>
          <cell r="X23">
            <v>1</v>
          </cell>
          <cell r="Y23">
            <v>1</v>
          </cell>
        </row>
        <row r="24">
          <cell r="B24" t="str">
            <v>Glass-New</v>
          </cell>
          <cell r="C24">
            <v>0</v>
          </cell>
          <cell r="D24">
            <v>0</v>
          </cell>
          <cell r="E24">
            <v>0</v>
          </cell>
          <cell r="F24">
            <v>0</v>
          </cell>
          <cell r="G24">
            <v>0</v>
          </cell>
          <cell r="H24">
            <v>0</v>
          </cell>
          <cell r="I24">
            <v>0</v>
          </cell>
          <cell r="J24">
            <v>0</v>
          </cell>
          <cell r="K24">
            <v>0</v>
          </cell>
          <cell r="L24">
            <v>0</v>
          </cell>
          <cell r="M24">
            <v>0</v>
          </cell>
          <cell r="N24">
            <v>0</v>
          </cell>
          <cell r="O24">
            <v>0</v>
          </cell>
          <cell r="P24">
            <v>0</v>
          </cell>
          <cell r="Q24">
            <v>0</v>
          </cell>
          <cell r="R24">
            <v>0</v>
          </cell>
          <cell r="S24">
            <v>0</v>
          </cell>
          <cell r="T24">
            <v>0</v>
          </cell>
          <cell r="X24">
            <v>0</v>
          </cell>
          <cell r="Y24">
            <v>0</v>
          </cell>
        </row>
        <row r="25">
          <cell r="B25" t="str">
            <v>Glass-NR</v>
          </cell>
          <cell r="C25">
            <v>0</v>
          </cell>
          <cell r="D25">
            <v>0</v>
          </cell>
          <cell r="E25">
            <v>0</v>
          </cell>
          <cell r="F25">
            <v>0</v>
          </cell>
          <cell r="G25">
            <v>0</v>
          </cell>
          <cell r="H25">
            <v>0</v>
          </cell>
          <cell r="I25">
            <v>0</v>
          </cell>
          <cell r="J25">
            <v>0</v>
          </cell>
          <cell r="K25">
            <v>0</v>
          </cell>
          <cell r="L25">
            <v>0</v>
          </cell>
          <cell r="M25">
            <v>0</v>
          </cell>
          <cell r="N25">
            <v>0</v>
          </cell>
          <cell r="O25">
            <v>0</v>
          </cell>
          <cell r="P25">
            <v>0</v>
          </cell>
          <cell r="Q25">
            <v>0</v>
          </cell>
          <cell r="R25">
            <v>0</v>
          </cell>
          <cell r="S25">
            <v>0</v>
          </cell>
          <cell r="T25">
            <v>0</v>
          </cell>
          <cell r="X25">
            <v>0</v>
          </cell>
          <cell r="Y25">
            <v>0</v>
          </cell>
        </row>
        <row r="26">
          <cell r="B26" t="str">
            <v>Glass-Retro</v>
          </cell>
          <cell r="C26">
            <v>0</v>
          </cell>
          <cell r="D26">
            <v>0</v>
          </cell>
          <cell r="E26">
            <v>0</v>
          </cell>
          <cell r="F26">
            <v>0</v>
          </cell>
          <cell r="G26">
            <v>0</v>
          </cell>
          <cell r="H26">
            <v>0</v>
          </cell>
          <cell r="I26">
            <v>0</v>
          </cell>
          <cell r="J26">
            <v>0</v>
          </cell>
          <cell r="K26">
            <v>0</v>
          </cell>
          <cell r="L26">
            <v>0</v>
          </cell>
          <cell r="M26">
            <v>0</v>
          </cell>
          <cell r="N26">
            <v>0</v>
          </cell>
          <cell r="O26">
            <v>0</v>
          </cell>
          <cell r="P26">
            <v>0</v>
          </cell>
          <cell r="Q26">
            <v>0</v>
          </cell>
          <cell r="R26">
            <v>0</v>
          </cell>
          <cell r="S26">
            <v>0</v>
          </cell>
          <cell r="T26">
            <v>0</v>
          </cell>
          <cell r="X26">
            <v>0</v>
          </cell>
          <cell r="Y26">
            <v>0</v>
          </cell>
        </row>
        <row r="27">
          <cell r="B27" t="str">
            <v>Advanced Rooftop Controller-New</v>
          </cell>
          <cell r="C27">
            <v>0</v>
          </cell>
          <cell r="D27">
            <v>0</v>
          </cell>
          <cell r="E27">
            <v>0</v>
          </cell>
          <cell r="F27">
            <v>0</v>
          </cell>
          <cell r="G27">
            <v>0</v>
          </cell>
          <cell r="H27">
            <v>0</v>
          </cell>
          <cell r="I27">
            <v>0</v>
          </cell>
          <cell r="J27">
            <v>0</v>
          </cell>
          <cell r="K27">
            <v>0</v>
          </cell>
          <cell r="L27">
            <v>0</v>
          </cell>
          <cell r="M27">
            <v>0</v>
          </cell>
          <cell r="N27">
            <v>0</v>
          </cell>
          <cell r="O27">
            <v>0</v>
          </cell>
          <cell r="P27">
            <v>0</v>
          </cell>
          <cell r="Q27">
            <v>0</v>
          </cell>
          <cell r="R27">
            <v>0</v>
          </cell>
          <cell r="S27">
            <v>0</v>
          </cell>
          <cell r="T27">
            <v>0</v>
          </cell>
          <cell r="X27">
            <v>0</v>
          </cell>
          <cell r="Y27">
            <v>0</v>
          </cell>
        </row>
        <row r="28">
          <cell r="B28" t="str">
            <v>Advanced Rooftop Controller-NR</v>
          </cell>
          <cell r="C28">
            <v>0</v>
          </cell>
          <cell r="D28">
            <v>0</v>
          </cell>
          <cell r="E28">
            <v>0</v>
          </cell>
          <cell r="F28">
            <v>0</v>
          </cell>
          <cell r="G28">
            <v>0</v>
          </cell>
          <cell r="H28">
            <v>0</v>
          </cell>
          <cell r="I28">
            <v>0</v>
          </cell>
          <cell r="J28">
            <v>0</v>
          </cell>
          <cell r="K28">
            <v>0</v>
          </cell>
          <cell r="L28">
            <v>0</v>
          </cell>
          <cell r="M28">
            <v>0</v>
          </cell>
          <cell r="N28">
            <v>0</v>
          </cell>
          <cell r="O28">
            <v>0</v>
          </cell>
          <cell r="P28">
            <v>0</v>
          </cell>
          <cell r="Q28">
            <v>0</v>
          </cell>
          <cell r="R28">
            <v>0</v>
          </cell>
          <cell r="S28">
            <v>0</v>
          </cell>
          <cell r="T28">
            <v>0</v>
          </cell>
          <cell r="X28">
            <v>0</v>
          </cell>
          <cell r="Y28">
            <v>0</v>
          </cell>
        </row>
        <row r="29">
          <cell r="B29" t="str">
            <v>Advanced Rooftop Controller-Retro</v>
          </cell>
          <cell r="C29">
            <v>0</v>
          </cell>
          <cell r="D29">
            <v>0</v>
          </cell>
          <cell r="E29">
            <v>0</v>
          </cell>
          <cell r="F29">
            <v>0</v>
          </cell>
          <cell r="G29">
            <v>0</v>
          </cell>
          <cell r="H29">
            <v>0</v>
          </cell>
          <cell r="I29">
            <v>0</v>
          </cell>
          <cell r="J29">
            <v>0</v>
          </cell>
          <cell r="K29">
            <v>0</v>
          </cell>
          <cell r="L29">
            <v>0</v>
          </cell>
          <cell r="M29">
            <v>0</v>
          </cell>
          <cell r="N29">
            <v>0</v>
          </cell>
          <cell r="O29">
            <v>0</v>
          </cell>
          <cell r="P29">
            <v>0</v>
          </cell>
          <cell r="Q29">
            <v>0</v>
          </cell>
          <cell r="R29">
            <v>0</v>
          </cell>
          <cell r="S29">
            <v>0</v>
          </cell>
          <cell r="T29">
            <v>0</v>
          </cell>
          <cell r="X29">
            <v>0</v>
          </cell>
          <cell r="Y29">
            <v>0</v>
          </cell>
        </row>
        <row r="30">
          <cell r="B30" t="str">
            <v>Variable Speed Chiller-New</v>
          </cell>
          <cell r="C30">
            <v>0</v>
          </cell>
          <cell r="D30">
            <v>0</v>
          </cell>
          <cell r="E30">
            <v>0</v>
          </cell>
          <cell r="F30">
            <v>0</v>
          </cell>
          <cell r="G30">
            <v>0</v>
          </cell>
          <cell r="H30">
            <v>0</v>
          </cell>
          <cell r="I30">
            <v>0</v>
          </cell>
          <cell r="J30">
            <v>0</v>
          </cell>
          <cell r="K30">
            <v>0</v>
          </cell>
          <cell r="L30">
            <v>0</v>
          </cell>
          <cell r="M30">
            <v>0</v>
          </cell>
          <cell r="N30">
            <v>0</v>
          </cell>
          <cell r="O30">
            <v>0</v>
          </cell>
          <cell r="P30">
            <v>0</v>
          </cell>
          <cell r="Q30">
            <v>0</v>
          </cell>
          <cell r="R30">
            <v>0</v>
          </cell>
          <cell r="S30">
            <v>0</v>
          </cell>
          <cell r="T30">
            <v>0</v>
          </cell>
          <cell r="X30">
            <v>0</v>
          </cell>
          <cell r="Y30">
            <v>0</v>
          </cell>
        </row>
        <row r="31">
          <cell r="B31" t="str">
            <v>Variable Speed Chiller-NR</v>
          </cell>
          <cell r="C31">
            <v>0</v>
          </cell>
          <cell r="D31">
            <v>0</v>
          </cell>
          <cell r="E31">
            <v>0</v>
          </cell>
          <cell r="F31">
            <v>0</v>
          </cell>
          <cell r="G31">
            <v>0</v>
          </cell>
          <cell r="H31">
            <v>0</v>
          </cell>
          <cell r="I31">
            <v>0</v>
          </cell>
          <cell r="J31">
            <v>0</v>
          </cell>
          <cell r="K31">
            <v>0</v>
          </cell>
          <cell r="L31">
            <v>0</v>
          </cell>
          <cell r="M31">
            <v>0</v>
          </cell>
          <cell r="N31">
            <v>0</v>
          </cell>
          <cell r="O31">
            <v>0</v>
          </cell>
          <cell r="P31">
            <v>0</v>
          </cell>
          <cell r="Q31">
            <v>0</v>
          </cell>
          <cell r="R31">
            <v>0</v>
          </cell>
          <cell r="S31">
            <v>0</v>
          </cell>
          <cell r="T31">
            <v>0</v>
          </cell>
          <cell r="X31">
            <v>0</v>
          </cell>
          <cell r="Y31">
            <v>0</v>
          </cell>
        </row>
        <row r="32">
          <cell r="B32" t="str">
            <v>Commercial EM-New</v>
          </cell>
          <cell r="C32">
            <v>1</v>
          </cell>
          <cell r="D32">
            <v>1</v>
          </cell>
          <cell r="E32">
            <v>1</v>
          </cell>
          <cell r="F32">
            <v>1</v>
          </cell>
          <cell r="G32">
            <v>1</v>
          </cell>
          <cell r="H32">
            <v>1</v>
          </cell>
          <cell r="I32">
            <v>1</v>
          </cell>
          <cell r="J32">
            <v>1</v>
          </cell>
          <cell r="K32">
            <v>1</v>
          </cell>
          <cell r="L32">
            <v>1</v>
          </cell>
          <cell r="M32">
            <v>1</v>
          </cell>
          <cell r="N32">
            <v>1</v>
          </cell>
          <cell r="O32">
            <v>1</v>
          </cell>
          <cell r="P32">
            <v>1</v>
          </cell>
          <cell r="Q32">
            <v>1</v>
          </cell>
          <cell r="R32">
            <v>1</v>
          </cell>
          <cell r="S32">
            <v>1</v>
          </cell>
          <cell r="T32">
            <v>1</v>
          </cell>
          <cell r="X32">
            <v>1</v>
          </cell>
          <cell r="Y32">
            <v>1</v>
          </cell>
        </row>
        <row r="33">
          <cell r="B33" t="str">
            <v>Commercial EM-NR</v>
          </cell>
          <cell r="C33">
            <v>1</v>
          </cell>
          <cell r="D33">
            <v>1</v>
          </cell>
          <cell r="E33">
            <v>1</v>
          </cell>
          <cell r="F33">
            <v>1</v>
          </cell>
          <cell r="G33">
            <v>1</v>
          </cell>
          <cell r="H33">
            <v>1</v>
          </cell>
          <cell r="I33">
            <v>1</v>
          </cell>
          <cell r="J33">
            <v>1</v>
          </cell>
          <cell r="K33">
            <v>1</v>
          </cell>
          <cell r="L33">
            <v>1</v>
          </cell>
          <cell r="M33">
            <v>1</v>
          </cell>
          <cell r="N33">
            <v>1</v>
          </cell>
          <cell r="O33">
            <v>1</v>
          </cell>
          <cell r="P33">
            <v>1</v>
          </cell>
          <cell r="Q33">
            <v>1</v>
          </cell>
          <cell r="R33">
            <v>1</v>
          </cell>
          <cell r="S33">
            <v>1</v>
          </cell>
          <cell r="T33">
            <v>1</v>
          </cell>
          <cell r="X33">
            <v>1</v>
          </cell>
          <cell r="Y33">
            <v>1</v>
          </cell>
        </row>
        <row r="34">
          <cell r="B34" t="str">
            <v>Commercial EM-Retro</v>
          </cell>
          <cell r="C34">
            <v>0.81420000000000003</v>
          </cell>
          <cell r="D34">
            <v>0.81420000000000003</v>
          </cell>
          <cell r="E34">
            <v>0.81420000000000003</v>
          </cell>
          <cell r="F34">
            <v>0.81420000000000003</v>
          </cell>
          <cell r="G34">
            <v>0.81420000000000003</v>
          </cell>
          <cell r="H34">
            <v>0.81420000000000003</v>
          </cell>
          <cell r="I34">
            <v>0.81420000000000003</v>
          </cell>
          <cell r="J34">
            <v>0.81420000000000003</v>
          </cell>
          <cell r="K34">
            <v>0.81420000000000003</v>
          </cell>
          <cell r="L34">
            <v>0.81420000000000003</v>
          </cell>
          <cell r="M34">
            <v>0.81420000000000003</v>
          </cell>
          <cell r="N34">
            <v>0.81420000000000003</v>
          </cell>
          <cell r="O34">
            <v>0.81420000000000003</v>
          </cell>
          <cell r="P34">
            <v>0.81420000000000003</v>
          </cell>
          <cell r="Q34">
            <v>0.81420000000000003</v>
          </cell>
          <cell r="R34">
            <v>0.81420000000000003</v>
          </cell>
          <cell r="S34">
            <v>0.81420000000000003</v>
          </cell>
          <cell r="T34">
            <v>0.81420000000000003</v>
          </cell>
          <cell r="X34">
            <v>1</v>
          </cell>
          <cell r="Y34">
            <v>1</v>
          </cell>
        </row>
        <row r="35">
          <cell r="B35" t="str">
            <v>Evaporative Assist Cooling-New</v>
          </cell>
          <cell r="C35">
            <v>0</v>
          </cell>
          <cell r="D35">
            <v>0</v>
          </cell>
          <cell r="E35">
            <v>0</v>
          </cell>
          <cell r="F35">
            <v>0</v>
          </cell>
          <cell r="G35">
            <v>0</v>
          </cell>
          <cell r="H35">
            <v>0</v>
          </cell>
          <cell r="I35">
            <v>0</v>
          </cell>
          <cell r="J35">
            <v>0</v>
          </cell>
          <cell r="K35">
            <v>0</v>
          </cell>
          <cell r="L35">
            <v>0</v>
          </cell>
          <cell r="M35">
            <v>0</v>
          </cell>
          <cell r="N35">
            <v>0</v>
          </cell>
          <cell r="O35">
            <v>0</v>
          </cell>
          <cell r="P35">
            <v>0</v>
          </cell>
          <cell r="Q35">
            <v>0</v>
          </cell>
          <cell r="R35">
            <v>0</v>
          </cell>
          <cell r="S35">
            <v>0</v>
          </cell>
          <cell r="T35">
            <v>0</v>
          </cell>
          <cell r="X35">
            <v>0</v>
          </cell>
          <cell r="Y35">
            <v>0</v>
          </cell>
        </row>
        <row r="36">
          <cell r="B36" t="str">
            <v>Evaporative Assist Cooling-NR</v>
          </cell>
          <cell r="C36">
            <v>0</v>
          </cell>
          <cell r="D36">
            <v>0</v>
          </cell>
          <cell r="E36">
            <v>0</v>
          </cell>
          <cell r="F36">
            <v>0</v>
          </cell>
          <cell r="G36">
            <v>0</v>
          </cell>
          <cell r="H36">
            <v>0</v>
          </cell>
          <cell r="I36">
            <v>0</v>
          </cell>
          <cell r="J36">
            <v>0</v>
          </cell>
          <cell r="K36">
            <v>0</v>
          </cell>
          <cell r="L36">
            <v>0</v>
          </cell>
          <cell r="M36">
            <v>0</v>
          </cell>
          <cell r="N36">
            <v>0</v>
          </cell>
          <cell r="O36">
            <v>0</v>
          </cell>
          <cell r="P36">
            <v>0</v>
          </cell>
          <cell r="Q36">
            <v>0</v>
          </cell>
          <cell r="R36">
            <v>0</v>
          </cell>
          <cell r="S36">
            <v>0</v>
          </cell>
          <cell r="T36">
            <v>0</v>
          </cell>
          <cell r="X36">
            <v>0</v>
          </cell>
          <cell r="Y36">
            <v>0</v>
          </cell>
        </row>
        <row r="37">
          <cell r="B37" t="str">
            <v>Economizer-Retro</v>
          </cell>
          <cell r="C37">
            <v>0.37773742662640791</v>
          </cell>
          <cell r="D37">
            <v>0.23826646440482974</v>
          </cell>
          <cell r="E37">
            <v>5.5518884697354179E-2</v>
          </cell>
          <cell r="F37">
            <v>0.35309381104934129</v>
          </cell>
          <cell r="G37">
            <v>0.19907568268653997</v>
          </cell>
          <cell r="H37">
            <v>0.15513670187653161</v>
          </cell>
          <cell r="I37">
            <v>1.0197910929940514E-2</v>
          </cell>
          <cell r="J37">
            <v>0.28088324172086482</v>
          </cell>
          <cell r="K37">
            <v>0.28088324172086482</v>
          </cell>
          <cell r="L37">
            <v>0.11124903795477889</v>
          </cell>
          <cell r="M37">
            <v>0.31360984414443888</v>
          </cell>
          <cell r="N37">
            <v>0.15264480663133839</v>
          </cell>
          <cell r="O37">
            <v>0.24652213025227437</v>
          </cell>
          <cell r="P37">
            <v>7.8175735111402314E-2</v>
          </cell>
          <cell r="Q37">
            <v>0.34124133606352913</v>
          </cell>
          <cell r="R37">
            <v>5.9048454739110051E-2</v>
          </cell>
          <cell r="S37">
            <v>0.29894926354357898</v>
          </cell>
          <cell r="T37">
            <v>0.31491070071894045</v>
          </cell>
          <cell r="X37">
            <v>0.62956237771067991</v>
          </cell>
          <cell r="Y37">
            <v>0.31768861920643965</v>
          </cell>
        </row>
        <row r="38">
          <cell r="B38" t="str">
            <v>Demand Control Ventilation-New</v>
          </cell>
          <cell r="C38">
            <v>0</v>
          </cell>
          <cell r="D38">
            <v>0</v>
          </cell>
          <cell r="E38">
            <v>0</v>
          </cell>
          <cell r="F38">
            <v>0</v>
          </cell>
          <cell r="G38">
            <v>0</v>
          </cell>
          <cell r="H38">
            <v>0</v>
          </cell>
          <cell r="I38">
            <v>0</v>
          </cell>
          <cell r="J38">
            <v>0</v>
          </cell>
          <cell r="K38">
            <v>0</v>
          </cell>
          <cell r="L38">
            <v>0</v>
          </cell>
          <cell r="M38">
            <v>0</v>
          </cell>
          <cell r="N38">
            <v>0</v>
          </cell>
          <cell r="O38">
            <v>0</v>
          </cell>
          <cell r="P38">
            <v>0</v>
          </cell>
          <cell r="Q38">
            <v>0</v>
          </cell>
          <cell r="R38">
            <v>0</v>
          </cell>
          <cell r="S38">
            <v>0</v>
          </cell>
          <cell r="T38">
            <v>0</v>
          </cell>
          <cell r="X38">
            <v>0</v>
          </cell>
          <cell r="Y38">
            <v>0</v>
          </cell>
        </row>
        <row r="39">
          <cell r="B39" t="str">
            <v>Demand Control Ventilation-NR</v>
          </cell>
          <cell r="C39">
            <v>0</v>
          </cell>
          <cell r="D39">
            <v>0</v>
          </cell>
          <cell r="E39">
            <v>0</v>
          </cell>
          <cell r="F39">
            <v>0</v>
          </cell>
          <cell r="G39">
            <v>0</v>
          </cell>
          <cell r="H39">
            <v>0</v>
          </cell>
          <cell r="I39">
            <v>0</v>
          </cell>
          <cell r="J39">
            <v>0</v>
          </cell>
          <cell r="K39">
            <v>0</v>
          </cell>
          <cell r="L39">
            <v>0</v>
          </cell>
          <cell r="M39">
            <v>0</v>
          </cell>
          <cell r="N39">
            <v>0</v>
          </cell>
          <cell r="O39">
            <v>0</v>
          </cell>
          <cell r="P39">
            <v>0</v>
          </cell>
          <cell r="Q39">
            <v>0</v>
          </cell>
          <cell r="R39">
            <v>0</v>
          </cell>
          <cell r="S39">
            <v>0</v>
          </cell>
          <cell r="T39">
            <v>0</v>
          </cell>
          <cell r="X39">
            <v>0</v>
          </cell>
          <cell r="Y39">
            <v>0</v>
          </cell>
        </row>
        <row r="40">
          <cell r="B40" t="str">
            <v>Demand Control Ventilation-Retro</v>
          </cell>
          <cell r="C40">
            <v>0.10326972741610822</v>
          </cell>
          <cell r="D40">
            <v>0.62207382538606792</v>
          </cell>
          <cell r="E40">
            <v>0.71764122486097937</v>
          </cell>
          <cell r="F40">
            <v>0.64936643170170361</v>
          </cell>
          <cell r="G40">
            <v>0.3754791340852166</v>
          </cell>
          <cell r="H40">
            <v>0.51861578363233451</v>
          </cell>
          <cell r="I40">
            <v>0.4224831216091387</v>
          </cell>
          <cell r="J40">
            <v>0.32307857163168779</v>
          </cell>
          <cell r="K40">
            <v>0.19213044434378573</v>
          </cell>
          <cell r="L40">
            <v>0.21144946069810441</v>
          </cell>
          <cell r="M40">
            <v>0.43390558040018462</v>
          </cell>
          <cell r="N40">
            <v>0.57499869036077145</v>
          </cell>
          <cell r="O40">
            <v>0.45018285377424883</v>
          </cell>
          <cell r="P40">
            <v>0.24208313482049432</v>
          </cell>
          <cell r="Q40">
            <v>0.12663145344947355</v>
          </cell>
          <cell r="R40">
            <v>0.3226231781527627</v>
          </cell>
          <cell r="S40">
            <v>0.47074543668218816</v>
          </cell>
          <cell r="T40">
            <v>0.34671695238562511</v>
          </cell>
          <cell r="X40">
            <v>0.14631137601011796</v>
          </cell>
          <cell r="Y40">
            <v>0.74589661920231454</v>
          </cell>
        </row>
        <row r="41">
          <cell r="B41" t="str">
            <v>Premium Fume Hood-NR</v>
          </cell>
          <cell r="C41">
            <v>0</v>
          </cell>
          <cell r="D41">
            <v>0</v>
          </cell>
          <cell r="E41">
            <v>0</v>
          </cell>
          <cell r="F41">
            <v>0</v>
          </cell>
          <cell r="G41">
            <v>0</v>
          </cell>
          <cell r="H41">
            <v>0</v>
          </cell>
          <cell r="I41">
            <v>0</v>
          </cell>
          <cell r="J41">
            <v>0</v>
          </cell>
          <cell r="K41">
            <v>0</v>
          </cell>
          <cell r="L41">
            <v>0</v>
          </cell>
          <cell r="M41">
            <v>0</v>
          </cell>
          <cell r="N41">
            <v>0</v>
          </cell>
          <cell r="O41">
            <v>0</v>
          </cell>
          <cell r="P41">
            <v>0</v>
          </cell>
          <cell r="Q41">
            <v>0</v>
          </cell>
          <cell r="R41">
            <v>0</v>
          </cell>
          <cell r="S41">
            <v>0</v>
          </cell>
          <cell r="T41">
            <v>0</v>
          </cell>
          <cell r="U41">
            <v>0.9</v>
          </cell>
          <cell r="X41">
            <v>0</v>
          </cell>
          <cell r="Y41">
            <v>0</v>
          </cell>
        </row>
        <row r="42">
          <cell r="B42" t="str">
            <v>DCV Restaurant Hood-Retro</v>
          </cell>
          <cell r="C42">
            <v>0</v>
          </cell>
          <cell r="D42">
            <v>0</v>
          </cell>
          <cell r="E42">
            <v>0</v>
          </cell>
          <cell r="F42">
            <v>0</v>
          </cell>
          <cell r="G42">
            <v>0</v>
          </cell>
          <cell r="H42">
            <v>0</v>
          </cell>
          <cell r="I42">
            <v>0</v>
          </cell>
          <cell r="J42">
            <v>0</v>
          </cell>
          <cell r="K42">
            <v>0</v>
          </cell>
          <cell r="L42">
            <v>0</v>
          </cell>
          <cell r="M42">
            <v>0</v>
          </cell>
          <cell r="N42">
            <v>0</v>
          </cell>
          <cell r="O42">
            <v>0</v>
          </cell>
          <cell r="P42">
            <v>0</v>
          </cell>
          <cell r="Q42">
            <v>0</v>
          </cell>
          <cell r="R42">
            <v>0</v>
          </cell>
          <cell r="S42">
            <v>0</v>
          </cell>
          <cell r="T42">
            <v>0</v>
          </cell>
          <cell r="X42">
            <v>0</v>
          </cell>
          <cell r="Y42">
            <v>0</v>
          </cell>
        </row>
        <row r="43">
          <cell r="B43" t="str">
            <v>DCV Parking Garage-Retro</v>
          </cell>
          <cell r="C43">
            <v>0</v>
          </cell>
          <cell r="D43">
            <v>0</v>
          </cell>
          <cell r="E43">
            <v>0</v>
          </cell>
          <cell r="F43">
            <v>0</v>
          </cell>
          <cell r="G43">
            <v>0</v>
          </cell>
          <cell r="H43">
            <v>0</v>
          </cell>
          <cell r="I43">
            <v>0</v>
          </cell>
          <cell r="J43">
            <v>0</v>
          </cell>
          <cell r="K43">
            <v>0</v>
          </cell>
          <cell r="L43">
            <v>0</v>
          </cell>
          <cell r="M43">
            <v>0</v>
          </cell>
          <cell r="N43">
            <v>0</v>
          </cell>
          <cell r="O43">
            <v>0</v>
          </cell>
          <cell r="P43">
            <v>0</v>
          </cell>
          <cell r="Q43">
            <v>0</v>
          </cell>
          <cell r="R43">
            <v>0</v>
          </cell>
          <cell r="S43">
            <v>0</v>
          </cell>
          <cell r="T43">
            <v>0</v>
          </cell>
          <cell r="X43">
            <v>0</v>
          </cell>
          <cell r="Y43">
            <v>0</v>
          </cell>
        </row>
        <row r="44">
          <cell r="B44" t="str">
            <v>Weatherization - School-Retro</v>
          </cell>
          <cell r="C44">
            <v>0.01</v>
          </cell>
          <cell r="D44">
            <v>0.01</v>
          </cell>
          <cell r="E44">
            <v>0.01</v>
          </cell>
          <cell r="F44">
            <v>0.01</v>
          </cell>
          <cell r="G44">
            <v>0.01</v>
          </cell>
          <cell r="H44">
            <v>0.01</v>
          </cell>
          <cell r="I44">
            <v>0.01</v>
          </cell>
          <cell r="J44">
            <v>0.01</v>
          </cell>
          <cell r="K44">
            <v>0.01</v>
          </cell>
          <cell r="L44">
            <v>0.01</v>
          </cell>
          <cell r="M44">
            <v>0.01</v>
          </cell>
          <cell r="N44">
            <v>0.01</v>
          </cell>
          <cell r="O44">
            <v>0.01</v>
          </cell>
          <cell r="P44">
            <v>0.01</v>
          </cell>
          <cell r="Q44">
            <v>0.01</v>
          </cell>
          <cell r="R44">
            <v>0.01</v>
          </cell>
          <cell r="S44">
            <v>0.01</v>
          </cell>
          <cell r="T44">
            <v>0.01</v>
          </cell>
          <cell r="X44">
            <v>0.01</v>
          </cell>
          <cell r="Y44">
            <v>0.01</v>
          </cell>
        </row>
        <row r="45">
          <cell r="B45" t="str">
            <v>Energy Recovery Ventilator-NR</v>
          </cell>
          <cell r="C45">
            <v>0.01</v>
          </cell>
          <cell r="D45">
            <v>0.01</v>
          </cell>
          <cell r="E45">
            <v>0.01</v>
          </cell>
          <cell r="F45">
            <v>0.01</v>
          </cell>
          <cell r="G45">
            <v>0.01</v>
          </cell>
          <cell r="H45">
            <v>0.01</v>
          </cell>
          <cell r="I45">
            <v>0.01</v>
          </cell>
          <cell r="J45">
            <v>0.01</v>
          </cell>
          <cell r="K45">
            <v>0.01</v>
          </cell>
          <cell r="L45">
            <v>0.01</v>
          </cell>
          <cell r="M45">
            <v>0.01</v>
          </cell>
          <cell r="N45">
            <v>0.01</v>
          </cell>
          <cell r="O45">
            <v>0.01</v>
          </cell>
          <cell r="P45">
            <v>0.01</v>
          </cell>
          <cell r="Q45">
            <v>0.01</v>
          </cell>
          <cell r="R45">
            <v>0.01</v>
          </cell>
          <cell r="S45">
            <v>0.01</v>
          </cell>
          <cell r="T45">
            <v>0.01</v>
          </cell>
          <cell r="U45">
            <v>9.9999999999999978E-2</v>
          </cell>
          <cell r="X45">
            <v>0.01</v>
          </cell>
          <cell r="Y45">
            <v>0.01</v>
          </cell>
        </row>
        <row r="46">
          <cell r="B46" t="str">
            <v>AC Heat Recovery for Water Heating-NR</v>
          </cell>
          <cell r="C46">
            <v>0.01</v>
          </cell>
          <cell r="D46">
            <v>0.01</v>
          </cell>
          <cell r="E46">
            <v>0.01</v>
          </cell>
          <cell r="F46">
            <v>0.01</v>
          </cell>
          <cell r="G46">
            <v>0.01</v>
          </cell>
          <cell r="H46">
            <v>0.01</v>
          </cell>
          <cell r="I46">
            <v>0.01</v>
          </cell>
          <cell r="J46">
            <v>0.01</v>
          </cell>
          <cell r="K46">
            <v>0.01</v>
          </cell>
          <cell r="L46">
            <v>0.01</v>
          </cell>
          <cell r="M46">
            <v>0.01</v>
          </cell>
          <cell r="N46">
            <v>0.01</v>
          </cell>
          <cell r="O46">
            <v>0.01</v>
          </cell>
          <cell r="P46">
            <v>0.01</v>
          </cell>
          <cell r="Q46">
            <v>0.01</v>
          </cell>
          <cell r="R46">
            <v>0.01</v>
          </cell>
          <cell r="S46">
            <v>0.01</v>
          </cell>
          <cell r="T46">
            <v>0.01</v>
          </cell>
          <cell r="X46">
            <v>0.01</v>
          </cell>
          <cell r="Y46">
            <v>0.01</v>
          </cell>
        </row>
        <row r="47">
          <cell r="B47" t="str">
            <v>Room Occupancy Sensors in Lodging-Retro</v>
          </cell>
          <cell r="C47">
            <v>0.01</v>
          </cell>
          <cell r="D47">
            <v>0.01</v>
          </cell>
          <cell r="E47">
            <v>0.01</v>
          </cell>
          <cell r="F47">
            <v>0.01</v>
          </cell>
          <cell r="G47">
            <v>0.01</v>
          </cell>
          <cell r="H47">
            <v>0.01</v>
          </cell>
          <cell r="I47">
            <v>0.01</v>
          </cell>
          <cell r="J47">
            <v>0.01</v>
          </cell>
          <cell r="K47">
            <v>0.01</v>
          </cell>
          <cell r="L47">
            <v>0.01</v>
          </cell>
          <cell r="M47">
            <v>0.01</v>
          </cell>
          <cell r="N47">
            <v>0.01</v>
          </cell>
          <cell r="O47">
            <v>0.01</v>
          </cell>
          <cell r="P47">
            <v>0.01</v>
          </cell>
          <cell r="Q47">
            <v>0.01</v>
          </cell>
          <cell r="R47">
            <v>0.01</v>
          </cell>
          <cell r="S47">
            <v>0.01</v>
          </cell>
          <cell r="T47">
            <v>0.01</v>
          </cell>
          <cell r="X47">
            <v>0.01</v>
          </cell>
          <cell r="Y47">
            <v>0.01</v>
          </cell>
        </row>
        <row r="48">
          <cell r="B48" t="str">
            <v>Chiller - chilled water retrofit-Retro</v>
          </cell>
          <cell r="C48">
            <v>0.01</v>
          </cell>
          <cell r="D48">
            <v>0.01</v>
          </cell>
          <cell r="E48">
            <v>0.01</v>
          </cell>
          <cell r="F48">
            <v>0.01</v>
          </cell>
          <cell r="G48">
            <v>0.01</v>
          </cell>
          <cell r="H48">
            <v>0.01</v>
          </cell>
          <cell r="I48">
            <v>0.01</v>
          </cell>
          <cell r="J48">
            <v>0.01</v>
          </cell>
          <cell r="K48">
            <v>0.01</v>
          </cell>
          <cell r="L48">
            <v>0.01</v>
          </cell>
          <cell r="M48">
            <v>0.01</v>
          </cell>
          <cell r="N48">
            <v>0.01</v>
          </cell>
          <cell r="O48">
            <v>0.01</v>
          </cell>
          <cell r="P48">
            <v>0.01</v>
          </cell>
          <cell r="Q48">
            <v>0.01</v>
          </cell>
          <cell r="R48">
            <v>0.01</v>
          </cell>
          <cell r="S48">
            <v>0.01</v>
          </cell>
          <cell r="T48">
            <v>0.01</v>
          </cell>
          <cell r="X48">
            <v>0.01</v>
          </cell>
          <cell r="Y48">
            <v>0.01</v>
          </cell>
        </row>
        <row r="49">
          <cell r="B49" t="str">
            <v>Chiller - equip retrofits-Retro</v>
          </cell>
          <cell r="C49">
            <v>0.01</v>
          </cell>
          <cell r="D49">
            <v>0.01</v>
          </cell>
          <cell r="E49">
            <v>0.01</v>
          </cell>
          <cell r="F49">
            <v>0.01</v>
          </cell>
          <cell r="G49">
            <v>0.01</v>
          </cell>
          <cell r="H49">
            <v>0.01</v>
          </cell>
          <cell r="I49">
            <v>0.01</v>
          </cell>
          <cell r="J49">
            <v>0.01</v>
          </cell>
          <cell r="K49">
            <v>0.01</v>
          </cell>
          <cell r="L49">
            <v>0.01</v>
          </cell>
          <cell r="M49">
            <v>0.01</v>
          </cell>
          <cell r="N49">
            <v>0.01</v>
          </cell>
          <cell r="O49">
            <v>0.01</v>
          </cell>
          <cell r="P49">
            <v>0.01</v>
          </cell>
          <cell r="Q49">
            <v>0.01</v>
          </cell>
          <cell r="R49">
            <v>0.01</v>
          </cell>
          <cell r="S49">
            <v>0.01</v>
          </cell>
          <cell r="T49">
            <v>0.01</v>
          </cell>
          <cell r="X49">
            <v>0.01</v>
          </cell>
          <cell r="Y49">
            <v>0.01</v>
          </cell>
        </row>
        <row r="50">
          <cell r="B50" t="str">
            <v>Pool Blankets-Retro</v>
          </cell>
          <cell r="C50">
            <v>0.01</v>
          </cell>
          <cell r="D50">
            <v>0.01</v>
          </cell>
          <cell r="E50">
            <v>0.01</v>
          </cell>
          <cell r="F50">
            <v>0.01</v>
          </cell>
          <cell r="G50">
            <v>0.01</v>
          </cell>
          <cell r="H50">
            <v>0.01</v>
          </cell>
          <cell r="I50">
            <v>0.01</v>
          </cell>
          <cell r="J50">
            <v>0.01</v>
          </cell>
          <cell r="K50">
            <v>0.01</v>
          </cell>
          <cell r="L50">
            <v>0.01</v>
          </cell>
          <cell r="M50">
            <v>0.01</v>
          </cell>
          <cell r="N50">
            <v>0.01</v>
          </cell>
          <cell r="O50">
            <v>0.01</v>
          </cell>
          <cell r="P50">
            <v>0.01</v>
          </cell>
          <cell r="Q50">
            <v>0.01</v>
          </cell>
          <cell r="R50">
            <v>0.01</v>
          </cell>
          <cell r="S50">
            <v>0.01</v>
          </cell>
          <cell r="T50">
            <v>0.01</v>
          </cell>
          <cell r="X50">
            <v>0.01</v>
          </cell>
          <cell r="Y50">
            <v>0.01</v>
          </cell>
        </row>
        <row r="51">
          <cell r="B51" t="str">
            <v>Web-Enabled Thermostats-Retro</v>
          </cell>
          <cell r="C51">
            <v>0.01</v>
          </cell>
          <cell r="D51">
            <v>0.01</v>
          </cell>
          <cell r="E51">
            <v>0.01</v>
          </cell>
          <cell r="F51">
            <v>0.01</v>
          </cell>
          <cell r="G51">
            <v>0.01</v>
          </cell>
          <cell r="H51">
            <v>0.01</v>
          </cell>
          <cell r="I51">
            <v>0.01</v>
          </cell>
          <cell r="J51">
            <v>0.01</v>
          </cell>
          <cell r="K51">
            <v>0.01</v>
          </cell>
          <cell r="L51">
            <v>0.01</v>
          </cell>
          <cell r="M51">
            <v>0.01</v>
          </cell>
          <cell r="N51">
            <v>0.01</v>
          </cell>
          <cell r="O51">
            <v>0.01</v>
          </cell>
          <cell r="P51">
            <v>0.01</v>
          </cell>
          <cell r="Q51">
            <v>0.01</v>
          </cell>
          <cell r="R51">
            <v>0.01</v>
          </cell>
          <cell r="S51">
            <v>0.01</v>
          </cell>
          <cell r="T51">
            <v>0.01</v>
          </cell>
          <cell r="X51">
            <v>0.01</v>
          </cell>
          <cell r="Y51">
            <v>0.01</v>
          </cell>
        </row>
        <row r="52">
          <cell r="B52" t="str">
            <v>Garage CO2 ventilation-Retro</v>
          </cell>
          <cell r="C52">
            <v>0.01</v>
          </cell>
          <cell r="D52">
            <v>0.01</v>
          </cell>
          <cell r="E52">
            <v>0.01</v>
          </cell>
          <cell r="F52">
            <v>0.01</v>
          </cell>
          <cell r="G52">
            <v>0.01</v>
          </cell>
          <cell r="H52">
            <v>0.01</v>
          </cell>
          <cell r="I52">
            <v>0.01</v>
          </cell>
          <cell r="J52">
            <v>0.01</v>
          </cell>
          <cell r="K52">
            <v>0.01</v>
          </cell>
          <cell r="L52">
            <v>0.01</v>
          </cell>
          <cell r="M52">
            <v>0.01</v>
          </cell>
          <cell r="N52">
            <v>0.01</v>
          </cell>
          <cell r="O52">
            <v>0.01</v>
          </cell>
          <cell r="P52">
            <v>0.01</v>
          </cell>
          <cell r="Q52">
            <v>0.01</v>
          </cell>
          <cell r="R52">
            <v>0.01</v>
          </cell>
          <cell r="S52">
            <v>0.01</v>
          </cell>
          <cell r="T52">
            <v>0.01</v>
          </cell>
          <cell r="X52">
            <v>0.01</v>
          </cell>
          <cell r="Y52">
            <v>0.01</v>
          </cell>
        </row>
        <row r="53">
          <cell r="B53" t="str">
            <v>Circ Pump ECM and drive-Retro</v>
          </cell>
          <cell r="C53">
            <v>0.01</v>
          </cell>
          <cell r="D53">
            <v>0.01</v>
          </cell>
          <cell r="E53">
            <v>0.01</v>
          </cell>
          <cell r="F53">
            <v>0.01</v>
          </cell>
          <cell r="G53">
            <v>0.01</v>
          </cell>
          <cell r="H53">
            <v>0.01</v>
          </cell>
          <cell r="I53">
            <v>0.01</v>
          </cell>
          <cell r="J53">
            <v>0.01</v>
          </cell>
          <cell r="K53">
            <v>0.01</v>
          </cell>
          <cell r="L53">
            <v>0.01</v>
          </cell>
          <cell r="M53">
            <v>0.01</v>
          </cell>
          <cell r="N53">
            <v>0.01</v>
          </cell>
          <cell r="O53">
            <v>0.01</v>
          </cell>
          <cell r="P53">
            <v>0.01</v>
          </cell>
          <cell r="Q53">
            <v>0.01</v>
          </cell>
          <cell r="R53">
            <v>0.01</v>
          </cell>
          <cell r="S53">
            <v>0.01</v>
          </cell>
          <cell r="T53">
            <v>0.01</v>
          </cell>
          <cell r="X53">
            <v>0.01</v>
          </cell>
          <cell r="Y53">
            <v>0.01</v>
          </cell>
        </row>
        <row r="54">
          <cell r="B54" t="str">
            <v>VRF-New</v>
          </cell>
          <cell r="C54">
            <v>4.9000000000000002E-2</v>
          </cell>
          <cell r="D54">
            <v>0.78400000000000003</v>
          </cell>
          <cell r="E54">
            <v>0.78400000000000003</v>
          </cell>
          <cell r="F54">
            <v>0.245</v>
          </cell>
          <cell r="G54">
            <v>0.245</v>
          </cell>
          <cell r="H54">
            <v>0.245</v>
          </cell>
          <cell r="I54">
            <v>0.245</v>
          </cell>
          <cell r="J54">
            <v>0.78400000000000003</v>
          </cell>
          <cell r="K54">
            <v>0.78400000000000003</v>
          </cell>
          <cell r="L54">
            <v>9.7999999999999997E-3</v>
          </cell>
          <cell r="M54">
            <v>4.9000000000000002E-2</v>
          </cell>
          <cell r="N54">
            <v>4.9000000000000002E-2</v>
          </cell>
          <cell r="O54">
            <v>0.245</v>
          </cell>
          <cell r="P54">
            <v>0.68599999999999994</v>
          </cell>
          <cell r="Q54">
            <v>4.9000000000000002E-2</v>
          </cell>
          <cell r="R54">
            <v>0.78400000000000003</v>
          </cell>
          <cell r="S54">
            <v>0.245</v>
          </cell>
          <cell r="T54">
            <v>0.78400000000000003</v>
          </cell>
          <cell r="X54">
            <v>0.05</v>
          </cell>
          <cell r="Y54">
            <v>0.8</v>
          </cell>
        </row>
        <row r="55">
          <cell r="B55" t="str">
            <v>VRF-Retro</v>
          </cell>
          <cell r="C55">
            <v>2.4820152866650024E-2</v>
          </cell>
          <cell r="D55">
            <v>6.9496428026620066E-2</v>
          </cell>
          <cell r="E55">
            <v>6.9496428026620066E-2</v>
          </cell>
          <cell r="F55">
            <v>4.9500000000000004E-3</v>
          </cell>
          <cell r="G55">
            <v>6.93E-2</v>
          </cell>
          <cell r="H55">
            <v>6.93E-2</v>
          </cell>
          <cell r="I55">
            <v>2.4750000000000001E-2</v>
          </cell>
          <cell r="J55">
            <v>2.4750000000000001E-2</v>
          </cell>
          <cell r="K55">
            <v>2.4750000000000001E-2</v>
          </cell>
          <cell r="L55">
            <v>2.4750000000000001E-2</v>
          </cell>
          <cell r="M55">
            <v>6.93E-2</v>
          </cell>
          <cell r="N55">
            <v>6.93E-2</v>
          </cell>
          <cell r="O55">
            <v>9.8999999999999999E-4</v>
          </cell>
          <cell r="P55">
            <v>4.9500000000000004E-3</v>
          </cell>
          <cell r="Q55">
            <v>4.9500000000000004E-3</v>
          </cell>
          <cell r="R55">
            <v>2.4750000000000001E-2</v>
          </cell>
          <cell r="S55">
            <v>6.93E-2</v>
          </cell>
          <cell r="T55">
            <v>4.9500000000000004E-3</v>
          </cell>
          <cell r="X55">
            <v>2.4820152866650024E-2</v>
          </cell>
          <cell r="Y55">
            <v>6.9496428026620066E-2</v>
          </cell>
        </row>
        <row r="56">
          <cell r="B56" t="str">
            <v>Evaporator Roof Top HVAC-Retro</v>
          </cell>
          <cell r="C56">
            <v>0.01</v>
          </cell>
          <cell r="D56">
            <v>0.01</v>
          </cell>
          <cell r="E56">
            <v>0.01</v>
          </cell>
          <cell r="F56">
            <v>0.01</v>
          </cell>
          <cell r="G56">
            <v>0.01</v>
          </cell>
          <cell r="H56">
            <v>0.01</v>
          </cell>
          <cell r="I56">
            <v>0.01</v>
          </cell>
          <cell r="J56">
            <v>0.01</v>
          </cell>
          <cell r="K56">
            <v>0.01</v>
          </cell>
          <cell r="L56">
            <v>0.01</v>
          </cell>
          <cell r="M56">
            <v>0.01</v>
          </cell>
          <cell r="N56">
            <v>0.01</v>
          </cell>
          <cell r="O56">
            <v>0.01</v>
          </cell>
          <cell r="P56">
            <v>0.01</v>
          </cell>
          <cell r="Q56">
            <v>0.01</v>
          </cell>
          <cell r="R56">
            <v>0.01</v>
          </cell>
          <cell r="S56">
            <v>0.01</v>
          </cell>
          <cell r="T56">
            <v>0.01</v>
          </cell>
          <cell r="X56">
            <v>0.01</v>
          </cell>
          <cell r="Y56">
            <v>0.01</v>
          </cell>
        </row>
        <row r="57">
          <cell r="B57" t="str">
            <v>Secondary Glazing Systems-Retro</v>
          </cell>
          <cell r="C57">
            <v>0</v>
          </cell>
          <cell r="D57">
            <v>0</v>
          </cell>
          <cell r="E57">
            <v>0</v>
          </cell>
          <cell r="F57">
            <v>0</v>
          </cell>
          <cell r="G57">
            <v>0</v>
          </cell>
          <cell r="H57">
            <v>0</v>
          </cell>
          <cell r="I57">
            <v>0</v>
          </cell>
          <cell r="J57">
            <v>0</v>
          </cell>
          <cell r="K57">
            <v>0</v>
          </cell>
          <cell r="L57">
            <v>0</v>
          </cell>
          <cell r="M57">
            <v>0</v>
          </cell>
          <cell r="N57">
            <v>0</v>
          </cell>
          <cell r="O57">
            <v>0</v>
          </cell>
          <cell r="P57">
            <v>0</v>
          </cell>
          <cell r="Q57">
            <v>0</v>
          </cell>
          <cell r="R57">
            <v>0</v>
          </cell>
          <cell r="S57">
            <v>0</v>
          </cell>
          <cell r="T57">
            <v>0</v>
          </cell>
          <cell r="X57">
            <v>0</v>
          </cell>
          <cell r="Y57">
            <v>0</v>
          </cell>
        </row>
        <row r="58">
          <cell r="B58" t="str">
            <v>LPD Package-New</v>
          </cell>
          <cell r="C58">
            <v>0</v>
          </cell>
          <cell r="D58">
            <v>0</v>
          </cell>
          <cell r="E58">
            <v>0</v>
          </cell>
          <cell r="F58">
            <v>0</v>
          </cell>
          <cell r="G58">
            <v>0</v>
          </cell>
          <cell r="H58">
            <v>0</v>
          </cell>
          <cell r="I58">
            <v>0</v>
          </cell>
          <cell r="J58">
            <v>0</v>
          </cell>
          <cell r="K58">
            <v>0</v>
          </cell>
          <cell r="L58">
            <v>0</v>
          </cell>
          <cell r="M58">
            <v>0</v>
          </cell>
          <cell r="N58">
            <v>0</v>
          </cell>
          <cell r="O58">
            <v>0</v>
          </cell>
          <cell r="P58">
            <v>0</v>
          </cell>
          <cell r="Q58">
            <v>0</v>
          </cell>
          <cell r="R58">
            <v>0</v>
          </cell>
          <cell r="S58">
            <v>0</v>
          </cell>
          <cell r="T58">
            <v>0</v>
          </cell>
          <cell r="X58">
            <v>0</v>
          </cell>
          <cell r="Y58">
            <v>0</v>
          </cell>
        </row>
        <row r="59">
          <cell r="B59" t="str">
            <v>LPD Package-NR</v>
          </cell>
          <cell r="C59">
            <v>0</v>
          </cell>
          <cell r="D59">
            <v>0</v>
          </cell>
          <cell r="E59">
            <v>0</v>
          </cell>
          <cell r="F59">
            <v>0</v>
          </cell>
          <cell r="G59">
            <v>0</v>
          </cell>
          <cell r="H59">
            <v>0</v>
          </cell>
          <cell r="I59">
            <v>0</v>
          </cell>
          <cell r="J59">
            <v>0</v>
          </cell>
          <cell r="K59">
            <v>0</v>
          </cell>
          <cell r="L59">
            <v>0</v>
          </cell>
          <cell r="M59">
            <v>0</v>
          </cell>
          <cell r="N59">
            <v>0</v>
          </cell>
          <cell r="O59">
            <v>0</v>
          </cell>
          <cell r="P59">
            <v>0</v>
          </cell>
          <cell r="Q59">
            <v>0</v>
          </cell>
          <cell r="R59">
            <v>0</v>
          </cell>
          <cell r="S59">
            <v>0</v>
          </cell>
          <cell r="T59">
            <v>0</v>
          </cell>
          <cell r="X59">
            <v>0</v>
          </cell>
          <cell r="Y59">
            <v>0</v>
          </cell>
        </row>
        <row r="60">
          <cell r="B60" t="str">
            <v>LPD Package-Retro</v>
          </cell>
          <cell r="C60">
            <v>0</v>
          </cell>
          <cell r="D60">
            <v>0</v>
          </cell>
          <cell r="E60">
            <v>0</v>
          </cell>
          <cell r="F60">
            <v>0</v>
          </cell>
          <cell r="G60">
            <v>0</v>
          </cell>
          <cell r="H60">
            <v>0</v>
          </cell>
          <cell r="I60">
            <v>0</v>
          </cell>
          <cell r="J60">
            <v>0</v>
          </cell>
          <cell r="K60">
            <v>0</v>
          </cell>
          <cell r="L60">
            <v>0</v>
          </cell>
          <cell r="M60">
            <v>0</v>
          </cell>
          <cell r="N60">
            <v>0</v>
          </cell>
          <cell r="O60">
            <v>0</v>
          </cell>
          <cell r="P60">
            <v>0</v>
          </cell>
          <cell r="Q60">
            <v>0</v>
          </cell>
          <cell r="R60">
            <v>0</v>
          </cell>
          <cell r="S60">
            <v>0</v>
          </cell>
          <cell r="T60">
            <v>0</v>
          </cell>
          <cell r="X60">
            <v>0</v>
          </cell>
          <cell r="Y60">
            <v>0</v>
          </cell>
        </row>
        <row r="61">
          <cell r="B61" t="str">
            <v>Top Daylighting-New</v>
          </cell>
          <cell r="C61">
            <v>0</v>
          </cell>
          <cell r="D61">
            <v>0</v>
          </cell>
          <cell r="E61">
            <v>0</v>
          </cell>
          <cell r="F61">
            <v>0</v>
          </cell>
          <cell r="G61">
            <v>0</v>
          </cell>
          <cell r="H61">
            <v>0</v>
          </cell>
          <cell r="I61">
            <v>0</v>
          </cell>
          <cell r="J61">
            <v>0</v>
          </cell>
          <cell r="K61">
            <v>0</v>
          </cell>
          <cell r="L61">
            <v>0</v>
          </cell>
          <cell r="M61">
            <v>0</v>
          </cell>
          <cell r="N61">
            <v>0</v>
          </cell>
          <cell r="O61">
            <v>0</v>
          </cell>
          <cell r="P61">
            <v>0</v>
          </cell>
          <cell r="Q61">
            <v>0</v>
          </cell>
          <cell r="R61">
            <v>0</v>
          </cell>
          <cell r="S61">
            <v>0</v>
          </cell>
          <cell r="T61">
            <v>0</v>
          </cell>
          <cell r="X61">
            <v>0</v>
          </cell>
          <cell r="Y61">
            <v>0</v>
          </cell>
        </row>
        <row r="62">
          <cell r="B62" t="str">
            <v>Perimeter Daylighting Controls Advanced-New</v>
          </cell>
          <cell r="C62">
            <v>0</v>
          </cell>
          <cell r="D62">
            <v>0</v>
          </cell>
          <cell r="E62">
            <v>0</v>
          </cell>
          <cell r="F62">
            <v>0</v>
          </cell>
          <cell r="G62">
            <v>0</v>
          </cell>
          <cell r="H62">
            <v>0</v>
          </cell>
          <cell r="I62">
            <v>0</v>
          </cell>
          <cell r="J62">
            <v>0</v>
          </cell>
          <cell r="K62">
            <v>0</v>
          </cell>
          <cell r="L62">
            <v>0</v>
          </cell>
          <cell r="M62">
            <v>0</v>
          </cell>
          <cell r="N62">
            <v>0</v>
          </cell>
          <cell r="O62">
            <v>0</v>
          </cell>
          <cell r="P62">
            <v>0</v>
          </cell>
          <cell r="Q62">
            <v>0</v>
          </cell>
          <cell r="R62">
            <v>0</v>
          </cell>
          <cell r="S62">
            <v>0</v>
          </cell>
          <cell r="T62">
            <v>0</v>
          </cell>
          <cell r="X62">
            <v>0</v>
          </cell>
          <cell r="Y62">
            <v>0</v>
          </cell>
        </row>
        <row r="63">
          <cell r="B63" t="str">
            <v>Perimeter Daylighting Controls Advanced-NR</v>
          </cell>
          <cell r="C63">
            <v>0</v>
          </cell>
          <cell r="D63">
            <v>0</v>
          </cell>
          <cell r="E63">
            <v>0</v>
          </cell>
          <cell r="F63">
            <v>0</v>
          </cell>
          <cell r="G63">
            <v>0</v>
          </cell>
          <cell r="H63">
            <v>0</v>
          </cell>
          <cell r="I63">
            <v>0</v>
          </cell>
          <cell r="J63">
            <v>0</v>
          </cell>
          <cell r="K63">
            <v>0</v>
          </cell>
          <cell r="L63">
            <v>0</v>
          </cell>
          <cell r="M63">
            <v>0</v>
          </cell>
          <cell r="N63">
            <v>0</v>
          </cell>
          <cell r="O63">
            <v>0</v>
          </cell>
          <cell r="P63">
            <v>0</v>
          </cell>
          <cell r="Q63">
            <v>0</v>
          </cell>
          <cell r="R63">
            <v>0</v>
          </cell>
          <cell r="S63">
            <v>0</v>
          </cell>
          <cell r="T63">
            <v>0</v>
          </cell>
          <cell r="X63">
            <v>0</v>
          </cell>
          <cell r="Y63">
            <v>0</v>
          </cell>
        </row>
        <row r="64">
          <cell r="B64" t="str">
            <v>Lighting Controls Interior-New</v>
          </cell>
          <cell r="C64">
            <v>0</v>
          </cell>
          <cell r="D64">
            <v>0</v>
          </cell>
          <cell r="E64">
            <v>0</v>
          </cell>
          <cell r="F64">
            <v>0</v>
          </cell>
          <cell r="G64">
            <v>0</v>
          </cell>
          <cell r="H64">
            <v>0</v>
          </cell>
          <cell r="I64">
            <v>0</v>
          </cell>
          <cell r="J64">
            <v>0</v>
          </cell>
          <cell r="K64">
            <v>0</v>
          </cell>
          <cell r="L64">
            <v>0</v>
          </cell>
          <cell r="M64">
            <v>0</v>
          </cell>
          <cell r="N64">
            <v>0</v>
          </cell>
          <cell r="O64">
            <v>0</v>
          </cell>
          <cell r="P64">
            <v>0</v>
          </cell>
          <cell r="Q64">
            <v>0</v>
          </cell>
          <cell r="R64">
            <v>0</v>
          </cell>
          <cell r="S64">
            <v>0</v>
          </cell>
          <cell r="T64">
            <v>0</v>
          </cell>
          <cell r="X64">
            <v>0</v>
          </cell>
          <cell r="Y64">
            <v>0</v>
          </cell>
        </row>
        <row r="65">
          <cell r="B65" t="str">
            <v>Lighting Controls Interior-NR</v>
          </cell>
          <cell r="C65">
            <v>0</v>
          </cell>
          <cell r="D65">
            <v>0</v>
          </cell>
          <cell r="E65">
            <v>0</v>
          </cell>
          <cell r="F65">
            <v>0</v>
          </cell>
          <cell r="G65">
            <v>0</v>
          </cell>
          <cell r="H65">
            <v>0</v>
          </cell>
          <cell r="I65">
            <v>0</v>
          </cell>
          <cell r="J65">
            <v>0</v>
          </cell>
          <cell r="K65">
            <v>0</v>
          </cell>
          <cell r="L65">
            <v>0</v>
          </cell>
          <cell r="M65">
            <v>0</v>
          </cell>
          <cell r="N65">
            <v>0</v>
          </cell>
          <cell r="O65">
            <v>0</v>
          </cell>
          <cell r="P65">
            <v>0</v>
          </cell>
          <cell r="Q65">
            <v>0</v>
          </cell>
          <cell r="R65">
            <v>0</v>
          </cell>
          <cell r="S65">
            <v>0</v>
          </cell>
          <cell r="T65">
            <v>0</v>
          </cell>
          <cell r="X65">
            <v>0</v>
          </cell>
          <cell r="Y65">
            <v>0</v>
          </cell>
        </row>
        <row r="66">
          <cell r="B66" t="str">
            <v>Exterior Building Lighting-New</v>
          </cell>
          <cell r="C66">
            <v>0</v>
          </cell>
          <cell r="D66">
            <v>0</v>
          </cell>
          <cell r="E66">
            <v>0</v>
          </cell>
          <cell r="F66">
            <v>0</v>
          </cell>
          <cell r="G66">
            <v>0</v>
          </cell>
          <cell r="H66">
            <v>0</v>
          </cell>
          <cell r="I66">
            <v>0</v>
          </cell>
          <cell r="J66">
            <v>0</v>
          </cell>
          <cell r="K66">
            <v>0</v>
          </cell>
          <cell r="L66">
            <v>0</v>
          </cell>
          <cell r="M66">
            <v>0</v>
          </cell>
          <cell r="N66">
            <v>0</v>
          </cell>
          <cell r="O66">
            <v>0</v>
          </cell>
          <cell r="P66">
            <v>0</v>
          </cell>
          <cell r="Q66">
            <v>0</v>
          </cell>
          <cell r="R66">
            <v>0</v>
          </cell>
          <cell r="S66">
            <v>0</v>
          </cell>
          <cell r="T66">
            <v>0</v>
          </cell>
          <cell r="X66">
            <v>0</v>
          </cell>
          <cell r="Y66">
            <v>0</v>
          </cell>
        </row>
        <row r="67">
          <cell r="B67" t="str">
            <v>Exterior Building Lighting-NR</v>
          </cell>
          <cell r="C67">
            <v>0</v>
          </cell>
          <cell r="D67">
            <v>0</v>
          </cell>
          <cell r="E67">
            <v>0</v>
          </cell>
          <cell r="F67">
            <v>0</v>
          </cell>
          <cell r="G67">
            <v>0</v>
          </cell>
          <cell r="H67">
            <v>0</v>
          </cell>
          <cell r="I67">
            <v>0</v>
          </cell>
          <cell r="J67">
            <v>0</v>
          </cell>
          <cell r="K67">
            <v>0</v>
          </cell>
          <cell r="L67">
            <v>0</v>
          </cell>
          <cell r="M67">
            <v>0</v>
          </cell>
          <cell r="N67">
            <v>0</v>
          </cell>
          <cell r="O67">
            <v>0</v>
          </cell>
          <cell r="P67">
            <v>0</v>
          </cell>
          <cell r="Q67">
            <v>0</v>
          </cell>
          <cell r="R67">
            <v>0</v>
          </cell>
          <cell r="S67">
            <v>0</v>
          </cell>
          <cell r="T67">
            <v>0</v>
          </cell>
          <cell r="X67">
            <v>0</v>
          </cell>
          <cell r="Y67">
            <v>0</v>
          </cell>
        </row>
        <row r="68">
          <cell r="B68" t="str">
            <v>Street and Roadway Lighting-New</v>
          </cell>
          <cell r="C68">
            <v>0</v>
          </cell>
          <cell r="D68">
            <v>0</v>
          </cell>
          <cell r="E68">
            <v>0</v>
          </cell>
          <cell r="F68">
            <v>0</v>
          </cell>
          <cell r="G68">
            <v>0</v>
          </cell>
          <cell r="H68">
            <v>0</v>
          </cell>
          <cell r="I68">
            <v>0</v>
          </cell>
          <cell r="J68">
            <v>0</v>
          </cell>
          <cell r="K68">
            <v>0</v>
          </cell>
          <cell r="L68">
            <v>0</v>
          </cell>
          <cell r="M68">
            <v>0</v>
          </cell>
          <cell r="N68">
            <v>0</v>
          </cell>
          <cell r="O68">
            <v>0</v>
          </cell>
          <cell r="P68">
            <v>0</v>
          </cell>
          <cell r="Q68">
            <v>0</v>
          </cell>
          <cell r="R68">
            <v>0</v>
          </cell>
          <cell r="S68">
            <v>0</v>
          </cell>
          <cell r="T68">
            <v>0</v>
          </cell>
          <cell r="U68">
            <v>0.6</v>
          </cell>
          <cell r="X68">
            <v>0</v>
          </cell>
          <cell r="Y68">
            <v>0</v>
          </cell>
        </row>
        <row r="69">
          <cell r="B69" t="str">
            <v>Street and Roadway Lighting-NR</v>
          </cell>
          <cell r="C69">
            <v>0</v>
          </cell>
          <cell r="D69">
            <v>0</v>
          </cell>
          <cell r="E69">
            <v>0</v>
          </cell>
          <cell r="F69">
            <v>0</v>
          </cell>
          <cell r="G69">
            <v>0</v>
          </cell>
          <cell r="H69">
            <v>0</v>
          </cell>
          <cell r="I69">
            <v>0</v>
          </cell>
          <cell r="J69">
            <v>0</v>
          </cell>
          <cell r="K69">
            <v>0</v>
          </cell>
          <cell r="L69">
            <v>0</v>
          </cell>
          <cell r="M69">
            <v>0</v>
          </cell>
          <cell r="N69">
            <v>0</v>
          </cell>
          <cell r="O69">
            <v>0</v>
          </cell>
          <cell r="P69">
            <v>0</v>
          </cell>
          <cell r="Q69">
            <v>0</v>
          </cell>
          <cell r="R69">
            <v>0</v>
          </cell>
          <cell r="S69">
            <v>0</v>
          </cell>
          <cell r="T69">
            <v>0</v>
          </cell>
          <cell r="U69">
            <v>0.5</v>
          </cell>
          <cell r="X69">
            <v>0</v>
          </cell>
          <cell r="Y69">
            <v>0</v>
          </cell>
        </row>
        <row r="70">
          <cell r="B70" t="str">
            <v>Parking Lighting-New</v>
          </cell>
          <cell r="C70">
            <v>0</v>
          </cell>
          <cell r="D70">
            <v>0</v>
          </cell>
          <cell r="E70">
            <v>0</v>
          </cell>
          <cell r="F70">
            <v>0</v>
          </cell>
          <cell r="G70">
            <v>0</v>
          </cell>
          <cell r="H70">
            <v>0</v>
          </cell>
          <cell r="I70">
            <v>0</v>
          </cell>
          <cell r="J70">
            <v>0</v>
          </cell>
          <cell r="K70">
            <v>0</v>
          </cell>
          <cell r="L70">
            <v>0</v>
          </cell>
          <cell r="M70">
            <v>0</v>
          </cell>
          <cell r="N70">
            <v>0</v>
          </cell>
          <cell r="O70">
            <v>0</v>
          </cell>
          <cell r="P70">
            <v>0</v>
          </cell>
          <cell r="Q70">
            <v>0</v>
          </cell>
          <cell r="R70">
            <v>0</v>
          </cell>
          <cell r="S70">
            <v>0</v>
          </cell>
          <cell r="T70">
            <v>0</v>
          </cell>
          <cell r="X70">
            <v>0</v>
          </cell>
          <cell r="Y70">
            <v>0</v>
          </cell>
        </row>
        <row r="71">
          <cell r="B71" t="str">
            <v>Parking Lighting-NR</v>
          </cell>
          <cell r="C71">
            <v>0</v>
          </cell>
          <cell r="D71">
            <v>0</v>
          </cell>
          <cell r="E71">
            <v>0</v>
          </cell>
          <cell r="F71">
            <v>0</v>
          </cell>
          <cell r="G71">
            <v>0</v>
          </cell>
          <cell r="H71">
            <v>0</v>
          </cell>
          <cell r="I71">
            <v>0</v>
          </cell>
          <cell r="J71">
            <v>0</v>
          </cell>
          <cell r="K71">
            <v>0</v>
          </cell>
          <cell r="L71">
            <v>0</v>
          </cell>
          <cell r="M71">
            <v>0</v>
          </cell>
          <cell r="N71">
            <v>0</v>
          </cell>
          <cell r="O71">
            <v>0</v>
          </cell>
          <cell r="P71">
            <v>0</v>
          </cell>
          <cell r="Q71">
            <v>0</v>
          </cell>
          <cell r="R71">
            <v>0</v>
          </cell>
          <cell r="S71">
            <v>0</v>
          </cell>
          <cell r="T71">
            <v>0</v>
          </cell>
          <cell r="X71">
            <v>0</v>
          </cell>
          <cell r="Y71">
            <v>0</v>
          </cell>
        </row>
        <row r="72">
          <cell r="B72" t="str">
            <v>Bi-Level Stairwell Lighting-NR</v>
          </cell>
          <cell r="C72">
            <v>0.01</v>
          </cell>
          <cell r="D72">
            <v>0.01</v>
          </cell>
          <cell r="E72">
            <v>0.01</v>
          </cell>
          <cell r="F72">
            <v>0.01</v>
          </cell>
          <cell r="G72">
            <v>0.01</v>
          </cell>
          <cell r="H72">
            <v>0.01</v>
          </cell>
          <cell r="I72">
            <v>0.01</v>
          </cell>
          <cell r="J72">
            <v>0.01</v>
          </cell>
          <cell r="K72">
            <v>0.01</v>
          </cell>
          <cell r="L72">
            <v>0.01</v>
          </cell>
          <cell r="M72">
            <v>0.01</v>
          </cell>
          <cell r="N72">
            <v>0.01</v>
          </cell>
          <cell r="O72">
            <v>0.01</v>
          </cell>
          <cell r="P72">
            <v>0.01</v>
          </cell>
          <cell r="Q72">
            <v>0.01</v>
          </cell>
          <cell r="R72">
            <v>0.01</v>
          </cell>
          <cell r="S72">
            <v>0.01</v>
          </cell>
          <cell r="T72">
            <v>0.01</v>
          </cell>
          <cell r="X72">
            <v>0.01</v>
          </cell>
          <cell r="Y72">
            <v>0.01</v>
          </cell>
        </row>
        <row r="73">
          <cell r="B73" t="str">
            <v>ECM-VAV-New</v>
          </cell>
          <cell r="C73">
            <v>0.6</v>
          </cell>
          <cell r="D73">
            <v>0.7</v>
          </cell>
          <cell r="E73">
            <v>0.9</v>
          </cell>
          <cell r="F73">
            <v>0.9</v>
          </cell>
          <cell r="G73">
            <v>0.9</v>
          </cell>
          <cell r="H73">
            <v>0.9</v>
          </cell>
          <cell r="I73">
            <v>0.6</v>
          </cell>
          <cell r="J73">
            <v>0.9</v>
          </cell>
          <cell r="K73">
            <v>0.6</v>
          </cell>
          <cell r="L73">
            <v>0.9</v>
          </cell>
          <cell r="M73">
            <v>0.9</v>
          </cell>
          <cell r="N73">
            <v>0.9</v>
          </cell>
          <cell r="O73">
            <v>0.9</v>
          </cell>
          <cell r="P73">
            <v>0.9</v>
          </cell>
          <cell r="Q73">
            <v>0.6</v>
          </cell>
          <cell r="R73">
            <v>0.9</v>
          </cell>
          <cell r="S73">
            <v>0.9</v>
          </cell>
          <cell r="T73">
            <v>0.6</v>
          </cell>
          <cell r="X73">
            <v>1</v>
          </cell>
          <cell r="Y73">
            <v>1</v>
          </cell>
        </row>
        <row r="74">
          <cell r="B74" t="str">
            <v>ECM-VAV-NR</v>
          </cell>
          <cell r="C74">
            <v>0.8</v>
          </cell>
          <cell r="D74">
            <v>0.8</v>
          </cell>
          <cell r="E74">
            <v>0.9</v>
          </cell>
          <cell r="F74">
            <v>0.9</v>
          </cell>
          <cell r="G74">
            <v>0.9</v>
          </cell>
          <cell r="H74">
            <v>0.9</v>
          </cell>
          <cell r="I74">
            <v>0.8</v>
          </cell>
          <cell r="J74">
            <v>0.9</v>
          </cell>
          <cell r="K74">
            <v>0.8</v>
          </cell>
          <cell r="L74">
            <v>0.9</v>
          </cell>
          <cell r="M74">
            <v>0.9</v>
          </cell>
          <cell r="N74">
            <v>0.9</v>
          </cell>
          <cell r="O74">
            <v>0.9</v>
          </cell>
          <cell r="P74">
            <v>0.9</v>
          </cell>
          <cell r="Q74">
            <v>0.8</v>
          </cell>
          <cell r="R74">
            <v>0.9</v>
          </cell>
          <cell r="S74">
            <v>0.9</v>
          </cell>
          <cell r="T74">
            <v>0.8</v>
          </cell>
          <cell r="X74">
            <v>1</v>
          </cell>
          <cell r="Y74">
            <v>1</v>
          </cell>
        </row>
        <row r="75">
          <cell r="B75" t="str">
            <v>Pool pumps-Retro</v>
          </cell>
          <cell r="C75">
            <v>0.01</v>
          </cell>
          <cell r="D75">
            <v>0.01</v>
          </cell>
          <cell r="E75">
            <v>0.01</v>
          </cell>
          <cell r="F75">
            <v>0.01</v>
          </cell>
          <cell r="G75">
            <v>0.01</v>
          </cell>
          <cell r="H75">
            <v>0.01</v>
          </cell>
          <cell r="I75">
            <v>0.01</v>
          </cell>
          <cell r="J75">
            <v>0.01</v>
          </cell>
          <cell r="K75">
            <v>0.01</v>
          </cell>
          <cell r="L75">
            <v>0.01</v>
          </cell>
          <cell r="M75">
            <v>0.01</v>
          </cell>
          <cell r="N75">
            <v>0.01</v>
          </cell>
          <cell r="O75">
            <v>0.01</v>
          </cell>
          <cell r="P75">
            <v>0.01</v>
          </cell>
          <cell r="Q75">
            <v>0.01</v>
          </cell>
          <cell r="R75">
            <v>0.01</v>
          </cell>
          <cell r="S75">
            <v>0.01</v>
          </cell>
          <cell r="T75">
            <v>0.01</v>
          </cell>
          <cell r="X75">
            <v>0.01</v>
          </cell>
          <cell r="Y75">
            <v>0.01</v>
          </cell>
        </row>
        <row r="76">
          <cell r="B76" t="str">
            <v>MotorsRewind-New</v>
          </cell>
          <cell r="C76">
            <v>0.01</v>
          </cell>
          <cell r="D76">
            <v>0.01</v>
          </cell>
          <cell r="E76">
            <v>0.01</v>
          </cell>
          <cell r="F76">
            <v>0.01</v>
          </cell>
          <cell r="G76">
            <v>0.01</v>
          </cell>
          <cell r="H76">
            <v>0.01</v>
          </cell>
          <cell r="I76">
            <v>0.01</v>
          </cell>
          <cell r="J76">
            <v>0.01</v>
          </cell>
          <cell r="K76">
            <v>0.01</v>
          </cell>
          <cell r="L76">
            <v>0.01</v>
          </cell>
          <cell r="M76">
            <v>0.01</v>
          </cell>
          <cell r="N76">
            <v>0.01</v>
          </cell>
          <cell r="O76">
            <v>0.01</v>
          </cell>
          <cell r="P76">
            <v>0.01</v>
          </cell>
          <cell r="Q76">
            <v>0.01</v>
          </cell>
          <cell r="R76">
            <v>0.01</v>
          </cell>
          <cell r="S76">
            <v>0.01</v>
          </cell>
          <cell r="T76">
            <v>0.01</v>
          </cell>
          <cell r="X76">
            <v>0.01</v>
          </cell>
          <cell r="Y76">
            <v>0.01</v>
          </cell>
        </row>
        <row r="77">
          <cell r="B77" t="str">
            <v>MotorsRewind-NR</v>
          </cell>
          <cell r="C77">
            <v>0.01</v>
          </cell>
          <cell r="D77">
            <v>0.01</v>
          </cell>
          <cell r="E77">
            <v>0.01</v>
          </cell>
          <cell r="F77">
            <v>0.01</v>
          </cell>
          <cell r="G77">
            <v>0.01</v>
          </cell>
          <cell r="H77">
            <v>0.01</v>
          </cell>
          <cell r="I77">
            <v>0.01</v>
          </cell>
          <cell r="J77">
            <v>0.01</v>
          </cell>
          <cell r="K77">
            <v>0.01</v>
          </cell>
          <cell r="L77">
            <v>0.01</v>
          </cell>
          <cell r="M77">
            <v>0.01</v>
          </cell>
          <cell r="N77">
            <v>0.01</v>
          </cell>
          <cell r="O77">
            <v>0.01</v>
          </cell>
          <cell r="P77">
            <v>0.01</v>
          </cell>
          <cell r="Q77">
            <v>0.01</v>
          </cell>
          <cell r="R77">
            <v>0.01</v>
          </cell>
          <cell r="S77">
            <v>0.01</v>
          </cell>
          <cell r="T77">
            <v>0.01</v>
          </cell>
          <cell r="X77">
            <v>0.01</v>
          </cell>
          <cell r="Y77">
            <v>0.01</v>
          </cell>
        </row>
        <row r="78">
          <cell r="B78" t="str">
            <v>Municipal Sewage Treatment-Retro</v>
          </cell>
          <cell r="C78">
            <v>0</v>
          </cell>
          <cell r="D78">
            <v>0</v>
          </cell>
          <cell r="E78">
            <v>0</v>
          </cell>
          <cell r="F78">
            <v>0</v>
          </cell>
          <cell r="G78">
            <v>0</v>
          </cell>
          <cell r="H78">
            <v>0</v>
          </cell>
          <cell r="I78">
            <v>0</v>
          </cell>
          <cell r="J78">
            <v>0</v>
          </cell>
          <cell r="K78">
            <v>0</v>
          </cell>
          <cell r="L78">
            <v>0</v>
          </cell>
          <cell r="M78">
            <v>0</v>
          </cell>
          <cell r="N78">
            <v>0</v>
          </cell>
          <cell r="O78">
            <v>0</v>
          </cell>
          <cell r="P78">
            <v>0</v>
          </cell>
          <cell r="Q78">
            <v>0</v>
          </cell>
          <cell r="R78">
            <v>0</v>
          </cell>
          <cell r="S78">
            <v>0</v>
          </cell>
          <cell r="T78">
            <v>0</v>
          </cell>
          <cell r="U78">
            <v>1</v>
          </cell>
          <cell r="X78">
            <v>0</v>
          </cell>
          <cell r="Y78">
            <v>0</v>
          </cell>
        </row>
        <row r="79">
          <cell r="B79" t="str">
            <v>Municipal Water Supply-Retro</v>
          </cell>
          <cell r="C79">
            <v>0</v>
          </cell>
          <cell r="D79">
            <v>0</v>
          </cell>
          <cell r="E79">
            <v>0</v>
          </cell>
          <cell r="F79">
            <v>0</v>
          </cell>
          <cell r="G79">
            <v>0</v>
          </cell>
          <cell r="H79">
            <v>0</v>
          </cell>
          <cell r="I79">
            <v>0</v>
          </cell>
          <cell r="J79">
            <v>0</v>
          </cell>
          <cell r="K79">
            <v>0</v>
          </cell>
          <cell r="L79">
            <v>0</v>
          </cell>
          <cell r="M79">
            <v>0</v>
          </cell>
          <cell r="N79">
            <v>0</v>
          </cell>
          <cell r="O79">
            <v>0</v>
          </cell>
          <cell r="P79">
            <v>0</v>
          </cell>
          <cell r="Q79">
            <v>0</v>
          </cell>
          <cell r="R79">
            <v>0</v>
          </cell>
          <cell r="S79">
            <v>0</v>
          </cell>
          <cell r="T79">
            <v>0</v>
          </cell>
          <cell r="U79">
            <v>1</v>
          </cell>
          <cell r="X79">
            <v>0</v>
          </cell>
          <cell r="Y79">
            <v>0</v>
          </cell>
        </row>
        <row r="80">
          <cell r="B80" t="str">
            <v>Engine Generator Block Heaters-Retro</v>
          </cell>
          <cell r="C80">
            <v>0.01</v>
          </cell>
          <cell r="D80">
            <v>0.01</v>
          </cell>
          <cell r="E80">
            <v>0.01</v>
          </cell>
          <cell r="F80">
            <v>0.01</v>
          </cell>
          <cell r="G80">
            <v>0.01</v>
          </cell>
          <cell r="H80">
            <v>0.01</v>
          </cell>
          <cell r="I80">
            <v>0.01</v>
          </cell>
          <cell r="J80">
            <v>0.01</v>
          </cell>
          <cell r="K80">
            <v>0.01</v>
          </cell>
          <cell r="L80">
            <v>0.01</v>
          </cell>
          <cell r="M80">
            <v>0.01</v>
          </cell>
          <cell r="N80">
            <v>0.01</v>
          </cell>
          <cell r="O80">
            <v>0.01</v>
          </cell>
          <cell r="P80">
            <v>0.01</v>
          </cell>
          <cell r="Q80">
            <v>0.01</v>
          </cell>
          <cell r="R80">
            <v>0.01</v>
          </cell>
          <cell r="S80">
            <v>0.01</v>
          </cell>
          <cell r="T80">
            <v>0.01</v>
          </cell>
          <cell r="X80">
            <v>0.01</v>
          </cell>
          <cell r="Y80">
            <v>0.01</v>
          </cell>
        </row>
        <row r="81">
          <cell r="B81" t="str">
            <v>Grocery Refrigeration Bundle-Retro</v>
          </cell>
          <cell r="C81">
            <v>0</v>
          </cell>
          <cell r="D81">
            <v>0</v>
          </cell>
          <cell r="E81">
            <v>0</v>
          </cell>
          <cell r="F81">
            <v>0</v>
          </cell>
          <cell r="G81">
            <v>0</v>
          </cell>
          <cell r="H81">
            <v>0</v>
          </cell>
          <cell r="I81">
            <v>0</v>
          </cell>
          <cell r="J81">
            <v>0</v>
          </cell>
          <cell r="K81">
            <v>0</v>
          </cell>
          <cell r="L81">
            <v>0</v>
          </cell>
          <cell r="M81">
            <v>0</v>
          </cell>
          <cell r="N81">
            <v>0</v>
          </cell>
          <cell r="O81">
            <v>0</v>
          </cell>
          <cell r="P81">
            <v>0</v>
          </cell>
          <cell r="Q81">
            <v>0</v>
          </cell>
          <cell r="R81">
            <v>0</v>
          </cell>
          <cell r="S81">
            <v>0</v>
          </cell>
          <cell r="T81">
            <v>0</v>
          </cell>
          <cell r="U81">
            <v>0</v>
          </cell>
          <cell r="X81">
            <v>0</v>
          </cell>
          <cell r="Y81">
            <v>0</v>
          </cell>
        </row>
        <row r="82">
          <cell r="B82" t="str">
            <v>Packaged Refrigeration Equipment-New</v>
          </cell>
          <cell r="C82">
            <v>0</v>
          </cell>
          <cell r="D82">
            <v>0</v>
          </cell>
          <cell r="E82">
            <v>0</v>
          </cell>
          <cell r="F82">
            <v>0</v>
          </cell>
          <cell r="G82">
            <v>0</v>
          </cell>
          <cell r="H82">
            <v>0</v>
          </cell>
          <cell r="I82">
            <v>0</v>
          </cell>
          <cell r="J82">
            <v>0</v>
          </cell>
          <cell r="K82">
            <v>0</v>
          </cell>
          <cell r="L82">
            <v>0</v>
          </cell>
          <cell r="M82">
            <v>0</v>
          </cell>
          <cell r="N82">
            <v>0</v>
          </cell>
          <cell r="O82">
            <v>0</v>
          </cell>
          <cell r="P82">
            <v>0</v>
          </cell>
          <cell r="Q82">
            <v>0</v>
          </cell>
          <cell r="R82">
            <v>0</v>
          </cell>
          <cell r="S82">
            <v>0</v>
          </cell>
          <cell r="T82">
            <v>0</v>
          </cell>
          <cell r="U82">
            <v>0</v>
          </cell>
          <cell r="X82">
            <v>0</v>
          </cell>
          <cell r="Y82">
            <v>0</v>
          </cell>
        </row>
        <row r="83">
          <cell r="B83" t="str">
            <v>Appliances - Freezers-NR</v>
          </cell>
          <cell r="C83">
            <v>0.01</v>
          </cell>
          <cell r="D83">
            <v>0.01</v>
          </cell>
          <cell r="E83">
            <v>0.01</v>
          </cell>
          <cell r="F83">
            <v>0.01</v>
          </cell>
          <cell r="G83">
            <v>0.01</v>
          </cell>
          <cell r="H83">
            <v>0.01</v>
          </cell>
          <cell r="I83">
            <v>0.01</v>
          </cell>
          <cell r="J83">
            <v>0.01</v>
          </cell>
          <cell r="K83">
            <v>0.01</v>
          </cell>
          <cell r="L83">
            <v>0.01</v>
          </cell>
          <cell r="M83">
            <v>0.01</v>
          </cell>
          <cell r="N83">
            <v>0.01</v>
          </cell>
          <cell r="O83">
            <v>0.01</v>
          </cell>
          <cell r="P83">
            <v>0.01</v>
          </cell>
          <cell r="Q83">
            <v>0.01</v>
          </cell>
          <cell r="R83">
            <v>0.01</v>
          </cell>
          <cell r="S83">
            <v>0.01</v>
          </cell>
          <cell r="T83">
            <v>0.01</v>
          </cell>
          <cell r="U83" t="e">
            <v>#VALUE!</v>
          </cell>
          <cell r="X83">
            <v>0.01</v>
          </cell>
          <cell r="Y83">
            <v>0.01</v>
          </cell>
        </row>
        <row r="84">
          <cell r="B84" t="str">
            <v>Appliances - Refrigerators-NR</v>
          </cell>
          <cell r="C84">
            <v>0.01</v>
          </cell>
          <cell r="D84">
            <v>0.01</v>
          </cell>
          <cell r="E84">
            <v>0.01</v>
          </cell>
          <cell r="F84">
            <v>0.01</v>
          </cell>
          <cell r="G84">
            <v>0.01</v>
          </cell>
          <cell r="H84">
            <v>0.01</v>
          </cell>
          <cell r="I84">
            <v>0.01</v>
          </cell>
          <cell r="J84">
            <v>0.01</v>
          </cell>
          <cell r="K84">
            <v>0.01</v>
          </cell>
          <cell r="L84">
            <v>0.01</v>
          </cell>
          <cell r="M84">
            <v>0.01</v>
          </cell>
          <cell r="N84">
            <v>0.01</v>
          </cell>
          <cell r="O84">
            <v>0.01</v>
          </cell>
          <cell r="P84">
            <v>0.01</v>
          </cell>
          <cell r="Q84">
            <v>0.01</v>
          </cell>
          <cell r="R84">
            <v>0.01</v>
          </cell>
          <cell r="S84">
            <v>0.01</v>
          </cell>
          <cell r="T84">
            <v>0.01</v>
          </cell>
          <cell r="U84" t="e">
            <v>#VALUE!</v>
          </cell>
          <cell r="X84">
            <v>0.01</v>
          </cell>
          <cell r="Y84">
            <v>0.01</v>
          </cell>
        </row>
        <row r="85">
          <cell r="B85" t="str">
            <v>Water Cooler Controls-NR</v>
          </cell>
          <cell r="C85">
            <v>0</v>
          </cell>
          <cell r="D85">
            <v>0</v>
          </cell>
          <cell r="E85">
            <v>0</v>
          </cell>
          <cell r="F85">
            <v>0</v>
          </cell>
          <cell r="G85">
            <v>0</v>
          </cell>
          <cell r="H85">
            <v>0</v>
          </cell>
          <cell r="I85">
            <v>0</v>
          </cell>
          <cell r="J85">
            <v>0</v>
          </cell>
          <cell r="K85">
            <v>0</v>
          </cell>
          <cell r="L85">
            <v>0</v>
          </cell>
          <cell r="M85">
            <v>0</v>
          </cell>
          <cell r="N85">
            <v>0</v>
          </cell>
          <cell r="O85">
            <v>0</v>
          </cell>
          <cell r="P85">
            <v>0</v>
          </cell>
          <cell r="Q85">
            <v>0</v>
          </cell>
          <cell r="R85">
            <v>0</v>
          </cell>
          <cell r="S85">
            <v>0</v>
          </cell>
          <cell r="T85">
            <v>0</v>
          </cell>
          <cell r="U85">
            <v>0</v>
          </cell>
          <cell r="X85">
            <v>0</v>
          </cell>
          <cell r="Y85">
            <v>0</v>
          </cell>
        </row>
        <row r="86">
          <cell r="B86" t="str">
            <v>WHTanks-New</v>
          </cell>
          <cell r="C86">
            <v>1</v>
          </cell>
          <cell r="D86">
            <v>1</v>
          </cell>
          <cell r="E86">
            <v>1</v>
          </cell>
          <cell r="F86">
            <v>1</v>
          </cell>
          <cell r="G86">
            <v>1</v>
          </cell>
          <cell r="H86">
            <v>1</v>
          </cell>
          <cell r="I86">
            <v>1</v>
          </cell>
          <cell r="J86">
            <v>1</v>
          </cell>
          <cell r="K86">
            <v>1</v>
          </cell>
          <cell r="L86">
            <v>1</v>
          </cell>
          <cell r="M86">
            <v>1</v>
          </cell>
          <cell r="N86">
            <v>1</v>
          </cell>
          <cell r="O86">
            <v>1</v>
          </cell>
          <cell r="P86">
            <v>1</v>
          </cell>
          <cell r="Q86">
            <v>1</v>
          </cell>
          <cell r="R86">
            <v>1</v>
          </cell>
          <cell r="S86">
            <v>1</v>
          </cell>
          <cell r="T86">
            <v>1</v>
          </cell>
          <cell r="U86">
            <v>0</v>
          </cell>
          <cell r="X86">
            <v>1</v>
          </cell>
          <cell r="Y86">
            <v>1</v>
          </cell>
        </row>
        <row r="87">
          <cell r="B87" t="str">
            <v>WHTanks-NR</v>
          </cell>
          <cell r="C87">
            <v>1</v>
          </cell>
          <cell r="D87">
            <v>1</v>
          </cell>
          <cell r="E87">
            <v>1</v>
          </cell>
          <cell r="F87">
            <v>1</v>
          </cell>
          <cell r="G87">
            <v>1</v>
          </cell>
          <cell r="H87">
            <v>1</v>
          </cell>
          <cell r="I87">
            <v>1</v>
          </cell>
          <cell r="J87">
            <v>1</v>
          </cell>
          <cell r="K87">
            <v>1</v>
          </cell>
          <cell r="L87">
            <v>1</v>
          </cell>
          <cell r="M87">
            <v>1</v>
          </cell>
          <cell r="N87">
            <v>1</v>
          </cell>
          <cell r="O87">
            <v>1</v>
          </cell>
          <cell r="P87">
            <v>1</v>
          </cell>
          <cell r="Q87">
            <v>1</v>
          </cell>
          <cell r="R87">
            <v>1</v>
          </cell>
          <cell r="S87">
            <v>1</v>
          </cell>
          <cell r="T87">
            <v>1</v>
          </cell>
          <cell r="U87" t="e">
            <v>#VALUE!</v>
          </cell>
          <cell r="X87">
            <v>1</v>
          </cell>
          <cell r="Y87">
            <v>1</v>
          </cell>
        </row>
        <row r="88">
          <cell r="B88" t="str">
            <v>Appliances - Clothes Washers-NR</v>
          </cell>
          <cell r="C88">
            <v>0.01</v>
          </cell>
          <cell r="D88">
            <v>0.01</v>
          </cell>
          <cell r="E88">
            <v>0.01</v>
          </cell>
          <cell r="F88">
            <v>0.01</v>
          </cell>
          <cell r="G88">
            <v>0.01</v>
          </cell>
          <cell r="H88">
            <v>0.01</v>
          </cell>
          <cell r="I88">
            <v>0.01</v>
          </cell>
          <cell r="J88">
            <v>0.01</v>
          </cell>
          <cell r="K88">
            <v>0.01</v>
          </cell>
          <cell r="L88">
            <v>0.01</v>
          </cell>
          <cell r="M88">
            <v>0.01</v>
          </cell>
          <cell r="N88">
            <v>0.01</v>
          </cell>
          <cell r="O88">
            <v>0.01</v>
          </cell>
          <cell r="P88">
            <v>0.01</v>
          </cell>
          <cell r="Q88">
            <v>0.01</v>
          </cell>
          <cell r="R88">
            <v>0.01</v>
          </cell>
          <cell r="S88">
            <v>0.01</v>
          </cell>
          <cell r="T88">
            <v>0.01</v>
          </cell>
          <cell r="U88" t="e">
            <v>#VALUE!</v>
          </cell>
          <cell r="X88">
            <v>0.01</v>
          </cell>
          <cell r="Y88">
            <v>0.01</v>
          </cell>
        </row>
        <row r="89">
          <cell r="B89" t="str">
            <v>Showerheads-Retro</v>
          </cell>
          <cell r="C89">
            <v>0.8</v>
          </cell>
          <cell r="D89">
            <v>0.8</v>
          </cell>
          <cell r="E89">
            <v>0.8</v>
          </cell>
          <cell r="F89">
            <v>0.8</v>
          </cell>
          <cell r="G89">
            <v>0.8</v>
          </cell>
          <cell r="H89">
            <v>0.8</v>
          </cell>
          <cell r="I89">
            <v>0.8</v>
          </cell>
          <cell r="J89">
            <v>0.8</v>
          </cell>
          <cell r="K89">
            <v>0.8</v>
          </cell>
          <cell r="L89">
            <v>0.8</v>
          </cell>
          <cell r="M89">
            <v>0.8</v>
          </cell>
          <cell r="N89">
            <v>0.8</v>
          </cell>
          <cell r="O89">
            <v>0.8</v>
          </cell>
          <cell r="P89">
            <v>0.8</v>
          </cell>
          <cell r="Q89">
            <v>0.8</v>
          </cell>
          <cell r="R89">
            <v>0.8</v>
          </cell>
          <cell r="S89">
            <v>0.8</v>
          </cell>
          <cell r="T89">
            <v>0.8</v>
          </cell>
          <cell r="U89" t="e">
            <v>#VALUE!</v>
          </cell>
          <cell r="X89">
            <v>1</v>
          </cell>
          <cell r="Y89">
            <v>1</v>
          </cell>
        </row>
        <row r="90">
          <cell r="B90" t="str">
            <v>Water Heating - GFHX-New</v>
          </cell>
          <cell r="C90">
            <v>0.01</v>
          </cell>
          <cell r="D90">
            <v>0.01</v>
          </cell>
          <cell r="E90">
            <v>0.01</v>
          </cell>
          <cell r="F90">
            <v>0.01</v>
          </cell>
          <cell r="G90">
            <v>0.01</v>
          </cell>
          <cell r="H90">
            <v>0.01</v>
          </cell>
          <cell r="I90">
            <v>0.01</v>
          </cell>
          <cell r="J90">
            <v>0.01</v>
          </cell>
          <cell r="K90">
            <v>0.01</v>
          </cell>
          <cell r="L90">
            <v>0.01</v>
          </cell>
          <cell r="M90">
            <v>0.01</v>
          </cell>
          <cell r="N90">
            <v>0.01</v>
          </cell>
          <cell r="O90">
            <v>0.01</v>
          </cell>
          <cell r="P90">
            <v>0.01</v>
          </cell>
          <cell r="Q90">
            <v>0.01</v>
          </cell>
          <cell r="R90">
            <v>0.01</v>
          </cell>
          <cell r="S90">
            <v>0.01</v>
          </cell>
          <cell r="T90">
            <v>0.01</v>
          </cell>
          <cell r="U90" t="e">
            <v>#VALUE!</v>
          </cell>
          <cell r="X90">
            <v>0.01</v>
          </cell>
          <cell r="Y90">
            <v>0.01</v>
          </cell>
        </row>
        <row r="91">
          <cell r="B91" t="str">
            <v>Demand Control Circulating system DHW-Retro</v>
          </cell>
          <cell r="C91">
            <v>0.01</v>
          </cell>
          <cell r="D91">
            <v>0.01</v>
          </cell>
          <cell r="E91">
            <v>0.01</v>
          </cell>
          <cell r="F91">
            <v>0.01</v>
          </cell>
          <cell r="G91">
            <v>0.01</v>
          </cell>
          <cell r="H91">
            <v>0.01</v>
          </cell>
          <cell r="I91">
            <v>0.01</v>
          </cell>
          <cell r="J91">
            <v>0.01</v>
          </cell>
          <cell r="K91">
            <v>0.01</v>
          </cell>
          <cell r="L91">
            <v>0.01</v>
          </cell>
          <cell r="M91">
            <v>0.01</v>
          </cell>
          <cell r="N91">
            <v>0.01</v>
          </cell>
          <cell r="O91">
            <v>0.01</v>
          </cell>
          <cell r="P91">
            <v>0.01</v>
          </cell>
          <cell r="Q91">
            <v>0.01</v>
          </cell>
          <cell r="R91">
            <v>0.01</v>
          </cell>
          <cell r="S91">
            <v>0.01</v>
          </cell>
          <cell r="T91">
            <v>0.01</v>
          </cell>
          <cell r="U91" t="e">
            <v>#VALUE!</v>
          </cell>
          <cell r="X91">
            <v>0.01</v>
          </cell>
          <cell r="Y91">
            <v>0.01</v>
          </cell>
        </row>
        <row r="92">
          <cell r="B92" t="str">
            <v>Central HPWH MF-Retro</v>
          </cell>
          <cell r="C92">
            <v>0.01</v>
          </cell>
          <cell r="D92">
            <v>0.01</v>
          </cell>
          <cell r="E92">
            <v>0.01</v>
          </cell>
          <cell r="F92">
            <v>0.01</v>
          </cell>
          <cell r="G92">
            <v>0.01</v>
          </cell>
          <cell r="H92">
            <v>0.01</v>
          </cell>
          <cell r="I92">
            <v>0.01</v>
          </cell>
          <cell r="J92">
            <v>0.01</v>
          </cell>
          <cell r="K92">
            <v>0.01</v>
          </cell>
          <cell r="L92">
            <v>0.01</v>
          </cell>
          <cell r="M92">
            <v>0.01</v>
          </cell>
          <cell r="N92">
            <v>0.01</v>
          </cell>
          <cell r="O92">
            <v>0.01</v>
          </cell>
          <cell r="P92">
            <v>0.01</v>
          </cell>
          <cell r="Q92">
            <v>0.01</v>
          </cell>
          <cell r="R92">
            <v>0.01</v>
          </cell>
          <cell r="S92">
            <v>0.01</v>
          </cell>
          <cell r="T92">
            <v>0.01</v>
          </cell>
          <cell r="U92" t="e">
            <v>#VALUE!</v>
          </cell>
          <cell r="X92">
            <v>0.01</v>
          </cell>
          <cell r="Y92">
            <v>0.01</v>
          </cell>
        </row>
        <row r="93">
          <cell r="B93" t="str">
            <v>Ultra Low Energy Building-New</v>
          </cell>
          <cell r="C93">
            <v>0</v>
          </cell>
          <cell r="D93">
            <v>0</v>
          </cell>
          <cell r="E93">
            <v>0</v>
          </cell>
          <cell r="F93">
            <v>0</v>
          </cell>
          <cell r="G93">
            <v>0</v>
          </cell>
          <cell r="H93">
            <v>0</v>
          </cell>
          <cell r="I93">
            <v>0</v>
          </cell>
          <cell r="J93">
            <v>0</v>
          </cell>
          <cell r="K93">
            <v>0</v>
          </cell>
          <cell r="L93">
            <v>0</v>
          </cell>
          <cell r="M93">
            <v>0</v>
          </cell>
          <cell r="N93">
            <v>0</v>
          </cell>
          <cell r="O93">
            <v>0</v>
          </cell>
          <cell r="P93">
            <v>0</v>
          </cell>
          <cell r="Q93">
            <v>0</v>
          </cell>
          <cell r="R93">
            <v>0</v>
          </cell>
          <cell r="S93">
            <v>0</v>
          </cell>
          <cell r="T93">
            <v>0</v>
          </cell>
          <cell r="X93">
            <v>0</v>
          </cell>
          <cell r="Y93">
            <v>0</v>
          </cell>
        </row>
        <row r="94">
          <cell r="B94" t="str">
            <v>Low Power LF Lamps-NR</v>
          </cell>
          <cell r="C94">
            <v>1</v>
          </cell>
          <cell r="D94">
            <v>1</v>
          </cell>
          <cell r="E94">
            <v>1</v>
          </cell>
          <cell r="F94">
            <v>1</v>
          </cell>
          <cell r="G94">
            <v>1</v>
          </cell>
          <cell r="H94">
            <v>1</v>
          </cell>
          <cell r="I94">
            <v>1</v>
          </cell>
          <cell r="J94">
            <v>1</v>
          </cell>
          <cell r="K94">
            <v>1</v>
          </cell>
          <cell r="L94">
            <v>1</v>
          </cell>
          <cell r="M94">
            <v>1</v>
          </cell>
          <cell r="N94">
            <v>1</v>
          </cell>
          <cell r="O94">
            <v>1</v>
          </cell>
          <cell r="P94">
            <v>1</v>
          </cell>
          <cell r="Q94">
            <v>1</v>
          </cell>
          <cell r="R94">
            <v>1</v>
          </cell>
          <cell r="S94">
            <v>1</v>
          </cell>
          <cell r="T94">
            <v>1</v>
          </cell>
          <cell r="X94">
            <v>1</v>
          </cell>
          <cell r="Y94">
            <v>1</v>
          </cell>
        </row>
      </sheetData>
      <sheetData sheetId="4">
        <row r="11">
          <cell r="B11" t="str">
            <v>Measure Index Name</v>
          </cell>
          <cell r="C11" t="str">
            <v>Large Off</v>
          </cell>
          <cell r="D11" t="str">
            <v>Medium Off</v>
          </cell>
          <cell r="E11" t="str">
            <v>Small Off</v>
          </cell>
          <cell r="F11" t="str">
            <v>Xlarge Ret</v>
          </cell>
          <cell r="G11" t="str">
            <v>Large Ret</v>
          </cell>
          <cell r="H11" t="str">
            <v>Medium Ret</v>
          </cell>
          <cell r="I11" t="str">
            <v>Small Ret</v>
          </cell>
          <cell r="J11" t="str">
            <v>School K-12</v>
          </cell>
          <cell r="K11" t="str">
            <v>University</v>
          </cell>
          <cell r="L11" t="str">
            <v>Warehouse</v>
          </cell>
          <cell r="M11" t="str">
            <v>Supermarket</v>
          </cell>
          <cell r="N11" t="str">
            <v>MiniMart</v>
          </cell>
          <cell r="O11" t="str">
            <v>Restaurant</v>
          </cell>
          <cell r="P11" t="str">
            <v>Lodging</v>
          </cell>
          <cell r="Q11" t="str">
            <v>Hospital</v>
          </cell>
          <cell r="R11" t="str">
            <v>Residential Care</v>
          </cell>
          <cell r="S11" t="str">
            <v>Assembly</v>
          </cell>
          <cell r="T11" t="str">
            <v>Other</v>
          </cell>
          <cell r="U11" t="str">
            <v>Non-Building Stock</v>
          </cell>
        </row>
        <row r="12">
          <cell r="B12" t="str">
            <v>Compressed Air-Retro</v>
          </cell>
          <cell r="C12">
            <v>0</v>
          </cell>
          <cell r="D12">
            <v>0</v>
          </cell>
          <cell r="E12">
            <v>0</v>
          </cell>
          <cell r="F12">
            <v>0</v>
          </cell>
          <cell r="G12">
            <v>0</v>
          </cell>
          <cell r="H12">
            <v>0</v>
          </cell>
          <cell r="I12">
            <v>0</v>
          </cell>
          <cell r="J12">
            <v>0</v>
          </cell>
          <cell r="K12">
            <v>0</v>
          </cell>
          <cell r="L12">
            <v>0</v>
          </cell>
          <cell r="M12">
            <v>0</v>
          </cell>
          <cell r="N12">
            <v>0</v>
          </cell>
          <cell r="O12">
            <v>0</v>
          </cell>
          <cell r="P12">
            <v>0</v>
          </cell>
          <cell r="Q12">
            <v>0</v>
          </cell>
          <cell r="R12">
            <v>0</v>
          </cell>
          <cell r="S12">
            <v>0</v>
          </cell>
          <cell r="T12">
            <v>0</v>
          </cell>
          <cell r="U12" t="str">
            <v/>
          </cell>
        </row>
        <row r="13">
          <cell r="B13" t="str">
            <v>Compressed Air-NR</v>
          </cell>
          <cell r="C13">
            <v>0</v>
          </cell>
          <cell r="D13">
            <v>0</v>
          </cell>
          <cell r="E13">
            <v>0</v>
          </cell>
          <cell r="F13">
            <v>0</v>
          </cell>
          <cell r="G13">
            <v>0</v>
          </cell>
          <cell r="H13">
            <v>0</v>
          </cell>
          <cell r="I13">
            <v>0</v>
          </cell>
          <cell r="J13">
            <v>0</v>
          </cell>
          <cell r="K13">
            <v>0</v>
          </cell>
          <cell r="L13">
            <v>0</v>
          </cell>
          <cell r="M13">
            <v>0</v>
          </cell>
          <cell r="N13">
            <v>0</v>
          </cell>
          <cell r="O13">
            <v>0</v>
          </cell>
          <cell r="P13">
            <v>0</v>
          </cell>
          <cell r="Q13">
            <v>0</v>
          </cell>
          <cell r="R13">
            <v>0</v>
          </cell>
          <cell r="S13">
            <v>0</v>
          </cell>
          <cell r="T13">
            <v>0</v>
          </cell>
          <cell r="U13" t="str">
            <v/>
          </cell>
        </row>
        <row r="14">
          <cell r="B14" t="str">
            <v>Network PC Power Management-Retro</v>
          </cell>
          <cell r="C14">
            <v>0</v>
          </cell>
          <cell r="D14">
            <v>0</v>
          </cell>
          <cell r="E14">
            <v>0</v>
          </cell>
          <cell r="F14">
            <v>0</v>
          </cell>
          <cell r="G14">
            <v>0</v>
          </cell>
          <cell r="H14">
            <v>0</v>
          </cell>
          <cell r="I14">
            <v>0</v>
          </cell>
          <cell r="J14">
            <v>0</v>
          </cell>
          <cell r="K14">
            <v>0</v>
          </cell>
          <cell r="L14">
            <v>0</v>
          </cell>
          <cell r="M14">
            <v>0</v>
          </cell>
          <cell r="N14">
            <v>0</v>
          </cell>
          <cell r="O14">
            <v>0</v>
          </cell>
          <cell r="P14">
            <v>0</v>
          </cell>
          <cell r="Q14">
            <v>0</v>
          </cell>
          <cell r="R14">
            <v>0</v>
          </cell>
          <cell r="S14">
            <v>0</v>
          </cell>
          <cell r="T14">
            <v>0</v>
          </cell>
          <cell r="U14">
            <v>0.1</v>
          </cell>
        </row>
        <row r="15">
          <cell r="B15" t="str">
            <v>Laptop-NR</v>
          </cell>
          <cell r="C15">
            <v>0</v>
          </cell>
          <cell r="D15">
            <v>0</v>
          </cell>
          <cell r="E15">
            <v>0</v>
          </cell>
          <cell r="F15">
            <v>0</v>
          </cell>
          <cell r="G15">
            <v>0</v>
          </cell>
          <cell r="H15">
            <v>0</v>
          </cell>
          <cell r="I15">
            <v>0</v>
          </cell>
          <cell r="J15">
            <v>0</v>
          </cell>
          <cell r="K15">
            <v>0</v>
          </cell>
          <cell r="L15">
            <v>0</v>
          </cell>
          <cell r="M15">
            <v>0</v>
          </cell>
          <cell r="N15">
            <v>0</v>
          </cell>
          <cell r="O15">
            <v>0</v>
          </cell>
          <cell r="P15">
            <v>0</v>
          </cell>
          <cell r="Q15">
            <v>0</v>
          </cell>
          <cell r="R15">
            <v>0</v>
          </cell>
          <cell r="S15">
            <v>0</v>
          </cell>
          <cell r="T15">
            <v>0</v>
          </cell>
          <cell r="U15">
            <v>0.9</v>
          </cell>
        </row>
        <row r="16">
          <cell r="B16" t="str">
            <v>Smart Plug Power Strips-Retro</v>
          </cell>
          <cell r="C16">
            <v>0</v>
          </cell>
          <cell r="D16">
            <v>0</v>
          </cell>
          <cell r="E16">
            <v>0</v>
          </cell>
          <cell r="F16">
            <v>0</v>
          </cell>
          <cell r="G16">
            <v>0</v>
          </cell>
          <cell r="H16">
            <v>0</v>
          </cell>
          <cell r="I16">
            <v>0</v>
          </cell>
          <cell r="J16">
            <v>0</v>
          </cell>
          <cell r="K16">
            <v>0</v>
          </cell>
          <cell r="L16">
            <v>0</v>
          </cell>
          <cell r="M16">
            <v>0</v>
          </cell>
          <cell r="N16">
            <v>0</v>
          </cell>
          <cell r="O16">
            <v>0</v>
          </cell>
          <cell r="P16">
            <v>0</v>
          </cell>
          <cell r="Q16">
            <v>0</v>
          </cell>
          <cell r="R16">
            <v>0</v>
          </cell>
          <cell r="S16">
            <v>0</v>
          </cell>
          <cell r="T16">
            <v>0</v>
          </cell>
          <cell r="U16">
            <v>0.4</v>
          </cell>
        </row>
        <row r="17">
          <cell r="B17" t="str">
            <v>Data Centers-NR</v>
          </cell>
          <cell r="C17">
            <v>0</v>
          </cell>
          <cell r="D17">
            <v>0</v>
          </cell>
          <cell r="E17">
            <v>0</v>
          </cell>
          <cell r="F17">
            <v>0</v>
          </cell>
          <cell r="G17">
            <v>0</v>
          </cell>
          <cell r="H17">
            <v>0</v>
          </cell>
          <cell r="I17">
            <v>0</v>
          </cell>
          <cell r="J17">
            <v>0</v>
          </cell>
          <cell r="K17">
            <v>0</v>
          </cell>
          <cell r="L17">
            <v>0</v>
          </cell>
          <cell r="M17">
            <v>0</v>
          </cell>
          <cell r="N17">
            <v>0</v>
          </cell>
          <cell r="O17">
            <v>0</v>
          </cell>
          <cell r="P17">
            <v>0</v>
          </cell>
          <cell r="Q17">
            <v>0</v>
          </cell>
          <cell r="R17">
            <v>0</v>
          </cell>
          <cell r="S17">
            <v>0</v>
          </cell>
          <cell r="T17">
            <v>0</v>
          </cell>
          <cell r="U17">
            <v>0.2</v>
          </cell>
        </row>
        <row r="18">
          <cell r="B18" t="str">
            <v>Monitor-NR</v>
          </cell>
          <cell r="C18">
            <v>0</v>
          </cell>
          <cell r="D18">
            <v>0</v>
          </cell>
          <cell r="E18">
            <v>0</v>
          </cell>
          <cell r="F18">
            <v>0</v>
          </cell>
          <cell r="G18">
            <v>0</v>
          </cell>
          <cell r="H18">
            <v>0</v>
          </cell>
          <cell r="I18">
            <v>0</v>
          </cell>
          <cell r="J18">
            <v>0</v>
          </cell>
          <cell r="K18">
            <v>0</v>
          </cell>
          <cell r="L18">
            <v>0</v>
          </cell>
          <cell r="M18">
            <v>0</v>
          </cell>
          <cell r="N18">
            <v>0</v>
          </cell>
          <cell r="O18">
            <v>0</v>
          </cell>
          <cell r="P18">
            <v>0</v>
          </cell>
          <cell r="Q18">
            <v>0</v>
          </cell>
          <cell r="R18">
            <v>0</v>
          </cell>
          <cell r="S18">
            <v>0</v>
          </cell>
          <cell r="T18">
            <v>0</v>
          </cell>
          <cell r="U18">
            <v>0.55000000000000004</v>
          </cell>
        </row>
        <row r="19">
          <cell r="B19" t="str">
            <v>Desktop-NR</v>
          </cell>
          <cell r="C19">
            <v>0</v>
          </cell>
          <cell r="D19">
            <v>0</v>
          </cell>
          <cell r="E19">
            <v>0</v>
          </cell>
          <cell r="F19">
            <v>0</v>
          </cell>
          <cell r="G19">
            <v>0</v>
          </cell>
          <cell r="H19">
            <v>0</v>
          </cell>
          <cell r="I19">
            <v>0</v>
          </cell>
          <cell r="J19">
            <v>0</v>
          </cell>
          <cell r="K19">
            <v>0</v>
          </cell>
          <cell r="L19">
            <v>0</v>
          </cell>
          <cell r="M19">
            <v>0</v>
          </cell>
          <cell r="N19">
            <v>0</v>
          </cell>
          <cell r="O19">
            <v>0</v>
          </cell>
          <cell r="P19">
            <v>0</v>
          </cell>
          <cell r="Q19">
            <v>0</v>
          </cell>
          <cell r="R19">
            <v>0</v>
          </cell>
          <cell r="S19">
            <v>0</v>
          </cell>
          <cell r="T19">
            <v>0</v>
          </cell>
          <cell r="U19">
            <v>0.75</v>
          </cell>
          <cell r="V19" t="str">
            <v>NEEA Sales data</v>
          </cell>
        </row>
        <row r="20">
          <cell r="B20" t="str">
            <v>Pre-Rinse Spray Valve-Retro</v>
          </cell>
          <cell r="C20">
            <v>0</v>
          </cell>
          <cell r="D20">
            <v>0</v>
          </cell>
          <cell r="E20">
            <v>0</v>
          </cell>
          <cell r="F20">
            <v>0</v>
          </cell>
          <cell r="G20">
            <v>0</v>
          </cell>
          <cell r="H20">
            <v>0</v>
          </cell>
          <cell r="I20">
            <v>0</v>
          </cell>
          <cell r="J20">
            <v>0</v>
          </cell>
          <cell r="K20">
            <v>0</v>
          </cell>
          <cell r="L20">
            <v>0</v>
          </cell>
          <cell r="M20">
            <v>0</v>
          </cell>
          <cell r="N20">
            <v>0</v>
          </cell>
          <cell r="O20">
            <v>0</v>
          </cell>
          <cell r="P20">
            <v>0</v>
          </cell>
          <cell r="Q20">
            <v>0</v>
          </cell>
          <cell r="R20">
            <v>0</v>
          </cell>
          <cell r="S20">
            <v>0</v>
          </cell>
          <cell r="T20">
            <v>0</v>
          </cell>
          <cell r="U20">
            <v>0.26</v>
          </cell>
          <cell r="V20" t="str">
            <v>6 going on 7 plus CBSA</v>
          </cell>
        </row>
        <row r="21">
          <cell r="B21" t="str">
            <v>Cooking Equipment-NR</v>
          </cell>
          <cell r="C21">
            <v>0</v>
          </cell>
          <cell r="D21">
            <v>0</v>
          </cell>
          <cell r="E21">
            <v>0</v>
          </cell>
          <cell r="F21">
            <v>0</v>
          </cell>
          <cell r="G21">
            <v>0</v>
          </cell>
          <cell r="H21">
            <v>0</v>
          </cell>
          <cell r="I21">
            <v>0</v>
          </cell>
          <cell r="J21">
            <v>0</v>
          </cell>
          <cell r="K21">
            <v>0</v>
          </cell>
          <cell r="L21">
            <v>0</v>
          </cell>
          <cell r="M21">
            <v>0</v>
          </cell>
          <cell r="N21">
            <v>0</v>
          </cell>
          <cell r="O21">
            <v>0</v>
          </cell>
          <cell r="P21">
            <v>0</v>
          </cell>
          <cell r="Q21">
            <v>0</v>
          </cell>
          <cell r="R21">
            <v>0</v>
          </cell>
          <cell r="S21">
            <v>0</v>
          </cell>
          <cell r="T21">
            <v>0</v>
          </cell>
          <cell r="U21">
            <v>0.39</v>
          </cell>
          <cell r="V21" t="str">
            <v>EPA Energy Star 2011</v>
          </cell>
        </row>
        <row r="22">
          <cell r="B22" t="str">
            <v>Premium HVAC Equipment-New</v>
          </cell>
          <cell r="C22">
            <v>0.1</v>
          </cell>
          <cell r="D22">
            <v>0.1</v>
          </cell>
          <cell r="E22">
            <v>0.1</v>
          </cell>
          <cell r="F22">
            <v>0.1</v>
          </cell>
          <cell r="G22">
            <v>0.1</v>
          </cell>
          <cell r="H22">
            <v>0.1</v>
          </cell>
          <cell r="I22">
            <v>0.1</v>
          </cell>
          <cell r="J22">
            <v>0.1</v>
          </cell>
          <cell r="K22">
            <v>0.1</v>
          </cell>
          <cell r="L22">
            <v>0.1</v>
          </cell>
          <cell r="M22">
            <v>0.1</v>
          </cell>
          <cell r="N22">
            <v>0.1</v>
          </cell>
          <cell r="O22">
            <v>0.1</v>
          </cell>
          <cell r="P22">
            <v>0.1</v>
          </cell>
          <cell r="Q22">
            <v>0.1</v>
          </cell>
          <cell r="R22">
            <v>0.1</v>
          </cell>
          <cell r="S22">
            <v>0.1</v>
          </cell>
          <cell r="T22">
            <v>0.1</v>
          </cell>
          <cell r="U22">
            <v>0</v>
          </cell>
        </row>
        <row r="23">
          <cell r="B23" t="str">
            <v>Premium HVAC Equipment-NR</v>
          </cell>
          <cell r="C23">
            <v>0.1</v>
          </cell>
          <cell r="D23">
            <v>0.1</v>
          </cell>
          <cell r="E23">
            <v>0.1</v>
          </cell>
          <cell r="F23">
            <v>0.1</v>
          </cell>
          <cell r="G23">
            <v>0.1</v>
          </cell>
          <cell r="H23">
            <v>0.1</v>
          </cell>
          <cell r="I23">
            <v>0.1</v>
          </cell>
          <cell r="J23">
            <v>0.1</v>
          </cell>
          <cell r="K23">
            <v>0.1</v>
          </cell>
          <cell r="L23">
            <v>0.1</v>
          </cell>
          <cell r="M23">
            <v>0.1</v>
          </cell>
          <cell r="N23">
            <v>0.1</v>
          </cell>
          <cell r="O23">
            <v>0.1</v>
          </cell>
          <cell r="P23">
            <v>0.1</v>
          </cell>
          <cell r="Q23">
            <v>0.1</v>
          </cell>
          <cell r="R23">
            <v>0.1</v>
          </cell>
          <cell r="S23">
            <v>0.1</v>
          </cell>
          <cell r="T23">
            <v>0.1</v>
          </cell>
          <cell r="U23">
            <v>0</v>
          </cell>
        </row>
        <row r="24">
          <cell r="B24" t="str">
            <v>Glass-New</v>
          </cell>
          <cell r="C24">
            <v>0.30399999999999999</v>
          </cell>
          <cell r="D24">
            <v>0.21039999999999998</v>
          </cell>
          <cell r="E24">
            <v>0.21760000000000002</v>
          </cell>
          <cell r="F24">
            <v>0.38244</v>
          </cell>
          <cell r="G24">
            <v>0.38183</v>
          </cell>
          <cell r="H24">
            <v>0.21683000000000002</v>
          </cell>
          <cell r="I24">
            <v>0.45624999999999999</v>
          </cell>
          <cell r="J24">
            <v>0.1434</v>
          </cell>
          <cell r="K24">
            <v>0.20800000000000002</v>
          </cell>
          <cell r="L24">
            <v>0.47244999999999998</v>
          </cell>
          <cell r="M24">
            <v>0.21212000000000003</v>
          </cell>
          <cell r="N24">
            <v>0.22062000000000004</v>
          </cell>
          <cell r="O24">
            <v>0.225000056</v>
          </cell>
          <cell r="P24">
            <v>0.25224999999999997</v>
          </cell>
          <cell r="Q24">
            <v>0.19740000000000002</v>
          </cell>
          <cell r="R24">
            <v>0.25850000000000001</v>
          </cell>
          <cell r="S24">
            <v>0.2</v>
          </cell>
          <cell r="T24">
            <v>0.23139999999999999</v>
          </cell>
          <cell r="U24">
            <v>0</v>
          </cell>
        </row>
        <row r="25">
          <cell r="B25" t="str">
            <v>Glass-NR</v>
          </cell>
          <cell r="C25">
            <v>0.30399999999999999</v>
          </cell>
          <cell r="D25">
            <v>0.21039999999999998</v>
          </cell>
          <cell r="E25">
            <v>0.21760000000000002</v>
          </cell>
          <cell r="F25">
            <v>0.38244</v>
          </cell>
          <cell r="G25">
            <v>0.38183</v>
          </cell>
          <cell r="H25">
            <v>0.21683000000000002</v>
          </cell>
          <cell r="I25">
            <v>0.45624999999999999</v>
          </cell>
          <cell r="J25">
            <v>0.1434</v>
          </cell>
          <cell r="K25">
            <v>0.20800000000000002</v>
          </cell>
          <cell r="L25">
            <v>0.47244999999999998</v>
          </cell>
          <cell r="M25">
            <v>0.21212000000000003</v>
          </cell>
          <cell r="N25">
            <v>0.22062000000000004</v>
          </cell>
          <cell r="O25">
            <v>0.225000056</v>
          </cell>
          <cell r="P25">
            <v>0.25224999999999997</v>
          </cell>
          <cell r="Q25">
            <v>0.19740000000000002</v>
          </cell>
          <cell r="R25">
            <v>0.25850000000000001</v>
          </cell>
          <cell r="S25">
            <v>0.2</v>
          </cell>
          <cell r="T25">
            <v>0.23139999999999999</v>
          </cell>
          <cell r="U25">
            <v>0</v>
          </cell>
        </row>
        <row r="26">
          <cell r="B26" t="str">
            <v>Glass-Retro</v>
          </cell>
          <cell r="C26">
            <v>0</v>
          </cell>
          <cell r="D26">
            <v>0</v>
          </cell>
          <cell r="E26">
            <v>0</v>
          </cell>
          <cell r="F26">
            <v>0</v>
          </cell>
          <cell r="G26">
            <v>0</v>
          </cell>
          <cell r="H26">
            <v>0</v>
          </cell>
          <cell r="I26">
            <v>0</v>
          </cell>
          <cell r="J26">
            <v>0</v>
          </cell>
          <cell r="K26">
            <v>0</v>
          </cell>
          <cell r="L26">
            <v>0</v>
          </cell>
          <cell r="M26">
            <v>0</v>
          </cell>
          <cell r="N26">
            <v>0</v>
          </cell>
          <cell r="O26">
            <v>0</v>
          </cell>
          <cell r="P26">
            <v>0</v>
          </cell>
          <cell r="Q26">
            <v>0</v>
          </cell>
          <cell r="R26">
            <v>0</v>
          </cell>
          <cell r="S26">
            <v>0</v>
          </cell>
          <cell r="T26">
            <v>0</v>
          </cell>
          <cell r="U26">
            <v>0</v>
          </cell>
        </row>
        <row r="27">
          <cell r="B27" t="str">
            <v>Advanced Rooftop Controller-New</v>
          </cell>
          <cell r="C27">
            <v>0.05</v>
          </cell>
          <cell r="D27">
            <v>0.05</v>
          </cell>
          <cell r="E27">
            <v>0.05</v>
          </cell>
          <cell r="F27">
            <v>0.05</v>
          </cell>
          <cell r="G27">
            <v>0.05</v>
          </cell>
          <cell r="H27">
            <v>0.05</v>
          </cell>
          <cell r="I27">
            <v>0.05</v>
          </cell>
          <cell r="J27">
            <v>0.05</v>
          </cell>
          <cell r="K27">
            <v>0.05</v>
          </cell>
          <cell r="L27">
            <v>0.05</v>
          </cell>
          <cell r="M27">
            <v>0.05</v>
          </cell>
          <cell r="N27">
            <v>0.05</v>
          </cell>
          <cell r="O27">
            <v>0.05</v>
          </cell>
          <cell r="P27">
            <v>0.05</v>
          </cell>
          <cell r="Q27">
            <v>0.05</v>
          </cell>
          <cell r="R27">
            <v>0.05</v>
          </cell>
          <cell r="S27">
            <v>0.05</v>
          </cell>
          <cell r="T27">
            <v>0.05</v>
          </cell>
          <cell r="U27">
            <v>0</v>
          </cell>
        </row>
        <row r="28">
          <cell r="B28" t="str">
            <v>Advanced Rooftop Controller-NR</v>
          </cell>
          <cell r="C28">
            <v>0.05</v>
          </cell>
          <cell r="D28">
            <v>0.05</v>
          </cell>
          <cell r="E28">
            <v>0.05</v>
          </cell>
          <cell r="F28">
            <v>0.05</v>
          </cell>
          <cell r="G28">
            <v>0.05</v>
          </cell>
          <cell r="H28">
            <v>0.05</v>
          </cell>
          <cell r="I28">
            <v>0.05</v>
          </cell>
          <cell r="J28">
            <v>0.05</v>
          </cell>
          <cell r="K28">
            <v>0.05</v>
          </cell>
          <cell r="L28">
            <v>0.05</v>
          </cell>
          <cell r="M28">
            <v>0.05</v>
          </cell>
          <cell r="N28">
            <v>0.05</v>
          </cell>
          <cell r="O28">
            <v>0.05</v>
          </cell>
          <cell r="P28">
            <v>0.05</v>
          </cell>
          <cell r="Q28">
            <v>0.05</v>
          </cell>
          <cell r="R28">
            <v>0.05</v>
          </cell>
          <cell r="S28">
            <v>0.05</v>
          </cell>
          <cell r="T28">
            <v>0.05</v>
          </cell>
          <cell r="U28">
            <v>0</v>
          </cell>
        </row>
        <row r="29">
          <cell r="B29" t="str">
            <v>Advanced Rooftop Controller-Retro</v>
          </cell>
          <cell r="C29">
            <v>0.05</v>
          </cell>
          <cell r="D29">
            <v>0.05</v>
          </cell>
          <cell r="E29">
            <v>0.05</v>
          </cell>
          <cell r="F29">
            <v>0.05</v>
          </cell>
          <cell r="G29">
            <v>0.05</v>
          </cell>
          <cell r="H29">
            <v>0.05</v>
          </cell>
          <cell r="I29">
            <v>0.05</v>
          </cell>
          <cell r="J29">
            <v>0.05</v>
          </cell>
          <cell r="K29">
            <v>0.05</v>
          </cell>
          <cell r="L29">
            <v>0.05</v>
          </cell>
          <cell r="M29">
            <v>0.05</v>
          </cell>
          <cell r="N29">
            <v>0.05</v>
          </cell>
          <cell r="O29">
            <v>0.05</v>
          </cell>
          <cell r="P29">
            <v>0.05</v>
          </cell>
          <cell r="Q29">
            <v>0.05</v>
          </cell>
          <cell r="R29">
            <v>0.05</v>
          </cell>
          <cell r="S29">
            <v>0.05</v>
          </cell>
          <cell r="T29">
            <v>0.05</v>
          </cell>
          <cell r="U29">
            <v>0</v>
          </cell>
        </row>
        <row r="30">
          <cell r="B30" t="str">
            <v>Variable Speed Chiller-New</v>
          </cell>
          <cell r="C30">
            <v>0.1</v>
          </cell>
          <cell r="D30">
            <v>0.1</v>
          </cell>
          <cell r="E30">
            <v>0.1</v>
          </cell>
          <cell r="F30">
            <v>0.1</v>
          </cell>
          <cell r="G30">
            <v>0.1</v>
          </cell>
          <cell r="H30">
            <v>0.1</v>
          </cell>
          <cell r="I30">
            <v>0.1</v>
          </cell>
          <cell r="J30">
            <v>0.1</v>
          </cell>
          <cell r="K30">
            <v>0.1</v>
          </cell>
          <cell r="L30">
            <v>0.1</v>
          </cell>
          <cell r="M30">
            <v>0.1</v>
          </cell>
          <cell r="N30">
            <v>0.1</v>
          </cell>
          <cell r="O30">
            <v>0.1</v>
          </cell>
          <cell r="P30">
            <v>0.1</v>
          </cell>
          <cell r="Q30">
            <v>0.1</v>
          </cell>
          <cell r="R30">
            <v>0.1</v>
          </cell>
          <cell r="S30">
            <v>0.1</v>
          </cell>
          <cell r="T30">
            <v>0.1</v>
          </cell>
          <cell r="U30">
            <v>0</v>
          </cell>
        </row>
        <row r="31">
          <cell r="B31" t="str">
            <v>Variable Speed Chiller-NR</v>
          </cell>
          <cell r="C31">
            <v>0.1</v>
          </cell>
          <cell r="D31">
            <v>0.1</v>
          </cell>
          <cell r="E31">
            <v>0.1</v>
          </cell>
          <cell r="F31">
            <v>0.1</v>
          </cell>
          <cell r="G31">
            <v>0.1</v>
          </cell>
          <cell r="H31">
            <v>0.1</v>
          </cell>
          <cell r="I31">
            <v>0.1</v>
          </cell>
          <cell r="J31">
            <v>0.1</v>
          </cell>
          <cell r="K31">
            <v>0.1</v>
          </cell>
          <cell r="L31">
            <v>0.1</v>
          </cell>
          <cell r="M31">
            <v>0.1</v>
          </cell>
          <cell r="N31">
            <v>0.1</v>
          </cell>
          <cell r="O31">
            <v>0.1</v>
          </cell>
          <cell r="P31">
            <v>0.1</v>
          </cell>
          <cell r="Q31">
            <v>0.1</v>
          </cell>
          <cell r="R31">
            <v>0.1</v>
          </cell>
          <cell r="S31">
            <v>0.1</v>
          </cell>
          <cell r="T31">
            <v>0.1</v>
          </cell>
          <cell r="U31">
            <v>0</v>
          </cell>
        </row>
        <row r="32">
          <cell r="B32" t="str">
            <v>Commercial EM-New</v>
          </cell>
          <cell r="C32">
            <v>0</v>
          </cell>
          <cell r="D32">
            <v>0</v>
          </cell>
          <cell r="E32">
            <v>0</v>
          </cell>
          <cell r="F32">
            <v>0</v>
          </cell>
          <cell r="G32">
            <v>0</v>
          </cell>
          <cell r="H32">
            <v>0</v>
          </cell>
          <cell r="I32">
            <v>0</v>
          </cell>
          <cell r="J32">
            <v>0</v>
          </cell>
          <cell r="K32">
            <v>0</v>
          </cell>
          <cell r="L32">
            <v>0</v>
          </cell>
          <cell r="M32">
            <v>0</v>
          </cell>
          <cell r="N32">
            <v>0</v>
          </cell>
          <cell r="O32">
            <v>0</v>
          </cell>
          <cell r="P32">
            <v>0</v>
          </cell>
          <cell r="Q32">
            <v>0</v>
          </cell>
          <cell r="R32">
            <v>0</v>
          </cell>
          <cell r="S32">
            <v>0</v>
          </cell>
          <cell r="T32">
            <v>0</v>
          </cell>
          <cell r="U32" t="str">
            <v/>
          </cell>
          <cell r="V32" t="str">
            <v>Baseline saturation in measure workbook-eui adjustment</v>
          </cell>
        </row>
        <row r="33">
          <cell r="B33" t="str">
            <v>Commercial EM-NR</v>
          </cell>
          <cell r="C33">
            <v>0</v>
          </cell>
          <cell r="D33">
            <v>0</v>
          </cell>
          <cell r="E33">
            <v>0</v>
          </cell>
          <cell r="F33">
            <v>0</v>
          </cell>
          <cell r="G33">
            <v>0</v>
          </cell>
          <cell r="H33">
            <v>0</v>
          </cell>
          <cell r="I33">
            <v>0</v>
          </cell>
          <cell r="J33">
            <v>0</v>
          </cell>
          <cell r="K33">
            <v>0</v>
          </cell>
          <cell r="L33">
            <v>0</v>
          </cell>
          <cell r="M33">
            <v>0</v>
          </cell>
          <cell r="N33">
            <v>0</v>
          </cell>
          <cell r="O33">
            <v>0</v>
          </cell>
          <cell r="P33">
            <v>0</v>
          </cell>
          <cell r="Q33">
            <v>0</v>
          </cell>
          <cell r="R33">
            <v>0</v>
          </cell>
          <cell r="S33">
            <v>0</v>
          </cell>
          <cell r="T33">
            <v>0</v>
          </cell>
          <cell r="U33" t="str">
            <v/>
          </cell>
        </row>
        <row r="34">
          <cell r="B34" t="str">
            <v>Commercial EM-Retro</v>
          </cell>
          <cell r="C34">
            <v>0.18579999999999999</v>
          </cell>
          <cell r="D34">
            <v>0.18579999999999999</v>
          </cell>
          <cell r="E34">
            <v>0.18579999999999999</v>
          </cell>
          <cell r="F34">
            <v>0.18579999999999999</v>
          </cell>
          <cell r="G34">
            <v>0.18579999999999999</v>
          </cell>
          <cell r="H34">
            <v>0.18579999999999999</v>
          </cell>
          <cell r="I34">
            <v>0.18579999999999999</v>
          </cell>
          <cell r="J34">
            <v>0.18579999999999999</v>
          </cell>
          <cell r="K34">
            <v>0.18579999999999999</v>
          </cell>
          <cell r="L34">
            <v>0.18579999999999999</v>
          </cell>
          <cell r="M34">
            <v>0.18579999999999999</v>
          </cell>
          <cell r="N34">
            <v>0.18579999999999999</v>
          </cell>
          <cell r="O34">
            <v>0.18579999999999999</v>
          </cell>
          <cell r="P34">
            <v>0.18579999999999999</v>
          </cell>
          <cell r="Q34">
            <v>0.18579999999999999</v>
          </cell>
          <cell r="R34">
            <v>0.18579999999999999</v>
          </cell>
          <cell r="S34">
            <v>0.18579999999999999</v>
          </cell>
          <cell r="T34">
            <v>0.18579999999999999</v>
          </cell>
          <cell r="U34" t="str">
            <v/>
          </cell>
          <cell r="V34" t="str">
            <v>From 6 going on 7.  See Com-EM workbook</v>
          </cell>
        </row>
        <row r="35">
          <cell r="B35" t="str">
            <v>Evaporative Assist Cooling-New</v>
          </cell>
          <cell r="C35">
            <v>0</v>
          </cell>
          <cell r="D35">
            <v>0</v>
          </cell>
          <cell r="E35">
            <v>0</v>
          </cell>
          <cell r="F35">
            <v>0</v>
          </cell>
          <cell r="G35">
            <v>0</v>
          </cell>
          <cell r="H35">
            <v>0</v>
          </cell>
          <cell r="I35">
            <v>0</v>
          </cell>
          <cell r="J35">
            <v>0</v>
          </cell>
          <cell r="K35">
            <v>0</v>
          </cell>
          <cell r="L35">
            <v>0</v>
          </cell>
          <cell r="M35">
            <v>0</v>
          </cell>
          <cell r="N35">
            <v>0</v>
          </cell>
          <cell r="O35">
            <v>0</v>
          </cell>
          <cell r="P35">
            <v>0</v>
          </cell>
          <cell r="Q35">
            <v>0</v>
          </cell>
          <cell r="R35">
            <v>0</v>
          </cell>
          <cell r="S35">
            <v>0</v>
          </cell>
          <cell r="T35">
            <v>0</v>
          </cell>
          <cell r="U35">
            <v>0</v>
          </cell>
        </row>
        <row r="36">
          <cell r="B36" t="str">
            <v>Evaporative Assist Cooling-NR</v>
          </cell>
          <cell r="C36">
            <v>0</v>
          </cell>
          <cell r="D36">
            <v>0</v>
          </cell>
          <cell r="E36">
            <v>0</v>
          </cell>
          <cell r="F36">
            <v>0</v>
          </cell>
          <cell r="G36">
            <v>0</v>
          </cell>
          <cell r="H36">
            <v>0</v>
          </cell>
          <cell r="I36">
            <v>0</v>
          </cell>
          <cell r="J36">
            <v>0</v>
          </cell>
          <cell r="K36">
            <v>0</v>
          </cell>
          <cell r="L36">
            <v>0</v>
          </cell>
          <cell r="M36">
            <v>0</v>
          </cell>
          <cell r="N36">
            <v>0</v>
          </cell>
          <cell r="O36">
            <v>0</v>
          </cell>
          <cell r="P36">
            <v>0</v>
          </cell>
          <cell r="Q36">
            <v>0</v>
          </cell>
          <cell r="R36">
            <v>0</v>
          </cell>
          <cell r="S36">
            <v>0</v>
          </cell>
          <cell r="T36">
            <v>0</v>
          </cell>
          <cell r="U36">
            <v>0</v>
          </cell>
        </row>
        <row r="37">
          <cell r="B37" t="str">
            <v>Economizer-Retro</v>
          </cell>
          <cell r="C37">
            <v>0.4</v>
          </cell>
          <cell r="D37">
            <v>0.25</v>
          </cell>
          <cell r="E37">
            <v>0.25</v>
          </cell>
          <cell r="F37">
            <v>0.4</v>
          </cell>
          <cell r="G37">
            <v>0.25</v>
          </cell>
          <cell r="H37">
            <v>0.25</v>
          </cell>
          <cell r="I37">
            <v>0.25</v>
          </cell>
          <cell r="J37">
            <v>0.4</v>
          </cell>
          <cell r="K37">
            <v>0.4</v>
          </cell>
          <cell r="L37">
            <v>0.25</v>
          </cell>
          <cell r="M37">
            <v>0.4</v>
          </cell>
          <cell r="N37">
            <v>0.25</v>
          </cell>
          <cell r="O37">
            <v>0.25</v>
          </cell>
          <cell r="P37">
            <v>0.25</v>
          </cell>
          <cell r="Q37">
            <v>0.4</v>
          </cell>
          <cell r="R37">
            <v>0.25</v>
          </cell>
          <cell r="S37">
            <v>0.25</v>
          </cell>
          <cell r="T37">
            <v>0.25</v>
          </cell>
          <cell r="U37">
            <v>0</v>
          </cell>
        </row>
        <row r="38">
          <cell r="B38" t="str">
            <v>Demand Control Ventilation-New</v>
          </cell>
          <cell r="C38">
            <v>0</v>
          </cell>
          <cell r="D38">
            <v>0</v>
          </cell>
          <cell r="E38">
            <v>0</v>
          </cell>
          <cell r="F38">
            <v>0.2</v>
          </cell>
          <cell r="G38">
            <v>0</v>
          </cell>
          <cell r="H38">
            <v>0</v>
          </cell>
          <cell r="I38">
            <v>0</v>
          </cell>
          <cell r="J38">
            <v>0</v>
          </cell>
          <cell r="K38">
            <v>0</v>
          </cell>
          <cell r="L38">
            <v>0</v>
          </cell>
          <cell r="M38">
            <v>0</v>
          </cell>
          <cell r="N38">
            <v>0</v>
          </cell>
          <cell r="O38">
            <v>0</v>
          </cell>
          <cell r="P38">
            <v>0</v>
          </cell>
          <cell r="Q38">
            <v>0</v>
          </cell>
          <cell r="R38">
            <v>0</v>
          </cell>
          <cell r="S38">
            <v>0</v>
          </cell>
          <cell r="T38">
            <v>0</v>
          </cell>
          <cell r="U38">
            <v>0</v>
          </cell>
        </row>
        <row r="39">
          <cell r="B39" t="str">
            <v>Demand Control Ventilation-NR</v>
          </cell>
          <cell r="C39">
            <v>0</v>
          </cell>
          <cell r="D39">
            <v>0</v>
          </cell>
          <cell r="E39">
            <v>0</v>
          </cell>
          <cell r="F39">
            <v>0</v>
          </cell>
          <cell r="G39">
            <v>0</v>
          </cell>
          <cell r="H39">
            <v>0</v>
          </cell>
          <cell r="I39">
            <v>0</v>
          </cell>
          <cell r="J39">
            <v>0</v>
          </cell>
          <cell r="K39">
            <v>0</v>
          </cell>
          <cell r="L39">
            <v>0</v>
          </cell>
          <cell r="M39">
            <v>0</v>
          </cell>
          <cell r="N39">
            <v>0</v>
          </cell>
          <cell r="O39">
            <v>0</v>
          </cell>
          <cell r="P39">
            <v>0</v>
          </cell>
          <cell r="Q39">
            <v>0</v>
          </cell>
          <cell r="R39">
            <v>0</v>
          </cell>
          <cell r="S39">
            <v>0</v>
          </cell>
          <cell r="T39">
            <v>0</v>
          </cell>
          <cell r="U39">
            <v>0</v>
          </cell>
        </row>
        <row r="40">
          <cell r="B40" t="str">
            <v>Demand Control Ventilation-Retro</v>
          </cell>
          <cell r="C40">
            <v>0.29417841433623887</v>
          </cell>
          <cell r="D40">
            <v>0.16600530238180544</v>
          </cell>
          <cell r="E40">
            <v>2.3737663898859066E-2</v>
          </cell>
          <cell r="F40">
            <v>0.22300715162221316</v>
          </cell>
          <cell r="G40">
            <v>0.19741792645695339</v>
          </cell>
          <cell r="H40">
            <v>4.2740762746028386E-2</v>
          </cell>
          <cell r="I40">
            <v>1.3597214573254024E-2</v>
          </cell>
          <cell r="J40">
            <v>0.3265989178858158</v>
          </cell>
          <cell r="K40">
            <v>0.13622896031789924</v>
          </cell>
          <cell r="L40">
            <v>0.12181229468805803</v>
          </cell>
          <cell r="M40">
            <v>1.5043119467328166E-2</v>
          </cell>
          <cell r="N40">
            <v>0.13718952244125024</v>
          </cell>
          <cell r="O40">
            <v>0.13714113159081304</v>
          </cell>
          <cell r="P40">
            <v>3.8125362646436782E-2</v>
          </cell>
          <cell r="Q40">
            <v>0.13622896031789924</v>
          </cell>
          <cell r="R40">
            <v>9.2381299117502383E-2</v>
          </cell>
          <cell r="S40">
            <v>0.22458868903269982</v>
          </cell>
          <cell r="T40">
            <v>0.27868917229328594</v>
          </cell>
          <cell r="U40">
            <v>0</v>
          </cell>
        </row>
        <row r="41">
          <cell r="B41" t="str">
            <v>Premium Fume Hood-NR</v>
          </cell>
          <cell r="C41">
            <v>0</v>
          </cell>
          <cell r="D41">
            <v>0</v>
          </cell>
          <cell r="E41">
            <v>0</v>
          </cell>
          <cell r="F41">
            <v>0</v>
          </cell>
          <cell r="G41">
            <v>0</v>
          </cell>
          <cell r="H41">
            <v>0</v>
          </cell>
          <cell r="I41">
            <v>0</v>
          </cell>
          <cell r="J41">
            <v>0</v>
          </cell>
          <cell r="K41">
            <v>0</v>
          </cell>
          <cell r="L41">
            <v>0</v>
          </cell>
          <cell r="M41">
            <v>0</v>
          </cell>
          <cell r="N41">
            <v>0</v>
          </cell>
          <cell r="O41">
            <v>0</v>
          </cell>
          <cell r="P41">
            <v>0</v>
          </cell>
          <cell r="Q41">
            <v>0</v>
          </cell>
          <cell r="R41">
            <v>0</v>
          </cell>
          <cell r="S41">
            <v>0</v>
          </cell>
          <cell r="T41">
            <v>0</v>
          </cell>
          <cell r="U41">
            <v>0.1</v>
          </cell>
          <cell r="W41">
            <v>0.29417841433623887</v>
          </cell>
        </row>
        <row r="42">
          <cell r="B42" t="str">
            <v>DCV Restaurant Hood-Retro</v>
          </cell>
          <cell r="C42">
            <v>0</v>
          </cell>
          <cell r="D42">
            <v>0</v>
          </cell>
          <cell r="E42">
            <v>0</v>
          </cell>
          <cell r="F42">
            <v>0</v>
          </cell>
          <cell r="G42">
            <v>0</v>
          </cell>
          <cell r="H42">
            <v>0</v>
          </cell>
          <cell r="I42">
            <v>0</v>
          </cell>
          <cell r="J42">
            <v>0</v>
          </cell>
          <cell r="K42">
            <v>0</v>
          </cell>
          <cell r="L42">
            <v>0</v>
          </cell>
          <cell r="M42">
            <v>0</v>
          </cell>
          <cell r="N42">
            <v>0</v>
          </cell>
          <cell r="O42">
            <v>0</v>
          </cell>
          <cell r="P42">
            <v>0</v>
          </cell>
          <cell r="Q42">
            <v>0</v>
          </cell>
          <cell r="R42">
            <v>0</v>
          </cell>
          <cell r="S42">
            <v>0</v>
          </cell>
          <cell r="T42">
            <v>0</v>
          </cell>
          <cell r="U42">
            <v>0</v>
          </cell>
          <cell r="W42">
            <v>0.16600530238180544</v>
          </cell>
        </row>
        <row r="43">
          <cell r="B43" t="str">
            <v>DCV Parking Garage-Retro</v>
          </cell>
          <cell r="C43">
            <v>0</v>
          </cell>
          <cell r="D43">
            <v>0</v>
          </cell>
          <cell r="E43">
            <v>0</v>
          </cell>
          <cell r="F43">
            <v>0</v>
          </cell>
          <cell r="G43">
            <v>0</v>
          </cell>
          <cell r="H43">
            <v>0</v>
          </cell>
          <cell r="I43">
            <v>0</v>
          </cell>
          <cell r="J43">
            <v>0</v>
          </cell>
          <cell r="K43">
            <v>0</v>
          </cell>
          <cell r="L43">
            <v>0</v>
          </cell>
          <cell r="M43">
            <v>0</v>
          </cell>
          <cell r="N43">
            <v>0</v>
          </cell>
          <cell r="O43">
            <v>0</v>
          </cell>
          <cell r="P43">
            <v>0</v>
          </cell>
          <cell r="Q43">
            <v>0</v>
          </cell>
          <cell r="R43">
            <v>0</v>
          </cell>
          <cell r="S43">
            <v>0</v>
          </cell>
          <cell r="T43">
            <v>0</v>
          </cell>
          <cell r="U43">
            <v>0.4</v>
          </cell>
          <cell r="W43">
            <v>2.3737663898859066E-2</v>
          </cell>
        </row>
        <row r="44">
          <cell r="B44" t="str">
            <v>Weatherization - School-Retro</v>
          </cell>
          <cell r="C44">
            <v>0</v>
          </cell>
          <cell r="D44">
            <v>0</v>
          </cell>
          <cell r="E44">
            <v>0</v>
          </cell>
          <cell r="F44">
            <v>0</v>
          </cell>
          <cell r="G44">
            <v>0</v>
          </cell>
          <cell r="H44">
            <v>0</v>
          </cell>
          <cell r="I44">
            <v>0</v>
          </cell>
          <cell r="J44">
            <v>0</v>
          </cell>
          <cell r="K44">
            <v>0</v>
          </cell>
          <cell r="L44">
            <v>0</v>
          </cell>
          <cell r="M44">
            <v>0</v>
          </cell>
          <cell r="N44">
            <v>0</v>
          </cell>
          <cell r="O44">
            <v>0</v>
          </cell>
          <cell r="P44">
            <v>0</v>
          </cell>
          <cell r="Q44">
            <v>0</v>
          </cell>
          <cell r="R44">
            <v>0</v>
          </cell>
          <cell r="S44">
            <v>0</v>
          </cell>
          <cell r="T44">
            <v>0</v>
          </cell>
          <cell r="U44" t="str">
            <v/>
          </cell>
          <cell r="W44">
            <v>0.22300715162221316</v>
          </cell>
        </row>
        <row r="45">
          <cell r="B45" t="str">
            <v>Energy Recovery Ventilator-NR</v>
          </cell>
          <cell r="C45">
            <v>0</v>
          </cell>
          <cell r="D45">
            <v>0</v>
          </cell>
          <cell r="E45">
            <v>0</v>
          </cell>
          <cell r="F45">
            <v>0</v>
          </cell>
          <cell r="G45">
            <v>0</v>
          </cell>
          <cell r="H45">
            <v>0</v>
          </cell>
          <cell r="I45">
            <v>0</v>
          </cell>
          <cell r="J45">
            <v>0</v>
          </cell>
          <cell r="K45">
            <v>0</v>
          </cell>
          <cell r="L45">
            <v>0</v>
          </cell>
          <cell r="M45">
            <v>0</v>
          </cell>
          <cell r="N45">
            <v>0</v>
          </cell>
          <cell r="O45">
            <v>0</v>
          </cell>
          <cell r="P45">
            <v>0</v>
          </cell>
          <cell r="Q45">
            <v>0</v>
          </cell>
          <cell r="R45">
            <v>0</v>
          </cell>
          <cell r="S45">
            <v>0</v>
          </cell>
          <cell r="T45">
            <v>0</v>
          </cell>
          <cell r="U45">
            <v>0.9</v>
          </cell>
          <cell r="V45" t="str">
            <v>NEEA Sales data</v>
          </cell>
          <cell r="W45">
            <v>0.19741792645695339</v>
          </cell>
        </row>
        <row r="46">
          <cell r="B46" t="str">
            <v>AC Heat Recovery for Water Heating-NR</v>
          </cell>
          <cell r="C46">
            <v>0</v>
          </cell>
          <cell r="D46">
            <v>0</v>
          </cell>
          <cell r="E46">
            <v>0</v>
          </cell>
          <cell r="F46">
            <v>0</v>
          </cell>
          <cell r="G46">
            <v>0</v>
          </cell>
          <cell r="H46">
            <v>0</v>
          </cell>
          <cell r="I46">
            <v>0</v>
          </cell>
          <cell r="J46">
            <v>0</v>
          </cell>
          <cell r="K46">
            <v>0</v>
          </cell>
          <cell r="L46">
            <v>0</v>
          </cell>
          <cell r="M46">
            <v>0</v>
          </cell>
          <cell r="N46">
            <v>0</v>
          </cell>
          <cell r="O46">
            <v>0</v>
          </cell>
          <cell r="P46">
            <v>0</v>
          </cell>
          <cell r="Q46">
            <v>0</v>
          </cell>
          <cell r="R46">
            <v>0</v>
          </cell>
          <cell r="S46">
            <v>0</v>
          </cell>
          <cell r="T46">
            <v>0</v>
          </cell>
          <cell r="U46" t="str">
            <v/>
          </cell>
          <cell r="W46">
            <v>4.2740762746028386E-2</v>
          </cell>
        </row>
        <row r="47">
          <cell r="B47" t="str">
            <v>Room Occupancy Sensors in Lodging-Retro</v>
          </cell>
          <cell r="C47">
            <v>0</v>
          </cell>
          <cell r="D47">
            <v>0</v>
          </cell>
          <cell r="E47">
            <v>0</v>
          </cell>
          <cell r="F47">
            <v>0</v>
          </cell>
          <cell r="G47">
            <v>0</v>
          </cell>
          <cell r="H47">
            <v>0</v>
          </cell>
          <cell r="I47">
            <v>0</v>
          </cell>
          <cell r="J47">
            <v>0</v>
          </cell>
          <cell r="K47">
            <v>0</v>
          </cell>
          <cell r="L47">
            <v>0</v>
          </cell>
          <cell r="M47">
            <v>0</v>
          </cell>
          <cell r="N47">
            <v>0</v>
          </cell>
          <cell r="O47">
            <v>0</v>
          </cell>
          <cell r="P47">
            <v>0</v>
          </cell>
          <cell r="Q47">
            <v>0</v>
          </cell>
          <cell r="R47">
            <v>0</v>
          </cell>
          <cell r="S47">
            <v>0</v>
          </cell>
          <cell r="T47">
            <v>0</v>
          </cell>
          <cell r="U47" t="str">
            <v/>
          </cell>
          <cell r="W47">
            <v>1.3597214573254024E-2</v>
          </cell>
        </row>
        <row r="48">
          <cell r="B48" t="str">
            <v>Chiller - chilled water retrofit-Retro</v>
          </cell>
          <cell r="C48">
            <v>0</v>
          </cell>
          <cell r="D48">
            <v>0</v>
          </cell>
          <cell r="E48">
            <v>0</v>
          </cell>
          <cell r="F48">
            <v>0</v>
          </cell>
          <cell r="G48">
            <v>0</v>
          </cell>
          <cell r="H48">
            <v>0</v>
          </cell>
          <cell r="I48">
            <v>0</v>
          </cell>
          <cell r="J48">
            <v>0</v>
          </cell>
          <cell r="K48">
            <v>0</v>
          </cell>
          <cell r="L48">
            <v>0</v>
          </cell>
          <cell r="M48">
            <v>0</v>
          </cell>
          <cell r="N48">
            <v>0</v>
          </cell>
          <cell r="O48">
            <v>0</v>
          </cell>
          <cell r="P48">
            <v>0</v>
          </cell>
          <cell r="Q48">
            <v>0</v>
          </cell>
          <cell r="R48">
            <v>0</v>
          </cell>
          <cell r="S48">
            <v>0</v>
          </cell>
          <cell r="T48">
            <v>0</v>
          </cell>
          <cell r="U48" t="str">
            <v/>
          </cell>
          <cell r="W48">
            <v>0.3265989178858158</v>
          </cell>
        </row>
        <row r="49">
          <cell r="B49" t="str">
            <v>Chiller - equip retrofits-Retro</v>
          </cell>
          <cell r="C49">
            <v>0</v>
          </cell>
          <cell r="D49">
            <v>0</v>
          </cell>
          <cell r="E49">
            <v>0</v>
          </cell>
          <cell r="F49">
            <v>0</v>
          </cell>
          <cell r="G49">
            <v>0</v>
          </cell>
          <cell r="H49">
            <v>0</v>
          </cell>
          <cell r="I49">
            <v>0</v>
          </cell>
          <cell r="J49">
            <v>0</v>
          </cell>
          <cell r="K49">
            <v>0</v>
          </cell>
          <cell r="L49">
            <v>0</v>
          </cell>
          <cell r="M49">
            <v>0</v>
          </cell>
          <cell r="N49">
            <v>0</v>
          </cell>
          <cell r="O49">
            <v>0</v>
          </cell>
          <cell r="P49">
            <v>0</v>
          </cell>
          <cell r="Q49">
            <v>0</v>
          </cell>
          <cell r="R49">
            <v>0</v>
          </cell>
          <cell r="S49">
            <v>0</v>
          </cell>
          <cell r="T49">
            <v>0</v>
          </cell>
          <cell r="U49" t="str">
            <v/>
          </cell>
          <cell r="W49">
            <v>0.13622896031789924</v>
          </cell>
        </row>
        <row r="50">
          <cell r="B50" t="str">
            <v>Pool Blankets-Retro</v>
          </cell>
          <cell r="C50">
            <v>0</v>
          </cell>
          <cell r="D50">
            <v>0</v>
          </cell>
          <cell r="E50">
            <v>0</v>
          </cell>
          <cell r="F50">
            <v>0</v>
          </cell>
          <cell r="G50">
            <v>0</v>
          </cell>
          <cell r="H50">
            <v>0</v>
          </cell>
          <cell r="I50">
            <v>0</v>
          </cell>
          <cell r="J50">
            <v>0</v>
          </cell>
          <cell r="K50">
            <v>0</v>
          </cell>
          <cell r="L50">
            <v>0</v>
          </cell>
          <cell r="M50">
            <v>0</v>
          </cell>
          <cell r="N50">
            <v>0</v>
          </cell>
          <cell r="O50">
            <v>0</v>
          </cell>
          <cell r="P50">
            <v>0</v>
          </cell>
          <cell r="Q50">
            <v>0</v>
          </cell>
          <cell r="R50">
            <v>0</v>
          </cell>
          <cell r="S50">
            <v>0</v>
          </cell>
          <cell r="T50">
            <v>0</v>
          </cell>
          <cell r="U50" t="str">
            <v/>
          </cell>
          <cell r="W50">
            <v>0.12181229468805803</v>
          </cell>
        </row>
        <row r="51">
          <cell r="B51" t="str">
            <v>Web-Enabled Thermostats-Retro</v>
          </cell>
          <cell r="C51">
            <v>0</v>
          </cell>
          <cell r="D51">
            <v>0</v>
          </cell>
          <cell r="E51">
            <v>0</v>
          </cell>
          <cell r="F51">
            <v>0</v>
          </cell>
          <cell r="G51">
            <v>0</v>
          </cell>
          <cell r="H51">
            <v>0</v>
          </cell>
          <cell r="I51">
            <v>0</v>
          </cell>
          <cell r="J51">
            <v>0</v>
          </cell>
          <cell r="K51">
            <v>0</v>
          </cell>
          <cell r="L51">
            <v>0</v>
          </cell>
          <cell r="M51">
            <v>0</v>
          </cell>
          <cell r="N51">
            <v>0</v>
          </cell>
          <cell r="O51">
            <v>0</v>
          </cell>
          <cell r="P51">
            <v>0</v>
          </cell>
          <cell r="Q51">
            <v>0</v>
          </cell>
          <cell r="R51">
            <v>0</v>
          </cell>
          <cell r="S51">
            <v>0</v>
          </cell>
          <cell r="T51">
            <v>0</v>
          </cell>
          <cell r="U51" t="str">
            <v/>
          </cell>
          <cell r="W51">
            <v>1.5043119467328166E-2</v>
          </cell>
        </row>
        <row r="52">
          <cell r="B52" t="str">
            <v>Garage CO2 ventilation-Retro</v>
          </cell>
          <cell r="C52">
            <v>0</v>
          </cell>
          <cell r="D52">
            <v>0</v>
          </cell>
          <cell r="E52">
            <v>0</v>
          </cell>
          <cell r="F52">
            <v>0</v>
          </cell>
          <cell r="G52">
            <v>0</v>
          </cell>
          <cell r="H52">
            <v>0</v>
          </cell>
          <cell r="I52">
            <v>0</v>
          </cell>
          <cell r="J52">
            <v>0</v>
          </cell>
          <cell r="K52">
            <v>0</v>
          </cell>
          <cell r="L52">
            <v>0</v>
          </cell>
          <cell r="M52">
            <v>0</v>
          </cell>
          <cell r="N52">
            <v>0</v>
          </cell>
          <cell r="O52">
            <v>0</v>
          </cell>
          <cell r="P52">
            <v>0</v>
          </cell>
          <cell r="Q52">
            <v>0</v>
          </cell>
          <cell r="R52">
            <v>0</v>
          </cell>
          <cell r="S52">
            <v>0</v>
          </cell>
          <cell r="T52">
            <v>0</v>
          </cell>
          <cell r="U52" t="str">
            <v/>
          </cell>
          <cell r="W52">
            <v>0.13718952244125024</v>
          </cell>
        </row>
        <row r="53">
          <cell r="B53" t="str">
            <v>Circ Pump ECM and drive-Retro</v>
          </cell>
          <cell r="C53">
            <v>0</v>
          </cell>
          <cell r="D53">
            <v>0</v>
          </cell>
          <cell r="E53">
            <v>0</v>
          </cell>
          <cell r="F53">
            <v>0</v>
          </cell>
          <cell r="G53">
            <v>0</v>
          </cell>
          <cell r="H53">
            <v>0</v>
          </cell>
          <cell r="I53">
            <v>0</v>
          </cell>
          <cell r="J53">
            <v>0</v>
          </cell>
          <cell r="K53">
            <v>0</v>
          </cell>
          <cell r="L53">
            <v>0</v>
          </cell>
          <cell r="M53">
            <v>0</v>
          </cell>
          <cell r="N53">
            <v>0</v>
          </cell>
          <cell r="O53">
            <v>0</v>
          </cell>
          <cell r="P53">
            <v>0</v>
          </cell>
          <cell r="Q53">
            <v>0</v>
          </cell>
          <cell r="R53">
            <v>0</v>
          </cell>
          <cell r="S53">
            <v>0</v>
          </cell>
          <cell r="T53">
            <v>0</v>
          </cell>
          <cell r="U53" t="str">
            <v/>
          </cell>
          <cell r="W53">
            <v>0.13714113159081304</v>
          </cell>
        </row>
        <row r="54">
          <cell r="B54" t="str">
            <v>VRF-New</v>
          </cell>
          <cell r="C54">
            <v>0.02</v>
          </cell>
          <cell r="D54">
            <v>0.02</v>
          </cell>
          <cell r="E54">
            <v>0.02</v>
          </cell>
          <cell r="F54">
            <v>0.02</v>
          </cell>
          <cell r="G54">
            <v>0.02</v>
          </cell>
          <cell r="H54">
            <v>0.02</v>
          </cell>
          <cell r="I54">
            <v>0.02</v>
          </cell>
          <cell r="J54">
            <v>0.02</v>
          </cell>
          <cell r="K54">
            <v>0.02</v>
          </cell>
          <cell r="L54">
            <v>0.02</v>
          </cell>
          <cell r="M54">
            <v>0.02</v>
          </cell>
          <cell r="N54">
            <v>0.02</v>
          </cell>
          <cell r="O54">
            <v>0.02</v>
          </cell>
          <cell r="P54">
            <v>0.02</v>
          </cell>
          <cell r="Q54">
            <v>0.02</v>
          </cell>
          <cell r="R54">
            <v>0.02</v>
          </cell>
          <cell r="S54">
            <v>0.02</v>
          </cell>
          <cell r="T54">
            <v>0.02</v>
          </cell>
          <cell r="U54" t="str">
            <v/>
          </cell>
          <cell r="V54" t="str">
            <v>US saturation 2%</v>
          </cell>
          <cell r="W54">
            <v>3.8125362646436782E-2</v>
          </cell>
        </row>
        <row r="55">
          <cell r="B55" t="str">
            <v>VRF-Retro</v>
          </cell>
          <cell r="C55">
            <v>0</v>
          </cell>
          <cell r="D55">
            <v>0</v>
          </cell>
          <cell r="E55">
            <v>0</v>
          </cell>
          <cell r="F55">
            <v>0</v>
          </cell>
          <cell r="G55">
            <v>0</v>
          </cell>
          <cell r="H55">
            <v>0</v>
          </cell>
          <cell r="I55">
            <v>0</v>
          </cell>
          <cell r="J55">
            <v>0</v>
          </cell>
          <cell r="K55">
            <v>0</v>
          </cell>
          <cell r="L55">
            <v>0</v>
          </cell>
          <cell r="M55">
            <v>0</v>
          </cell>
          <cell r="N55">
            <v>0</v>
          </cell>
          <cell r="O55">
            <v>0</v>
          </cell>
          <cell r="P55">
            <v>0</v>
          </cell>
          <cell r="Q55">
            <v>0</v>
          </cell>
          <cell r="R55">
            <v>0</v>
          </cell>
          <cell r="S55">
            <v>0</v>
          </cell>
          <cell r="T55">
            <v>0</v>
          </cell>
          <cell r="U55" t="str">
            <v/>
          </cell>
          <cell r="W55">
            <v>0.13622896031789924</v>
          </cell>
        </row>
        <row r="56">
          <cell r="B56" t="str">
            <v>Evaporator Roof Top HVAC-Retro</v>
          </cell>
          <cell r="C56">
            <v>0</v>
          </cell>
          <cell r="D56">
            <v>0</v>
          </cell>
          <cell r="E56">
            <v>0</v>
          </cell>
          <cell r="F56">
            <v>0</v>
          </cell>
          <cell r="G56">
            <v>0</v>
          </cell>
          <cell r="H56">
            <v>0</v>
          </cell>
          <cell r="I56">
            <v>0</v>
          </cell>
          <cell r="J56">
            <v>0</v>
          </cell>
          <cell r="K56">
            <v>0</v>
          </cell>
          <cell r="L56">
            <v>0</v>
          </cell>
          <cell r="M56">
            <v>0</v>
          </cell>
          <cell r="N56">
            <v>0</v>
          </cell>
          <cell r="O56">
            <v>0</v>
          </cell>
          <cell r="P56">
            <v>0</v>
          </cell>
          <cell r="Q56">
            <v>0</v>
          </cell>
          <cell r="R56">
            <v>0</v>
          </cell>
          <cell r="S56">
            <v>0</v>
          </cell>
          <cell r="T56">
            <v>0</v>
          </cell>
          <cell r="U56" t="str">
            <v/>
          </cell>
          <cell r="W56">
            <v>9.2381299117502383E-2</v>
          </cell>
        </row>
        <row r="57">
          <cell r="B57" t="str">
            <v>Secondary Glazing Systems-Retro</v>
          </cell>
          <cell r="C57">
            <v>0</v>
          </cell>
          <cell r="D57">
            <v>0</v>
          </cell>
          <cell r="E57">
            <v>0</v>
          </cell>
          <cell r="F57">
            <v>0</v>
          </cell>
          <cell r="G57">
            <v>0</v>
          </cell>
          <cell r="H57">
            <v>0</v>
          </cell>
          <cell r="I57">
            <v>0</v>
          </cell>
          <cell r="J57">
            <v>0</v>
          </cell>
          <cell r="K57">
            <v>0</v>
          </cell>
          <cell r="L57">
            <v>0</v>
          </cell>
          <cell r="M57">
            <v>0</v>
          </cell>
          <cell r="N57">
            <v>0</v>
          </cell>
          <cell r="O57">
            <v>0</v>
          </cell>
          <cell r="P57">
            <v>0</v>
          </cell>
          <cell r="Q57">
            <v>0</v>
          </cell>
          <cell r="R57">
            <v>0</v>
          </cell>
          <cell r="S57">
            <v>0</v>
          </cell>
          <cell r="T57">
            <v>0</v>
          </cell>
          <cell r="U57">
            <v>0</v>
          </cell>
          <cell r="V57" t="str">
            <v>Baseline saturation in measure workbook.  Multiple measures</v>
          </cell>
          <cell r="W57">
            <v>0.22458868903269982</v>
          </cell>
        </row>
        <row r="58">
          <cell r="B58" t="str">
            <v>LPD Package-New</v>
          </cell>
          <cell r="C58">
            <v>0</v>
          </cell>
          <cell r="D58">
            <v>0</v>
          </cell>
          <cell r="E58">
            <v>0</v>
          </cell>
          <cell r="F58">
            <v>0</v>
          </cell>
          <cell r="G58">
            <v>0</v>
          </cell>
          <cell r="H58">
            <v>0</v>
          </cell>
          <cell r="I58">
            <v>0</v>
          </cell>
          <cell r="J58">
            <v>0</v>
          </cell>
          <cell r="K58">
            <v>0</v>
          </cell>
          <cell r="L58">
            <v>0</v>
          </cell>
          <cell r="M58">
            <v>0</v>
          </cell>
          <cell r="N58">
            <v>0</v>
          </cell>
          <cell r="O58">
            <v>0</v>
          </cell>
          <cell r="P58">
            <v>0</v>
          </cell>
          <cell r="Q58">
            <v>0</v>
          </cell>
          <cell r="R58">
            <v>0</v>
          </cell>
          <cell r="S58">
            <v>0</v>
          </cell>
          <cell r="T58">
            <v>0</v>
          </cell>
          <cell r="U58">
            <v>0</v>
          </cell>
          <cell r="V58" t="str">
            <v>Baseline saturation in measure workbook.  Multiple measures</v>
          </cell>
          <cell r="W58">
            <v>0.27868917229328594</v>
          </cell>
        </row>
        <row r="59">
          <cell r="B59" t="str">
            <v>LPD Package-NR</v>
          </cell>
          <cell r="C59">
            <v>0</v>
          </cell>
          <cell r="D59">
            <v>0</v>
          </cell>
          <cell r="E59">
            <v>0</v>
          </cell>
          <cell r="F59">
            <v>0</v>
          </cell>
          <cell r="G59">
            <v>0</v>
          </cell>
          <cell r="H59">
            <v>0</v>
          </cell>
          <cell r="I59">
            <v>0</v>
          </cell>
          <cell r="J59">
            <v>0</v>
          </cell>
          <cell r="K59">
            <v>0</v>
          </cell>
          <cell r="L59">
            <v>0</v>
          </cell>
          <cell r="M59">
            <v>0</v>
          </cell>
          <cell r="N59">
            <v>0</v>
          </cell>
          <cell r="O59">
            <v>0</v>
          </cell>
          <cell r="P59">
            <v>0</v>
          </cell>
          <cell r="Q59">
            <v>0</v>
          </cell>
          <cell r="R59">
            <v>0</v>
          </cell>
          <cell r="S59">
            <v>0</v>
          </cell>
          <cell r="T59">
            <v>0</v>
          </cell>
          <cell r="U59">
            <v>0</v>
          </cell>
          <cell r="V59" t="str">
            <v>Baseline saturation in measure workbook.  Multiple measures</v>
          </cell>
          <cell r="W59">
            <v>0.22300715162221316</v>
          </cell>
        </row>
        <row r="60">
          <cell r="B60" t="str">
            <v>LPD Package-Retro</v>
          </cell>
          <cell r="C60">
            <v>0</v>
          </cell>
          <cell r="D60">
            <v>0</v>
          </cell>
          <cell r="E60">
            <v>0</v>
          </cell>
          <cell r="F60">
            <v>0</v>
          </cell>
          <cell r="G60">
            <v>0</v>
          </cell>
          <cell r="H60">
            <v>0</v>
          </cell>
          <cell r="I60">
            <v>0</v>
          </cell>
          <cell r="J60">
            <v>0</v>
          </cell>
          <cell r="K60">
            <v>0</v>
          </cell>
          <cell r="L60">
            <v>0</v>
          </cell>
          <cell r="M60">
            <v>0</v>
          </cell>
          <cell r="N60">
            <v>0</v>
          </cell>
          <cell r="O60">
            <v>0</v>
          </cell>
          <cell r="P60">
            <v>0</v>
          </cell>
          <cell r="Q60">
            <v>0</v>
          </cell>
          <cell r="R60">
            <v>0</v>
          </cell>
          <cell r="S60">
            <v>0</v>
          </cell>
          <cell r="T60">
            <v>0</v>
          </cell>
          <cell r="U60">
            <v>0</v>
          </cell>
          <cell r="V60" t="str">
            <v>Baseline saturation in measure workbook.  Multiple measures</v>
          </cell>
          <cell r="W60">
            <v>0.3265989178858158</v>
          </cell>
        </row>
        <row r="61">
          <cell r="B61" t="str">
            <v>Top Daylighting-New</v>
          </cell>
          <cell r="C61">
            <v>0</v>
          </cell>
          <cell r="D61">
            <v>0.02</v>
          </cell>
          <cell r="E61">
            <v>0.03</v>
          </cell>
          <cell r="F61">
            <v>0.3</v>
          </cell>
          <cell r="G61">
            <v>0.1</v>
          </cell>
          <cell r="H61">
            <v>0</v>
          </cell>
          <cell r="I61">
            <v>0</v>
          </cell>
          <cell r="J61">
            <v>0.2</v>
          </cell>
          <cell r="K61">
            <v>0.1</v>
          </cell>
          <cell r="L61">
            <v>0.1</v>
          </cell>
          <cell r="M61">
            <v>0.1</v>
          </cell>
          <cell r="N61">
            <v>0</v>
          </cell>
          <cell r="O61">
            <v>0</v>
          </cell>
          <cell r="P61">
            <v>0</v>
          </cell>
          <cell r="Q61">
            <v>0</v>
          </cell>
          <cell r="R61">
            <v>0.02</v>
          </cell>
          <cell r="S61">
            <v>0</v>
          </cell>
          <cell r="T61">
            <v>0.02</v>
          </cell>
          <cell r="U61">
            <v>0</v>
          </cell>
          <cell r="W61">
            <v>0.12181229468805803</v>
          </cell>
        </row>
        <row r="62">
          <cell r="B62" t="str">
            <v>Perimeter Daylighting Controls Advanced-New</v>
          </cell>
          <cell r="C62">
            <v>0.2</v>
          </cell>
          <cell r="D62">
            <v>0.2</v>
          </cell>
          <cell r="E62">
            <v>0.1</v>
          </cell>
          <cell r="F62">
            <v>0</v>
          </cell>
          <cell r="G62">
            <v>0</v>
          </cell>
          <cell r="H62">
            <v>0</v>
          </cell>
          <cell r="I62">
            <v>0</v>
          </cell>
          <cell r="J62">
            <v>0.7</v>
          </cell>
          <cell r="K62">
            <v>0.2</v>
          </cell>
          <cell r="L62">
            <v>0</v>
          </cell>
          <cell r="M62">
            <v>0</v>
          </cell>
          <cell r="N62">
            <v>0</v>
          </cell>
          <cell r="O62">
            <v>0</v>
          </cell>
          <cell r="P62">
            <v>0</v>
          </cell>
          <cell r="Q62">
            <v>0</v>
          </cell>
          <cell r="R62">
            <v>0.05</v>
          </cell>
          <cell r="S62">
            <v>0.05</v>
          </cell>
          <cell r="T62">
            <v>0.05</v>
          </cell>
          <cell r="U62">
            <v>0</v>
          </cell>
          <cell r="W62">
            <v>0.17488641186800052</v>
          </cell>
        </row>
        <row r="63">
          <cell r="B63" t="str">
            <v>Perimeter Daylighting Controls Advanced-NR</v>
          </cell>
          <cell r="C63">
            <v>0.1</v>
          </cell>
          <cell r="D63">
            <v>0.1</v>
          </cell>
          <cell r="E63">
            <v>0.05</v>
          </cell>
          <cell r="F63">
            <v>0</v>
          </cell>
          <cell r="G63">
            <v>0</v>
          </cell>
          <cell r="H63">
            <v>0</v>
          </cell>
          <cell r="I63">
            <v>0</v>
          </cell>
          <cell r="J63">
            <v>0.3</v>
          </cell>
          <cell r="K63">
            <v>0.2</v>
          </cell>
          <cell r="L63">
            <v>0</v>
          </cell>
          <cell r="M63">
            <v>0</v>
          </cell>
          <cell r="N63">
            <v>0</v>
          </cell>
          <cell r="O63">
            <v>0</v>
          </cell>
          <cell r="P63">
            <v>0</v>
          </cell>
          <cell r="Q63">
            <v>0</v>
          </cell>
          <cell r="R63">
            <v>0.05</v>
          </cell>
          <cell r="S63">
            <v>0.05</v>
          </cell>
          <cell r="T63">
            <v>0.05</v>
          </cell>
          <cell r="U63">
            <v>0</v>
          </cell>
        </row>
        <row r="64">
          <cell r="B64" t="str">
            <v>Lighting Controls Interior-New</v>
          </cell>
          <cell r="C64">
            <v>0.1</v>
          </cell>
          <cell r="D64">
            <v>0.05</v>
          </cell>
          <cell r="E64">
            <v>0.03</v>
          </cell>
          <cell r="F64">
            <v>0.7</v>
          </cell>
          <cell r="G64">
            <v>0.5</v>
          </cell>
          <cell r="H64">
            <v>0.3</v>
          </cell>
          <cell r="I64">
            <v>0.5</v>
          </cell>
          <cell r="J64">
            <v>0.2</v>
          </cell>
          <cell r="K64">
            <v>0.2</v>
          </cell>
          <cell r="L64">
            <v>0.2</v>
          </cell>
          <cell r="M64">
            <v>0.7</v>
          </cell>
          <cell r="N64">
            <v>0.5</v>
          </cell>
          <cell r="O64">
            <v>0.05</v>
          </cell>
          <cell r="P64">
            <v>0.05</v>
          </cell>
          <cell r="Q64">
            <v>0.2</v>
          </cell>
          <cell r="R64">
            <v>0.2</v>
          </cell>
          <cell r="S64">
            <v>0.1</v>
          </cell>
          <cell r="T64">
            <v>0.1</v>
          </cell>
          <cell r="U64">
            <v>0</v>
          </cell>
        </row>
        <row r="65">
          <cell r="B65" t="str">
            <v>Lighting Controls Interior-NR</v>
          </cell>
          <cell r="C65">
            <v>0.1</v>
          </cell>
          <cell r="D65">
            <v>0.05</v>
          </cell>
          <cell r="E65">
            <v>0.03</v>
          </cell>
          <cell r="F65">
            <v>0.5</v>
          </cell>
          <cell r="G65">
            <v>0.3</v>
          </cell>
          <cell r="H65">
            <v>0.2</v>
          </cell>
          <cell r="I65">
            <v>0.3</v>
          </cell>
          <cell r="J65">
            <v>0.2</v>
          </cell>
          <cell r="K65">
            <v>0.2</v>
          </cell>
          <cell r="L65">
            <v>0.1</v>
          </cell>
          <cell r="M65">
            <v>0.5</v>
          </cell>
          <cell r="N65">
            <v>0.3</v>
          </cell>
          <cell r="O65">
            <v>0.05</v>
          </cell>
          <cell r="P65">
            <v>0.05</v>
          </cell>
          <cell r="Q65">
            <v>0.1</v>
          </cell>
          <cell r="R65">
            <v>0.1</v>
          </cell>
          <cell r="S65">
            <v>0.1</v>
          </cell>
          <cell r="T65">
            <v>0.1</v>
          </cell>
          <cell r="U65">
            <v>0</v>
          </cell>
        </row>
        <row r="66">
          <cell r="B66" t="str">
            <v>Exterior Building Lighting-New</v>
          </cell>
          <cell r="C66">
            <v>0</v>
          </cell>
          <cell r="D66">
            <v>0</v>
          </cell>
          <cell r="E66">
            <v>0</v>
          </cell>
          <cell r="F66">
            <v>0</v>
          </cell>
          <cell r="G66">
            <v>0</v>
          </cell>
          <cell r="H66">
            <v>0</v>
          </cell>
          <cell r="I66">
            <v>0</v>
          </cell>
          <cell r="J66">
            <v>0</v>
          </cell>
          <cell r="K66">
            <v>0</v>
          </cell>
          <cell r="L66">
            <v>0</v>
          </cell>
          <cell r="M66">
            <v>0</v>
          </cell>
          <cell r="N66">
            <v>0</v>
          </cell>
          <cell r="O66">
            <v>0</v>
          </cell>
          <cell r="P66">
            <v>0</v>
          </cell>
          <cell r="Q66">
            <v>0</v>
          </cell>
          <cell r="R66">
            <v>0</v>
          </cell>
          <cell r="S66">
            <v>0</v>
          </cell>
          <cell r="T66">
            <v>0</v>
          </cell>
          <cell r="U66">
            <v>0</v>
          </cell>
          <cell r="V66" t="str">
            <v>Baseline saturation in measure workbook.  Source (DOE 2014)</v>
          </cell>
        </row>
        <row r="67">
          <cell r="B67" t="str">
            <v>Exterior Building Lighting-NR</v>
          </cell>
          <cell r="C67">
            <v>0</v>
          </cell>
          <cell r="D67">
            <v>0</v>
          </cell>
          <cell r="E67">
            <v>0</v>
          </cell>
          <cell r="F67">
            <v>0</v>
          </cell>
          <cell r="G67">
            <v>0</v>
          </cell>
          <cell r="H67">
            <v>0</v>
          </cell>
          <cell r="I67">
            <v>0</v>
          </cell>
          <cell r="J67">
            <v>0</v>
          </cell>
          <cell r="K67">
            <v>0</v>
          </cell>
          <cell r="L67">
            <v>0</v>
          </cell>
          <cell r="M67">
            <v>0</v>
          </cell>
          <cell r="N67">
            <v>0</v>
          </cell>
          <cell r="O67">
            <v>0</v>
          </cell>
          <cell r="P67">
            <v>0</v>
          </cell>
          <cell r="Q67">
            <v>0</v>
          </cell>
          <cell r="R67">
            <v>0</v>
          </cell>
          <cell r="S67">
            <v>0</v>
          </cell>
          <cell r="T67">
            <v>0</v>
          </cell>
          <cell r="U67">
            <v>0</v>
          </cell>
          <cell r="V67" t="str">
            <v>Baseline saturation in measure workbook.  Source (DOE 2014)</v>
          </cell>
        </row>
        <row r="68">
          <cell r="B68" t="str">
            <v>Street and Roadway Lighting-New</v>
          </cell>
          <cell r="C68">
            <v>0</v>
          </cell>
          <cell r="D68">
            <v>0</v>
          </cell>
          <cell r="E68">
            <v>0</v>
          </cell>
          <cell r="F68">
            <v>0</v>
          </cell>
          <cell r="G68">
            <v>0</v>
          </cell>
          <cell r="H68">
            <v>0</v>
          </cell>
          <cell r="I68">
            <v>0</v>
          </cell>
          <cell r="J68">
            <v>0</v>
          </cell>
          <cell r="K68">
            <v>0</v>
          </cell>
          <cell r="L68">
            <v>0</v>
          </cell>
          <cell r="M68">
            <v>0</v>
          </cell>
          <cell r="N68">
            <v>0</v>
          </cell>
          <cell r="O68">
            <v>0</v>
          </cell>
          <cell r="P68">
            <v>0</v>
          </cell>
          <cell r="Q68">
            <v>0</v>
          </cell>
          <cell r="R68">
            <v>0</v>
          </cell>
          <cell r="S68">
            <v>0</v>
          </cell>
          <cell r="T68">
            <v>0</v>
          </cell>
          <cell r="U68">
            <v>0.4</v>
          </cell>
          <cell r="V68" t="str">
            <v>From modified DOE:  See IntLightComp</v>
          </cell>
        </row>
        <row r="69">
          <cell r="B69" t="str">
            <v>Street and Roadway Lighting-NR</v>
          </cell>
          <cell r="C69">
            <v>0</v>
          </cell>
          <cell r="D69">
            <v>0</v>
          </cell>
          <cell r="E69">
            <v>0</v>
          </cell>
          <cell r="F69">
            <v>0</v>
          </cell>
          <cell r="G69">
            <v>0</v>
          </cell>
          <cell r="H69">
            <v>0</v>
          </cell>
          <cell r="I69">
            <v>0</v>
          </cell>
          <cell r="J69">
            <v>0</v>
          </cell>
          <cell r="K69">
            <v>0</v>
          </cell>
          <cell r="L69">
            <v>0</v>
          </cell>
          <cell r="M69">
            <v>0</v>
          </cell>
          <cell r="N69">
            <v>0</v>
          </cell>
          <cell r="O69">
            <v>0</v>
          </cell>
          <cell r="P69">
            <v>0</v>
          </cell>
          <cell r="Q69">
            <v>0</v>
          </cell>
          <cell r="R69">
            <v>0</v>
          </cell>
          <cell r="S69">
            <v>0</v>
          </cell>
          <cell r="T69">
            <v>0</v>
          </cell>
          <cell r="U69">
            <v>0</v>
          </cell>
          <cell r="V69" t="str">
            <v>Baseline saturation in measure workbook</v>
          </cell>
        </row>
        <row r="70">
          <cell r="B70" t="str">
            <v>Parking Lighting-New</v>
          </cell>
          <cell r="C70">
            <v>0.2</v>
          </cell>
          <cell r="D70">
            <v>0.2</v>
          </cell>
          <cell r="E70">
            <v>0.2</v>
          </cell>
          <cell r="F70">
            <v>0.2</v>
          </cell>
          <cell r="G70">
            <v>0.2</v>
          </cell>
          <cell r="H70">
            <v>0.2</v>
          </cell>
          <cell r="I70">
            <v>0.2</v>
          </cell>
          <cell r="J70">
            <v>0.2</v>
          </cell>
          <cell r="K70">
            <v>0.2</v>
          </cell>
          <cell r="L70">
            <v>0.2</v>
          </cell>
          <cell r="M70">
            <v>0.2</v>
          </cell>
          <cell r="N70">
            <v>0.2</v>
          </cell>
          <cell r="O70">
            <v>0.2</v>
          </cell>
          <cell r="P70">
            <v>0.2</v>
          </cell>
          <cell r="Q70">
            <v>0.2</v>
          </cell>
          <cell r="R70">
            <v>0.2</v>
          </cell>
          <cell r="S70">
            <v>0.2</v>
          </cell>
          <cell r="T70">
            <v>0.2</v>
          </cell>
        </row>
        <row r="71">
          <cell r="B71" t="str">
            <v>Parking Lighting-NR</v>
          </cell>
          <cell r="C71">
            <v>0.01</v>
          </cell>
          <cell r="D71">
            <v>0.01</v>
          </cell>
          <cell r="E71">
            <v>0.01</v>
          </cell>
          <cell r="F71">
            <v>0.01</v>
          </cell>
          <cell r="G71">
            <v>0.01</v>
          </cell>
          <cell r="H71">
            <v>0.01</v>
          </cell>
          <cell r="I71">
            <v>0.01</v>
          </cell>
          <cell r="J71">
            <v>0.01</v>
          </cell>
          <cell r="K71">
            <v>0.01</v>
          </cell>
          <cell r="L71">
            <v>0.01</v>
          </cell>
          <cell r="M71">
            <v>0.01</v>
          </cell>
          <cell r="N71">
            <v>0.01</v>
          </cell>
          <cell r="O71">
            <v>0.01</v>
          </cell>
          <cell r="P71">
            <v>0.01</v>
          </cell>
          <cell r="Q71">
            <v>0.01</v>
          </cell>
          <cell r="R71">
            <v>0.01</v>
          </cell>
          <cell r="S71">
            <v>0.01</v>
          </cell>
          <cell r="T71">
            <v>0.01</v>
          </cell>
          <cell r="U71">
            <v>0.01</v>
          </cell>
        </row>
        <row r="72">
          <cell r="B72" t="str">
            <v>Bi-Level Stairwell Lighting-NR</v>
          </cell>
          <cell r="C72">
            <v>0</v>
          </cell>
          <cell r="D72">
            <v>0</v>
          </cell>
          <cell r="E72">
            <v>0</v>
          </cell>
          <cell r="F72">
            <v>0</v>
          </cell>
          <cell r="G72">
            <v>0</v>
          </cell>
          <cell r="H72">
            <v>0</v>
          </cell>
          <cell r="I72">
            <v>0</v>
          </cell>
          <cell r="J72">
            <v>0</v>
          </cell>
          <cell r="K72">
            <v>0</v>
          </cell>
          <cell r="L72">
            <v>0</v>
          </cell>
          <cell r="M72">
            <v>0</v>
          </cell>
          <cell r="N72">
            <v>0</v>
          </cell>
          <cell r="O72">
            <v>0</v>
          </cell>
          <cell r="P72">
            <v>0</v>
          </cell>
          <cell r="Q72">
            <v>0</v>
          </cell>
          <cell r="R72">
            <v>0</v>
          </cell>
          <cell r="S72">
            <v>0</v>
          </cell>
          <cell r="T72">
            <v>0</v>
          </cell>
          <cell r="U72" t="str">
            <v/>
          </cell>
        </row>
        <row r="73">
          <cell r="B73" t="str">
            <v>ECM-VAV-New</v>
          </cell>
          <cell r="C73">
            <v>0.4</v>
          </cell>
          <cell r="D73">
            <v>0.3</v>
          </cell>
          <cell r="E73">
            <v>0.1</v>
          </cell>
          <cell r="F73">
            <v>0.1</v>
          </cell>
          <cell r="G73">
            <v>0.1</v>
          </cell>
          <cell r="H73">
            <v>0.1</v>
          </cell>
          <cell r="I73">
            <v>0.4</v>
          </cell>
          <cell r="J73">
            <v>0.1</v>
          </cell>
          <cell r="K73">
            <v>0.4</v>
          </cell>
          <cell r="L73">
            <v>0.1</v>
          </cell>
          <cell r="M73">
            <v>0.1</v>
          </cell>
          <cell r="N73">
            <v>0.1</v>
          </cell>
          <cell r="O73">
            <v>0.1</v>
          </cell>
          <cell r="P73">
            <v>0.1</v>
          </cell>
          <cell r="Q73">
            <v>0.4</v>
          </cell>
          <cell r="R73">
            <v>0.1</v>
          </cell>
          <cell r="S73">
            <v>0.1</v>
          </cell>
          <cell r="T73">
            <v>0.4</v>
          </cell>
          <cell r="U73">
            <v>0</v>
          </cell>
        </row>
        <row r="74">
          <cell r="B74" t="str">
            <v>ECM-VAV-NR</v>
          </cell>
          <cell r="C74">
            <v>0.2</v>
          </cell>
          <cell r="D74">
            <v>0.2</v>
          </cell>
          <cell r="E74">
            <v>0.1</v>
          </cell>
          <cell r="F74">
            <v>0.1</v>
          </cell>
          <cell r="G74">
            <v>0.1</v>
          </cell>
          <cell r="H74">
            <v>0.1</v>
          </cell>
          <cell r="I74">
            <v>0.2</v>
          </cell>
          <cell r="J74">
            <v>0.1</v>
          </cell>
          <cell r="K74">
            <v>0.2</v>
          </cell>
          <cell r="L74">
            <v>0.1</v>
          </cell>
          <cell r="M74">
            <v>0.1</v>
          </cell>
          <cell r="N74">
            <v>0.1</v>
          </cell>
          <cell r="O74">
            <v>0.1</v>
          </cell>
          <cell r="P74">
            <v>0.1</v>
          </cell>
          <cell r="Q74">
            <v>0.2</v>
          </cell>
          <cell r="R74">
            <v>0.1</v>
          </cell>
          <cell r="S74">
            <v>0.1</v>
          </cell>
          <cell r="T74">
            <v>0.2</v>
          </cell>
          <cell r="U74">
            <v>0</v>
          </cell>
        </row>
        <row r="75">
          <cell r="B75" t="str">
            <v>Pool pumps-Retro</v>
          </cell>
          <cell r="C75">
            <v>0</v>
          </cell>
          <cell r="D75">
            <v>0</v>
          </cell>
          <cell r="E75">
            <v>0</v>
          </cell>
          <cell r="F75">
            <v>0</v>
          </cell>
          <cell r="G75">
            <v>0</v>
          </cell>
          <cell r="H75">
            <v>0</v>
          </cell>
          <cell r="I75">
            <v>0</v>
          </cell>
          <cell r="J75">
            <v>0</v>
          </cell>
          <cell r="K75">
            <v>0</v>
          </cell>
          <cell r="L75">
            <v>0</v>
          </cell>
          <cell r="M75">
            <v>0</v>
          </cell>
          <cell r="N75">
            <v>0</v>
          </cell>
          <cell r="O75">
            <v>0</v>
          </cell>
          <cell r="P75">
            <v>0</v>
          </cell>
          <cell r="Q75">
            <v>0</v>
          </cell>
          <cell r="R75">
            <v>0</v>
          </cell>
          <cell r="S75">
            <v>0</v>
          </cell>
          <cell r="T75">
            <v>0</v>
          </cell>
          <cell r="U75" t="str">
            <v/>
          </cell>
        </row>
        <row r="76">
          <cell r="B76" t="str">
            <v>MotorsRewind-New</v>
          </cell>
          <cell r="C76">
            <v>0</v>
          </cell>
          <cell r="D76">
            <v>0</v>
          </cell>
          <cell r="E76">
            <v>0</v>
          </cell>
          <cell r="F76">
            <v>0</v>
          </cell>
          <cell r="G76">
            <v>0</v>
          </cell>
          <cell r="H76">
            <v>0</v>
          </cell>
          <cell r="I76">
            <v>0</v>
          </cell>
          <cell r="J76">
            <v>0</v>
          </cell>
          <cell r="K76">
            <v>0</v>
          </cell>
          <cell r="L76">
            <v>0</v>
          </cell>
          <cell r="M76">
            <v>0</v>
          </cell>
          <cell r="N76">
            <v>0</v>
          </cell>
          <cell r="O76">
            <v>0</v>
          </cell>
          <cell r="P76">
            <v>0</v>
          </cell>
          <cell r="Q76">
            <v>0</v>
          </cell>
          <cell r="R76">
            <v>0</v>
          </cell>
          <cell r="S76">
            <v>0</v>
          </cell>
          <cell r="T76">
            <v>0</v>
          </cell>
          <cell r="U76" t="str">
            <v/>
          </cell>
        </row>
        <row r="77">
          <cell r="B77" t="str">
            <v>MotorsRewind-NR</v>
          </cell>
          <cell r="C77">
            <v>0</v>
          </cell>
          <cell r="D77">
            <v>0</v>
          </cell>
          <cell r="E77">
            <v>0</v>
          </cell>
          <cell r="F77">
            <v>0</v>
          </cell>
          <cell r="G77">
            <v>0</v>
          </cell>
          <cell r="H77">
            <v>0</v>
          </cell>
          <cell r="I77">
            <v>0</v>
          </cell>
          <cell r="J77">
            <v>0</v>
          </cell>
          <cell r="K77">
            <v>0</v>
          </cell>
          <cell r="L77">
            <v>0</v>
          </cell>
          <cell r="M77">
            <v>0</v>
          </cell>
          <cell r="N77">
            <v>0</v>
          </cell>
          <cell r="O77">
            <v>0</v>
          </cell>
          <cell r="P77">
            <v>0</v>
          </cell>
          <cell r="Q77">
            <v>0</v>
          </cell>
          <cell r="R77">
            <v>0</v>
          </cell>
          <cell r="S77">
            <v>0</v>
          </cell>
          <cell r="T77">
            <v>0</v>
          </cell>
          <cell r="U77" t="str">
            <v/>
          </cell>
        </row>
        <row r="78">
          <cell r="B78" t="str">
            <v>Municipal Sewage Treatment-Retro</v>
          </cell>
          <cell r="C78">
            <v>0</v>
          </cell>
          <cell r="D78">
            <v>0</v>
          </cell>
          <cell r="E78">
            <v>0</v>
          </cell>
          <cell r="F78">
            <v>0</v>
          </cell>
          <cell r="G78">
            <v>0</v>
          </cell>
          <cell r="H78">
            <v>0</v>
          </cell>
          <cell r="I78">
            <v>0</v>
          </cell>
          <cell r="J78">
            <v>0</v>
          </cell>
          <cell r="K78">
            <v>0</v>
          </cell>
          <cell r="L78">
            <v>0</v>
          </cell>
          <cell r="M78">
            <v>0</v>
          </cell>
          <cell r="N78">
            <v>0</v>
          </cell>
          <cell r="O78">
            <v>0</v>
          </cell>
          <cell r="P78">
            <v>0</v>
          </cell>
          <cell r="Q78">
            <v>0</v>
          </cell>
          <cell r="R78">
            <v>0</v>
          </cell>
          <cell r="S78">
            <v>0</v>
          </cell>
          <cell r="T78">
            <v>0</v>
          </cell>
          <cell r="U78">
            <v>0</v>
          </cell>
          <cell r="V78" t="str">
            <v>Baseline saturation in measure workbook</v>
          </cell>
        </row>
        <row r="79">
          <cell r="B79" t="str">
            <v>Municipal Water Supply-Retro</v>
          </cell>
          <cell r="C79">
            <v>0</v>
          </cell>
          <cell r="D79">
            <v>0</v>
          </cell>
          <cell r="E79">
            <v>0</v>
          </cell>
          <cell r="F79">
            <v>0</v>
          </cell>
          <cell r="G79">
            <v>0</v>
          </cell>
          <cell r="H79">
            <v>0</v>
          </cell>
          <cell r="I79">
            <v>0</v>
          </cell>
          <cell r="J79">
            <v>0</v>
          </cell>
          <cell r="K79">
            <v>0</v>
          </cell>
          <cell r="L79">
            <v>0</v>
          </cell>
          <cell r="M79">
            <v>0</v>
          </cell>
          <cell r="N79">
            <v>0</v>
          </cell>
          <cell r="O79">
            <v>0</v>
          </cell>
          <cell r="P79">
            <v>0</v>
          </cell>
          <cell r="Q79">
            <v>0</v>
          </cell>
          <cell r="R79">
            <v>0</v>
          </cell>
          <cell r="S79">
            <v>0</v>
          </cell>
          <cell r="T79">
            <v>0</v>
          </cell>
          <cell r="U79">
            <v>0</v>
          </cell>
          <cell r="V79" t="str">
            <v>Baseline saturation in measure workbook</v>
          </cell>
        </row>
        <row r="80">
          <cell r="B80" t="str">
            <v>Engine Generator Block Heaters-Retro</v>
          </cell>
          <cell r="C80">
            <v>0</v>
          </cell>
          <cell r="D80">
            <v>0</v>
          </cell>
          <cell r="E80">
            <v>0</v>
          </cell>
          <cell r="F80">
            <v>0</v>
          </cell>
          <cell r="G80">
            <v>0</v>
          </cell>
          <cell r="H80">
            <v>0</v>
          </cell>
          <cell r="I80">
            <v>0</v>
          </cell>
          <cell r="J80">
            <v>0</v>
          </cell>
          <cell r="K80">
            <v>0</v>
          </cell>
          <cell r="L80">
            <v>0</v>
          </cell>
          <cell r="M80">
            <v>0</v>
          </cell>
          <cell r="N80">
            <v>0</v>
          </cell>
          <cell r="O80">
            <v>0</v>
          </cell>
          <cell r="P80">
            <v>0</v>
          </cell>
          <cell r="Q80">
            <v>0</v>
          </cell>
          <cell r="R80">
            <v>0</v>
          </cell>
          <cell r="S80">
            <v>0</v>
          </cell>
          <cell r="T80">
            <v>0</v>
          </cell>
          <cell r="U80" t="str">
            <v/>
          </cell>
        </row>
        <row r="81">
          <cell r="B81" t="str">
            <v>Grocery Refrigeration Bundle-Retro</v>
          </cell>
          <cell r="C81">
            <v>0</v>
          </cell>
          <cell r="D81">
            <v>0</v>
          </cell>
          <cell r="E81">
            <v>0</v>
          </cell>
          <cell r="F81">
            <v>0</v>
          </cell>
          <cell r="G81">
            <v>0</v>
          </cell>
          <cell r="H81">
            <v>0</v>
          </cell>
          <cell r="I81">
            <v>0</v>
          </cell>
          <cell r="J81">
            <v>0</v>
          </cell>
          <cell r="K81">
            <v>0</v>
          </cell>
          <cell r="L81">
            <v>0</v>
          </cell>
          <cell r="M81">
            <v>0</v>
          </cell>
          <cell r="N81">
            <v>0</v>
          </cell>
          <cell r="O81">
            <v>0</v>
          </cell>
          <cell r="P81">
            <v>0</v>
          </cell>
          <cell r="Q81">
            <v>0</v>
          </cell>
          <cell r="R81">
            <v>0</v>
          </cell>
          <cell r="S81">
            <v>0</v>
          </cell>
          <cell r="T81">
            <v>0</v>
          </cell>
          <cell r="U81">
            <v>0</v>
          </cell>
        </row>
        <row r="82">
          <cell r="B82" t="str">
            <v>Packaged Refrigeration Equipment-New</v>
          </cell>
          <cell r="C82">
            <v>0</v>
          </cell>
          <cell r="D82">
            <v>0</v>
          </cell>
          <cell r="E82">
            <v>0</v>
          </cell>
          <cell r="F82">
            <v>0</v>
          </cell>
          <cell r="G82">
            <v>0</v>
          </cell>
          <cell r="H82">
            <v>0</v>
          </cell>
          <cell r="I82">
            <v>0</v>
          </cell>
          <cell r="J82">
            <v>0</v>
          </cell>
          <cell r="K82">
            <v>0</v>
          </cell>
          <cell r="L82">
            <v>0</v>
          </cell>
          <cell r="M82">
            <v>0</v>
          </cell>
          <cell r="N82">
            <v>0</v>
          </cell>
          <cell r="O82">
            <v>0</v>
          </cell>
          <cell r="P82">
            <v>0</v>
          </cell>
          <cell r="Q82">
            <v>0</v>
          </cell>
          <cell r="R82">
            <v>0</v>
          </cell>
          <cell r="S82">
            <v>0</v>
          </cell>
          <cell r="T82">
            <v>0</v>
          </cell>
          <cell r="U82">
            <v>0.05</v>
          </cell>
        </row>
        <row r="83">
          <cell r="B83" t="str">
            <v>Appliances - Freezers-NR</v>
          </cell>
          <cell r="C83">
            <v>0</v>
          </cell>
          <cell r="D83">
            <v>0</v>
          </cell>
          <cell r="E83">
            <v>0</v>
          </cell>
          <cell r="F83">
            <v>0</v>
          </cell>
          <cell r="G83">
            <v>0</v>
          </cell>
          <cell r="H83">
            <v>0</v>
          </cell>
          <cell r="I83">
            <v>0</v>
          </cell>
          <cell r="J83">
            <v>0</v>
          </cell>
          <cell r="K83">
            <v>0</v>
          </cell>
          <cell r="L83">
            <v>0</v>
          </cell>
          <cell r="M83">
            <v>0</v>
          </cell>
          <cell r="N83">
            <v>0</v>
          </cell>
          <cell r="O83">
            <v>0</v>
          </cell>
          <cell r="P83">
            <v>0</v>
          </cell>
          <cell r="Q83">
            <v>0</v>
          </cell>
          <cell r="R83">
            <v>0</v>
          </cell>
          <cell r="S83">
            <v>0</v>
          </cell>
          <cell r="T83">
            <v>0</v>
          </cell>
          <cell r="U83" t="str">
            <v/>
          </cell>
        </row>
        <row r="84">
          <cell r="B84" t="str">
            <v>Appliances - Refrigerators-NR</v>
          </cell>
          <cell r="C84">
            <v>0</v>
          </cell>
          <cell r="D84">
            <v>0</v>
          </cell>
          <cell r="E84">
            <v>0</v>
          </cell>
          <cell r="F84">
            <v>0</v>
          </cell>
          <cell r="G84">
            <v>0</v>
          </cell>
          <cell r="H84">
            <v>0</v>
          </cell>
          <cell r="I84">
            <v>0</v>
          </cell>
          <cell r="J84">
            <v>0</v>
          </cell>
          <cell r="K84">
            <v>0</v>
          </cell>
          <cell r="L84">
            <v>0</v>
          </cell>
          <cell r="M84">
            <v>0</v>
          </cell>
          <cell r="N84">
            <v>0</v>
          </cell>
          <cell r="O84">
            <v>0</v>
          </cell>
          <cell r="P84">
            <v>0</v>
          </cell>
          <cell r="Q84">
            <v>0</v>
          </cell>
          <cell r="R84">
            <v>0</v>
          </cell>
          <cell r="S84">
            <v>0</v>
          </cell>
          <cell r="T84">
            <v>0</v>
          </cell>
          <cell r="U84" t="str">
            <v/>
          </cell>
        </row>
        <row r="85">
          <cell r="B85" t="str">
            <v>Water Cooler Controls-NR</v>
          </cell>
          <cell r="C85">
            <v>0</v>
          </cell>
          <cell r="D85">
            <v>0</v>
          </cell>
          <cell r="E85">
            <v>0</v>
          </cell>
          <cell r="F85">
            <v>0</v>
          </cell>
          <cell r="G85">
            <v>0</v>
          </cell>
          <cell r="H85">
            <v>0</v>
          </cell>
          <cell r="I85">
            <v>0</v>
          </cell>
          <cell r="J85">
            <v>0</v>
          </cell>
          <cell r="K85">
            <v>0</v>
          </cell>
          <cell r="L85">
            <v>0</v>
          </cell>
          <cell r="M85">
            <v>0</v>
          </cell>
          <cell r="N85">
            <v>0</v>
          </cell>
          <cell r="O85">
            <v>0</v>
          </cell>
          <cell r="P85">
            <v>0</v>
          </cell>
          <cell r="Q85">
            <v>0</v>
          </cell>
          <cell r="R85">
            <v>0</v>
          </cell>
          <cell r="S85">
            <v>0</v>
          </cell>
          <cell r="T85">
            <v>0</v>
          </cell>
          <cell r="U85">
            <v>0</v>
          </cell>
          <cell r="V85" t="str">
            <v>Baseline saturation in measure workbook.  Multiple measures</v>
          </cell>
        </row>
        <row r="86">
          <cell r="B86" t="str">
            <v>WHTanks-New</v>
          </cell>
          <cell r="C86">
            <v>0</v>
          </cell>
          <cell r="D86">
            <v>0</v>
          </cell>
          <cell r="E86">
            <v>0</v>
          </cell>
          <cell r="F86">
            <v>0</v>
          </cell>
          <cell r="G86">
            <v>0</v>
          </cell>
          <cell r="H86">
            <v>0</v>
          </cell>
          <cell r="I86">
            <v>0</v>
          </cell>
          <cell r="J86">
            <v>0</v>
          </cell>
          <cell r="K86">
            <v>0</v>
          </cell>
          <cell r="L86">
            <v>0</v>
          </cell>
          <cell r="M86">
            <v>0</v>
          </cell>
          <cell r="N86">
            <v>0</v>
          </cell>
          <cell r="O86">
            <v>0</v>
          </cell>
          <cell r="P86">
            <v>0</v>
          </cell>
          <cell r="Q86">
            <v>0</v>
          </cell>
          <cell r="R86">
            <v>0</v>
          </cell>
          <cell r="S86">
            <v>0</v>
          </cell>
          <cell r="T86">
            <v>0</v>
          </cell>
          <cell r="U86">
            <v>0.1</v>
          </cell>
        </row>
        <row r="87">
          <cell r="B87" t="str">
            <v>WHTanks-NR</v>
          </cell>
          <cell r="C87">
            <v>0</v>
          </cell>
          <cell r="D87">
            <v>0</v>
          </cell>
          <cell r="E87">
            <v>0</v>
          </cell>
          <cell r="F87">
            <v>0</v>
          </cell>
          <cell r="G87">
            <v>0</v>
          </cell>
          <cell r="H87">
            <v>0</v>
          </cell>
          <cell r="I87">
            <v>0</v>
          </cell>
          <cell r="J87">
            <v>0</v>
          </cell>
          <cell r="K87">
            <v>0</v>
          </cell>
          <cell r="L87">
            <v>0</v>
          </cell>
          <cell r="M87">
            <v>0</v>
          </cell>
          <cell r="N87">
            <v>0</v>
          </cell>
          <cell r="O87">
            <v>0</v>
          </cell>
          <cell r="P87">
            <v>0</v>
          </cell>
          <cell r="Q87">
            <v>0</v>
          </cell>
          <cell r="R87">
            <v>0</v>
          </cell>
          <cell r="S87">
            <v>0</v>
          </cell>
          <cell r="T87">
            <v>0</v>
          </cell>
          <cell r="U87" t="str">
            <v/>
          </cell>
        </row>
        <row r="88">
          <cell r="B88" t="str">
            <v>Appliances - Clothes Washers-NR</v>
          </cell>
          <cell r="C88">
            <v>0</v>
          </cell>
          <cell r="D88">
            <v>0</v>
          </cell>
          <cell r="E88">
            <v>0</v>
          </cell>
          <cell r="F88">
            <v>0</v>
          </cell>
          <cell r="G88">
            <v>0</v>
          </cell>
          <cell r="H88">
            <v>0</v>
          </cell>
          <cell r="I88">
            <v>0</v>
          </cell>
          <cell r="J88">
            <v>0</v>
          </cell>
          <cell r="K88">
            <v>0</v>
          </cell>
          <cell r="L88">
            <v>0</v>
          </cell>
          <cell r="M88">
            <v>0</v>
          </cell>
          <cell r="N88">
            <v>0</v>
          </cell>
          <cell r="O88">
            <v>0</v>
          </cell>
          <cell r="P88">
            <v>0</v>
          </cell>
          <cell r="Q88">
            <v>0</v>
          </cell>
          <cell r="R88">
            <v>0</v>
          </cell>
          <cell r="S88">
            <v>0</v>
          </cell>
          <cell r="T88">
            <v>0</v>
          </cell>
          <cell r="U88" t="str">
            <v/>
          </cell>
        </row>
        <row r="89">
          <cell r="B89" t="str">
            <v>Showerheads-Retro</v>
          </cell>
          <cell r="C89">
            <v>0.2</v>
          </cell>
          <cell r="D89">
            <v>0.2</v>
          </cell>
          <cell r="E89">
            <v>0.2</v>
          </cell>
          <cell r="F89">
            <v>0.2</v>
          </cell>
          <cell r="G89">
            <v>0.2</v>
          </cell>
          <cell r="H89">
            <v>0.2</v>
          </cell>
          <cell r="I89">
            <v>0.2</v>
          </cell>
          <cell r="J89">
            <v>0.2</v>
          </cell>
          <cell r="K89">
            <v>0.2</v>
          </cell>
          <cell r="L89">
            <v>0.2</v>
          </cell>
          <cell r="M89">
            <v>0.2</v>
          </cell>
          <cell r="N89">
            <v>0.2</v>
          </cell>
          <cell r="O89">
            <v>0.2</v>
          </cell>
          <cell r="P89">
            <v>0.2</v>
          </cell>
          <cell r="Q89">
            <v>0.2</v>
          </cell>
          <cell r="R89">
            <v>0.2</v>
          </cell>
          <cell r="S89">
            <v>0.2</v>
          </cell>
          <cell r="T89">
            <v>0.2</v>
          </cell>
          <cell r="U89" t="str">
            <v/>
          </cell>
        </row>
        <row r="90">
          <cell r="B90" t="str">
            <v>Water Heating - GFHX-New</v>
          </cell>
          <cell r="C90">
            <v>0</v>
          </cell>
          <cell r="D90">
            <v>0</v>
          </cell>
          <cell r="E90">
            <v>0</v>
          </cell>
          <cell r="F90">
            <v>0</v>
          </cell>
          <cell r="G90">
            <v>0</v>
          </cell>
          <cell r="H90">
            <v>0</v>
          </cell>
          <cell r="I90">
            <v>0</v>
          </cell>
          <cell r="J90">
            <v>0</v>
          </cell>
          <cell r="K90">
            <v>0</v>
          </cell>
          <cell r="L90">
            <v>0</v>
          </cell>
          <cell r="M90">
            <v>0</v>
          </cell>
          <cell r="N90">
            <v>0</v>
          </cell>
          <cell r="O90">
            <v>0</v>
          </cell>
          <cell r="P90">
            <v>0</v>
          </cell>
          <cell r="Q90">
            <v>0</v>
          </cell>
          <cell r="R90">
            <v>0</v>
          </cell>
          <cell r="S90">
            <v>0</v>
          </cell>
          <cell r="T90">
            <v>0</v>
          </cell>
          <cell r="U90" t="str">
            <v/>
          </cell>
        </row>
        <row r="91">
          <cell r="B91" t="str">
            <v>Demand Control Circulating system DHW-Retro</v>
          </cell>
          <cell r="C91">
            <v>0</v>
          </cell>
          <cell r="D91">
            <v>0</v>
          </cell>
          <cell r="E91">
            <v>0</v>
          </cell>
          <cell r="F91">
            <v>0</v>
          </cell>
          <cell r="G91">
            <v>0</v>
          </cell>
          <cell r="H91">
            <v>0</v>
          </cell>
          <cell r="I91">
            <v>0</v>
          </cell>
          <cell r="J91">
            <v>0</v>
          </cell>
          <cell r="K91">
            <v>0</v>
          </cell>
          <cell r="L91">
            <v>0</v>
          </cell>
          <cell r="M91">
            <v>0</v>
          </cell>
          <cell r="N91">
            <v>0</v>
          </cell>
          <cell r="O91">
            <v>0</v>
          </cell>
          <cell r="P91">
            <v>0</v>
          </cell>
          <cell r="Q91">
            <v>0</v>
          </cell>
          <cell r="R91">
            <v>0</v>
          </cell>
          <cell r="S91">
            <v>0</v>
          </cell>
          <cell r="T91">
            <v>0</v>
          </cell>
          <cell r="U91" t="str">
            <v/>
          </cell>
        </row>
        <row r="92">
          <cell r="B92" t="str">
            <v>Central HPWH MF-Retro</v>
          </cell>
          <cell r="C92">
            <v>0</v>
          </cell>
          <cell r="D92">
            <v>0</v>
          </cell>
          <cell r="E92">
            <v>0</v>
          </cell>
          <cell r="F92">
            <v>0</v>
          </cell>
          <cell r="G92">
            <v>0</v>
          </cell>
          <cell r="H92">
            <v>0</v>
          </cell>
          <cell r="I92">
            <v>0</v>
          </cell>
          <cell r="J92">
            <v>0</v>
          </cell>
          <cell r="K92">
            <v>0</v>
          </cell>
          <cell r="L92">
            <v>0</v>
          </cell>
          <cell r="M92">
            <v>0</v>
          </cell>
          <cell r="N92">
            <v>0</v>
          </cell>
          <cell r="O92">
            <v>0</v>
          </cell>
          <cell r="P92">
            <v>0</v>
          </cell>
          <cell r="Q92">
            <v>0</v>
          </cell>
          <cell r="R92">
            <v>0</v>
          </cell>
          <cell r="S92">
            <v>0</v>
          </cell>
          <cell r="T92">
            <v>0</v>
          </cell>
          <cell r="U92" t="str">
            <v/>
          </cell>
        </row>
        <row r="93">
          <cell r="B93" t="str">
            <v>Ultra Low Energy Building-New</v>
          </cell>
          <cell r="C93">
            <v>0.08</v>
          </cell>
          <cell r="D93">
            <v>0.04</v>
          </cell>
          <cell r="E93">
            <v>0</v>
          </cell>
          <cell r="F93">
            <v>0.08</v>
          </cell>
          <cell r="G93">
            <v>0</v>
          </cell>
          <cell r="H93">
            <v>0</v>
          </cell>
          <cell r="I93">
            <v>0.02</v>
          </cell>
          <cell r="J93">
            <v>0.3</v>
          </cell>
          <cell r="K93">
            <v>0.15</v>
          </cell>
          <cell r="L93">
            <v>0</v>
          </cell>
          <cell r="M93">
            <v>0</v>
          </cell>
          <cell r="N93">
            <v>0</v>
          </cell>
          <cell r="O93">
            <v>0</v>
          </cell>
          <cell r="P93">
            <v>0.02</v>
          </cell>
          <cell r="Q93">
            <v>0.1</v>
          </cell>
          <cell r="R93">
            <v>0.05</v>
          </cell>
          <cell r="S93">
            <v>0.02</v>
          </cell>
          <cell r="T93">
            <v>0.02</v>
          </cell>
          <cell r="U93">
            <v>0</v>
          </cell>
        </row>
        <row r="94">
          <cell r="B94" t="str">
            <v>Low Power LF Lamps-NR</v>
          </cell>
          <cell r="C94">
            <v>0</v>
          </cell>
          <cell r="D94">
            <v>0</v>
          </cell>
          <cell r="E94">
            <v>0</v>
          </cell>
          <cell r="F94">
            <v>0</v>
          </cell>
          <cell r="G94">
            <v>0</v>
          </cell>
          <cell r="H94">
            <v>0</v>
          </cell>
          <cell r="I94">
            <v>0</v>
          </cell>
          <cell r="J94">
            <v>0</v>
          </cell>
          <cell r="K94">
            <v>0</v>
          </cell>
          <cell r="L94">
            <v>0</v>
          </cell>
          <cell r="M94">
            <v>0</v>
          </cell>
          <cell r="N94">
            <v>0</v>
          </cell>
          <cell r="O94">
            <v>0</v>
          </cell>
          <cell r="P94">
            <v>0</v>
          </cell>
          <cell r="Q94">
            <v>0</v>
          </cell>
          <cell r="R94">
            <v>0</v>
          </cell>
          <cell r="S94">
            <v>0</v>
          </cell>
          <cell r="T94">
            <v>0</v>
          </cell>
          <cell r="V94" t="str">
            <v>In workbook. Uses market average mix of lpow watt from sales data</v>
          </cell>
        </row>
      </sheetData>
      <sheetData sheetId="5">
        <row r="11">
          <cell r="B11" t="str">
            <v>Measure Index Name</v>
          </cell>
          <cell r="C11" t="str">
            <v>Large Off</v>
          </cell>
          <cell r="D11" t="str">
            <v>Medium Off</v>
          </cell>
          <cell r="E11" t="str">
            <v>Small Off</v>
          </cell>
          <cell r="F11" t="str">
            <v>Xlarge Ret</v>
          </cell>
          <cell r="G11" t="str">
            <v>Large Ret</v>
          </cell>
          <cell r="H11" t="str">
            <v>Medium Ret</v>
          </cell>
          <cell r="I11" t="str">
            <v>Small Ret</v>
          </cell>
          <cell r="J11" t="str">
            <v>School K-12</v>
          </cell>
          <cell r="K11" t="str">
            <v>University</v>
          </cell>
          <cell r="L11" t="str">
            <v>Warehouse</v>
          </cell>
          <cell r="M11" t="str">
            <v>Supermarket</v>
          </cell>
          <cell r="N11" t="str">
            <v>MiniMart</v>
          </cell>
          <cell r="O11" t="str">
            <v>Restaurant</v>
          </cell>
          <cell r="P11" t="str">
            <v>Lodging</v>
          </cell>
          <cell r="Q11" t="str">
            <v>Hospital</v>
          </cell>
          <cell r="R11" t="str">
            <v>Residential Care</v>
          </cell>
          <cell r="S11" t="str">
            <v>Assembly</v>
          </cell>
          <cell r="T11" t="str">
            <v>Other</v>
          </cell>
          <cell r="U11" t="str">
            <v>Non-Building Stock</v>
          </cell>
        </row>
        <row r="12">
          <cell r="B12" t="str">
            <v>Compressed Air-Retro</v>
          </cell>
          <cell r="C12" t="str">
            <v>_PRE2013</v>
          </cell>
          <cell r="D12" t="str">
            <v>_PRE2013</v>
          </cell>
          <cell r="E12" t="str">
            <v>_PRE2013</v>
          </cell>
          <cell r="F12" t="str">
            <v>_PRE2013</v>
          </cell>
          <cell r="G12" t="str">
            <v>_PRE2013</v>
          </cell>
          <cell r="H12" t="str">
            <v>_PRE2013</v>
          </cell>
          <cell r="I12" t="str">
            <v>_PRE2013</v>
          </cell>
          <cell r="J12" t="str">
            <v>_PRE2013</v>
          </cell>
          <cell r="K12" t="str">
            <v>_PRE2013</v>
          </cell>
          <cell r="L12" t="str">
            <v>_PRE2013</v>
          </cell>
          <cell r="M12" t="str">
            <v>_PRE2013</v>
          </cell>
          <cell r="N12" t="str">
            <v>_PRE2013</v>
          </cell>
          <cell r="O12" t="str">
            <v>_PRE2013</v>
          </cell>
          <cell r="P12" t="str">
            <v>_PRE2013</v>
          </cell>
          <cell r="Q12" t="str">
            <v>_PRE2013</v>
          </cell>
          <cell r="R12" t="str">
            <v>_PRE2013</v>
          </cell>
          <cell r="S12" t="str">
            <v>_PRE2013</v>
          </cell>
          <cell r="T12" t="str">
            <v>_PRE2013</v>
          </cell>
        </row>
        <row r="13">
          <cell r="B13" t="str">
            <v>Compressed Air-NR</v>
          </cell>
          <cell r="C13" t="str">
            <v>_PRE2013</v>
          </cell>
          <cell r="D13" t="str">
            <v>_PRE2013</v>
          </cell>
          <cell r="E13" t="str">
            <v>_PRE2013</v>
          </cell>
          <cell r="F13" t="str">
            <v>_PRE2013</v>
          </cell>
          <cell r="G13" t="str">
            <v>_PRE2013</v>
          </cell>
          <cell r="H13" t="str">
            <v>_PRE2013</v>
          </cell>
          <cell r="I13" t="str">
            <v>_PRE2013</v>
          </cell>
          <cell r="J13" t="str">
            <v>_PRE2013</v>
          </cell>
          <cell r="K13" t="str">
            <v>_PRE2013</v>
          </cell>
          <cell r="L13" t="str">
            <v>_PRE2013</v>
          </cell>
          <cell r="M13" t="str">
            <v>_PRE2013</v>
          </cell>
          <cell r="N13" t="str">
            <v>_PRE2013</v>
          </cell>
          <cell r="O13" t="str">
            <v>_PRE2013</v>
          </cell>
          <cell r="P13" t="str">
            <v>_PRE2013</v>
          </cell>
          <cell r="Q13" t="str">
            <v>_PRE2013</v>
          </cell>
          <cell r="R13" t="str">
            <v>_PRE2013</v>
          </cell>
          <cell r="S13" t="str">
            <v>_PRE2013</v>
          </cell>
          <cell r="T13" t="str">
            <v>_PRE2013</v>
          </cell>
        </row>
        <row r="14">
          <cell r="B14" t="str">
            <v>Network PC Power Management-Retro</v>
          </cell>
          <cell r="C14" t="str">
            <v>_PRE2013</v>
          </cell>
          <cell r="D14" t="str">
            <v>_PRE2013</v>
          </cell>
          <cell r="E14" t="str">
            <v>_PRE2013</v>
          </cell>
          <cell r="F14" t="str">
            <v>_PRE2013</v>
          </cell>
          <cell r="G14" t="str">
            <v>_PRE2013</v>
          </cell>
          <cell r="H14" t="str">
            <v>_PRE2013</v>
          </cell>
          <cell r="I14" t="str">
            <v>_PRE2013</v>
          </cell>
          <cell r="J14" t="str">
            <v>_PRE2013</v>
          </cell>
          <cell r="K14" t="str">
            <v>_PRE2013</v>
          </cell>
          <cell r="L14" t="str">
            <v>_PRE2013</v>
          </cell>
          <cell r="M14" t="str">
            <v>_PRE2013</v>
          </cell>
          <cell r="N14" t="str">
            <v>_PRE2013</v>
          </cell>
          <cell r="O14" t="str">
            <v>_PRE2013</v>
          </cell>
          <cell r="P14" t="str">
            <v>_PRE2013</v>
          </cell>
          <cell r="Q14" t="str">
            <v>_PRE2013</v>
          </cell>
          <cell r="R14" t="str">
            <v>_PRE2013</v>
          </cell>
          <cell r="S14" t="str">
            <v>_PRE2013</v>
          </cell>
          <cell r="T14" t="str">
            <v>_PRE2013</v>
          </cell>
        </row>
        <row r="15">
          <cell r="B15" t="str">
            <v>Laptop-NR</v>
          </cell>
          <cell r="C15" t="str">
            <v>_PRE2013</v>
          </cell>
          <cell r="D15" t="str">
            <v>_PRE2013</v>
          </cell>
          <cell r="E15" t="str">
            <v>_PRE2013</v>
          </cell>
          <cell r="F15" t="str">
            <v>_PRE2013</v>
          </cell>
          <cell r="G15" t="str">
            <v>_PRE2013</v>
          </cell>
          <cell r="H15" t="str">
            <v>_PRE2013</v>
          </cell>
          <cell r="I15" t="str">
            <v>_PRE2013</v>
          </cell>
          <cell r="J15" t="str">
            <v>_PRE2013</v>
          </cell>
          <cell r="K15" t="str">
            <v>_PRE2013</v>
          </cell>
          <cell r="L15" t="str">
            <v>_PRE2013</v>
          </cell>
          <cell r="M15" t="str">
            <v>_PRE2013</v>
          </cell>
          <cell r="N15" t="str">
            <v>_PRE2013</v>
          </cell>
          <cell r="O15" t="str">
            <v>_PRE2013</v>
          </cell>
          <cell r="P15" t="str">
            <v>_PRE2013</v>
          </cell>
          <cell r="Q15" t="str">
            <v>_PRE2013</v>
          </cell>
          <cell r="R15" t="str">
            <v>_PRE2013</v>
          </cell>
          <cell r="S15" t="str">
            <v>_PRE2013</v>
          </cell>
          <cell r="T15" t="str">
            <v>_PRE2013</v>
          </cell>
        </row>
        <row r="16">
          <cell r="B16" t="str">
            <v>Smart Plug Power Strips-Retro</v>
          </cell>
          <cell r="C16" t="str">
            <v>_PRE2013</v>
          </cell>
          <cell r="D16" t="str">
            <v>_PRE2013</v>
          </cell>
          <cell r="E16" t="str">
            <v>_PRE2013</v>
          </cell>
          <cell r="F16" t="str">
            <v>_PRE2013</v>
          </cell>
          <cell r="G16" t="str">
            <v>_PRE2013</v>
          </cell>
          <cell r="H16" t="str">
            <v>_PRE2013</v>
          </cell>
          <cell r="I16" t="str">
            <v>_PRE2013</v>
          </cell>
          <cell r="J16" t="str">
            <v>_PRE2013</v>
          </cell>
          <cell r="K16" t="str">
            <v>_PRE2013</v>
          </cell>
          <cell r="L16" t="str">
            <v>_PRE2013</v>
          </cell>
          <cell r="M16" t="str">
            <v>_PRE2013</v>
          </cell>
          <cell r="N16" t="str">
            <v>_PRE2013</v>
          </cell>
          <cell r="O16" t="str">
            <v>_PRE2013</v>
          </cell>
          <cell r="P16" t="str">
            <v>_PRE2013</v>
          </cell>
          <cell r="Q16" t="str">
            <v>_PRE2013</v>
          </cell>
          <cell r="R16" t="str">
            <v>_PRE2013</v>
          </cell>
          <cell r="S16" t="str">
            <v>_PRE2013</v>
          </cell>
          <cell r="T16" t="str">
            <v>_PRE2013</v>
          </cell>
        </row>
        <row r="17">
          <cell r="B17" t="str">
            <v>Data Centers-NR</v>
          </cell>
          <cell r="C17" t="str">
            <v>_PRE2013</v>
          </cell>
          <cell r="D17" t="str">
            <v>_PRE2013</v>
          </cell>
          <cell r="E17" t="str">
            <v>_PRE2013</v>
          </cell>
          <cell r="F17" t="str">
            <v>_PRE2013</v>
          </cell>
          <cell r="G17" t="str">
            <v>_PRE2013</v>
          </cell>
          <cell r="H17" t="str">
            <v>_PRE2013</v>
          </cell>
          <cell r="I17" t="str">
            <v>_PRE2013</v>
          </cell>
          <cell r="J17" t="str">
            <v>_PRE2013</v>
          </cell>
          <cell r="K17" t="str">
            <v>_PRE2013</v>
          </cell>
          <cell r="L17" t="str">
            <v>_PRE2013</v>
          </cell>
          <cell r="M17" t="str">
            <v>_PRE2013</v>
          </cell>
          <cell r="N17" t="str">
            <v>_PRE2013</v>
          </cell>
          <cell r="O17" t="str">
            <v>_PRE2013</v>
          </cell>
          <cell r="P17" t="str">
            <v>_PRE2013</v>
          </cell>
          <cell r="Q17" t="str">
            <v>_PRE2013</v>
          </cell>
          <cell r="R17" t="str">
            <v>_PRE2013</v>
          </cell>
          <cell r="S17" t="str">
            <v>_PRE2013</v>
          </cell>
          <cell r="T17" t="str">
            <v>_PRE2013</v>
          </cell>
        </row>
        <row r="18">
          <cell r="B18" t="str">
            <v>Monitor-NR</v>
          </cell>
          <cell r="C18" t="str">
            <v>_PRE2013</v>
          </cell>
          <cell r="D18" t="str">
            <v>_PRE2013</v>
          </cell>
          <cell r="E18" t="str">
            <v>_PRE2013</v>
          </cell>
          <cell r="F18" t="str">
            <v>_PRE2013</v>
          </cell>
          <cell r="G18" t="str">
            <v>_PRE2013</v>
          </cell>
          <cell r="H18" t="str">
            <v>_PRE2013</v>
          </cell>
          <cell r="I18" t="str">
            <v>_PRE2013</v>
          </cell>
          <cell r="J18" t="str">
            <v>_PRE2013</v>
          </cell>
          <cell r="K18" t="str">
            <v>_PRE2013</v>
          </cell>
          <cell r="L18" t="str">
            <v>_PRE2013</v>
          </cell>
          <cell r="M18" t="str">
            <v>_PRE2013</v>
          </cell>
          <cell r="N18" t="str">
            <v>_PRE2013</v>
          </cell>
          <cell r="O18" t="str">
            <v>_PRE2013</v>
          </cell>
          <cell r="P18" t="str">
            <v>_PRE2013</v>
          </cell>
          <cell r="Q18" t="str">
            <v>_PRE2013</v>
          </cell>
          <cell r="R18" t="str">
            <v>_PRE2013</v>
          </cell>
          <cell r="S18" t="str">
            <v>_PRE2013</v>
          </cell>
          <cell r="T18" t="str">
            <v>_PRE2013</v>
          </cell>
        </row>
        <row r="19">
          <cell r="B19" t="str">
            <v>Desktop-NR</v>
          </cell>
          <cell r="C19" t="str">
            <v>_PRE2013</v>
          </cell>
          <cell r="D19" t="str">
            <v>_PRE2013</v>
          </cell>
          <cell r="E19" t="str">
            <v>_PRE2013</v>
          </cell>
          <cell r="F19" t="str">
            <v>_PRE2013</v>
          </cell>
          <cell r="G19" t="str">
            <v>_PRE2013</v>
          </cell>
          <cell r="H19" t="str">
            <v>_PRE2013</v>
          </cell>
          <cell r="I19" t="str">
            <v>_PRE2013</v>
          </cell>
          <cell r="J19" t="str">
            <v>_PRE2013</v>
          </cell>
          <cell r="K19" t="str">
            <v>_PRE2013</v>
          </cell>
          <cell r="L19" t="str">
            <v>_PRE2013</v>
          </cell>
          <cell r="M19" t="str">
            <v>_PRE2013</v>
          </cell>
          <cell r="N19" t="str">
            <v>_PRE2013</v>
          </cell>
          <cell r="O19" t="str">
            <v>_PRE2013</v>
          </cell>
          <cell r="P19" t="str">
            <v>_PRE2013</v>
          </cell>
          <cell r="Q19" t="str">
            <v>_PRE2013</v>
          </cell>
          <cell r="R19" t="str">
            <v>_PRE2013</v>
          </cell>
          <cell r="S19" t="str">
            <v>_PRE2013</v>
          </cell>
          <cell r="T19" t="str">
            <v>_PRE2013</v>
          </cell>
          <cell r="W19" t="str">
            <v>_PRE2013</v>
          </cell>
          <cell r="X19" t="str">
            <v>NR</v>
          </cell>
          <cell r="Y19" t="str">
            <v>POST2013</v>
          </cell>
        </row>
        <row r="20">
          <cell r="B20" t="str">
            <v>Pre-Rinse Spray Valve-Retro</v>
          </cell>
          <cell r="C20" t="str">
            <v>_PRE2013</v>
          </cell>
          <cell r="D20" t="str">
            <v>_PRE2013</v>
          </cell>
          <cell r="E20" t="str">
            <v>_PRE2013</v>
          </cell>
          <cell r="F20" t="str">
            <v>_PRE2013</v>
          </cell>
          <cell r="G20" t="str">
            <v>_PRE2013</v>
          </cell>
          <cell r="H20" t="str">
            <v>_PRE2013</v>
          </cell>
          <cell r="I20" t="str">
            <v>_PRE2013</v>
          </cell>
          <cell r="J20" t="str">
            <v>_PRE2013</v>
          </cell>
          <cell r="K20" t="str">
            <v>_PRE2013</v>
          </cell>
          <cell r="L20" t="str">
            <v>_PRE2013</v>
          </cell>
          <cell r="M20" t="str">
            <v>_PRE2013</v>
          </cell>
          <cell r="N20" t="str">
            <v>_PRE2013</v>
          </cell>
          <cell r="O20" t="str">
            <v>_PRE2013</v>
          </cell>
          <cell r="P20" t="str">
            <v>_PRE2013</v>
          </cell>
          <cell r="Q20" t="str">
            <v>_PRE2013</v>
          </cell>
          <cell r="R20" t="str">
            <v>_PRE2013</v>
          </cell>
          <cell r="S20" t="str">
            <v>_PRE2013</v>
          </cell>
          <cell r="T20" t="str">
            <v>_PRE2013</v>
          </cell>
          <cell r="W20" t="str">
            <v>_PRE2013</v>
          </cell>
          <cell r="X20" t="str">
            <v>Retro</v>
          </cell>
          <cell r="Y20" t="str">
            <v>_PRE2013</v>
          </cell>
        </row>
        <row r="21">
          <cell r="B21" t="str">
            <v>Cooking Equipment-NR</v>
          </cell>
          <cell r="C21" t="str">
            <v>POST2013</v>
          </cell>
          <cell r="D21" t="str">
            <v>POST2013</v>
          </cell>
          <cell r="E21" t="str">
            <v>POST2013</v>
          </cell>
          <cell r="F21" t="str">
            <v>POST2013</v>
          </cell>
          <cell r="G21" t="str">
            <v>POST2013</v>
          </cell>
          <cell r="H21" t="str">
            <v>POST2013</v>
          </cell>
          <cell r="I21" t="str">
            <v>POST2013</v>
          </cell>
          <cell r="J21" t="str">
            <v>POST2013</v>
          </cell>
          <cell r="K21" t="str">
            <v>POST2013</v>
          </cell>
          <cell r="L21" t="str">
            <v>POST2013</v>
          </cell>
          <cell r="M21" t="str">
            <v>POST2013</v>
          </cell>
          <cell r="N21" t="str">
            <v>POST2013</v>
          </cell>
          <cell r="O21" t="str">
            <v>POST2013</v>
          </cell>
          <cell r="P21" t="str">
            <v>POST2013</v>
          </cell>
          <cell r="Q21" t="str">
            <v>POST2013</v>
          </cell>
          <cell r="R21" t="str">
            <v>POST2013</v>
          </cell>
          <cell r="S21" t="str">
            <v>POST2013</v>
          </cell>
          <cell r="T21" t="str">
            <v>POST2013</v>
          </cell>
          <cell r="W21" t="str">
            <v>POST2013</v>
          </cell>
          <cell r="X21" t="str">
            <v>NR</v>
          </cell>
          <cell r="Y21" t="str">
            <v>POST2013</v>
          </cell>
        </row>
        <row r="22">
          <cell r="B22" t="str">
            <v>Premium HVAC Equipment-New</v>
          </cell>
          <cell r="C22" t="str">
            <v>POST2013</v>
          </cell>
          <cell r="D22" t="str">
            <v>POST2013</v>
          </cell>
          <cell r="E22" t="str">
            <v>POST2013</v>
          </cell>
          <cell r="F22" t="str">
            <v>POST2013</v>
          </cell>
          <cell r="G22" t="str">
            <v>POST2013</v>
          </cell>
          <cell r="H22" t="str">
            <v>POST2013</v>
          </cell>
          <cell r="I22" t="str">
            <v>POST2013</v>
          </cell>
          <cell r="J22" t="str">
            <v>POST2013</v>
          </cell>
          <cell r="K22" t="str">
            <v>POST2013</v>
          </cell>
          <cell r="L22" t="str">
            <v>POST2013</v>
          </cell>
          <cell r="M22" t="str">
            <v>POST2013</v>
          </cell>
          <cell r="N22" t="str">
            <v>POST2013</v>
          </cell>
          <cell r="O22" t="str">
            <v>POST2013</v>
          </cell>
          <cell r="P22" t="str">
            <v>POST2013</v>
          </cell>
          <cell r="Q22" t="str">
            <v>POST2013</v>
          </cell>
          <cell r="R22" t="str">
            <v>POST2013</v>
          </cell>
          <cell r="S22" t="str">
            <v>POST2013</v>
          </cell>
          <cell r="T22" t="str">
            <v>POST2013</v>
          </cell>
          <cell r="W22" t="str">
            <v>POST2013</v>
          </cell>
          <cell r="X22" t="str">
            <v>New</v>
          </cell>
          <cell r="Y22" t="str">
            <v>POST2013</v>
          </cell>
        </row>
        <row r="23">
          <cell r="B23" t="str">
            <v>Premium HVAC Equipment-NR</v>
          </cell>
          <cell r="C23" t="str">
            <v>POST2013</v>
          </cell>
          <cell r="D23" t="str">
            <v>POST2013</v>
          </cell>
          <cell r="E23" t="str">
            <v>POST2013</v>
          </cell>
          <cell r="F23" t="str">
            <v>POST2013</v>
          </cell>
          <cell r="G23" t="str">
            <v>POST2013</v>
          </cell>
          <cell r="H23" t="str">
            <v>POST2013</v>
          </cell>
          <cell r="I23" t="str">
            <v>POST2013</v>
          </cell>
          <cell r="J23" t="str">
            <v>POST2013</v>
          </cell>
          <cell r="K23" t="str">
            <v>POST2013</v>
          </cell>
          <cell r="L23" t="str">
            <v>POST2013</v>
          </cell>
          <cell r="M23" t="str">
            <v>POST2013</v>
          </cell>
          <cell r="N23" t="str">
            <v>POST2013</v>
          </cell>
          <cell r="O23" t="str">
            <v>POST2013</v>
          </cell>
          <cell r="P23" t="str">
            <v>POST2013</v>
          </cell>
          <cell r="Q23" t="str">
            <v>POST2013</v>
          </cell>
          <cell r="R23" t="str">
            <v>POST2013</v>
          </cell>
          <cell r="S23" t="str">
            <v>POST2013</v>
          </cell>
          <cell r="T23" t="str">
            <v>POST2013</v>
          </cell>
          <cell r="W23" t="str">
            <v>POST2013</v>
          </cell>
          <cell r="X23" t="str">
            <v>NR</v>
          </cell>
          <cell r="Y23" t="str">
            <v>POST2013</v>
          </cell>
        </row>
        <row r="24">
          <cell r="B24" t="str">
            <v>Glass-New</v>
          </cell>
          <cell r="C24" t="str">
            <v>POST2013</v>
          </cell>
          <cell r="D24" t="str">
            <v>POST2013</v>
          </cell>
          <cell r="E24" t="str">
            <v>POST2013</v>
          </cell>
          <cell r="F24" t="str">
            <v>POST2013</v>
          </cell>
          <cell r="G24" t="str">
            <v>POST2013</v>
          </cell>
          <cell r="H24" t="str">
            <v>POST2013</v>
          </cell>
          <cell r="I24" t="str">
            <v>POST2013</v>
          </cell>
          <cell r="J24" t="str">
            <v>POST2013</v>
          </cell>
          <cell r="K24" t="str">
            <v>POST2013</v>
          </cell>
          <cell r="L24" t="str">
            <v>POST2013</v>
          </cell>
          <cell r="M24" t="str">
            <v>POST2013</v>
          </cell>
          <cell r="N24" t="str">
            <v>POST2013</v>
          </cell>
          <cell r="O24" t="str">
            <v>POST2013</v>
          </cell>
          <cell r="P24" t="str">
            <v>POST2013</v>
          </cell>
          <cell r="Q24" t="str">
            <v>POST2013</v>
          </cell>
          <cell r="R24" t="str">
            <v>POST2013</v>
          </cell>
          <cell r="S24" t="str">
            <v>POST2013</v>
          </cell>
          <cell r="T24" t="str">
            <v>POST2013</v>
          </cell>
          <cell r="W24" t="str">
            <v>POST2013</v>
          </cell>
          <cell r="X24" t="str">
            <v>New</v>
          </cell>
          <cell r="Y24" t="str">
            <v>POST2013</v>
          </cell>
        </row>
        <row r="25">
          <cell r="B25" t="str">
            <v>Glass-NR</v>
          </cell>
          <cell r="C25" t="str">
            <v>POST2013</v>
          </cell>
          <cell r="D25" t="str">
            <v>POST2013</v>
          </cell>
          <cell r="E25" t="str">
            <v>POST2013</v>
          </cell>
          <cell r="F25" t="str">
            <v>POST2013</v>
          </cell>
          <cell r="G25" t="str">
            <v>POST2013</v>
          </cell>
          <cell r="H25" t="str">
            <v>POST2013</v>
          </cell>
          <cell r="I25" t="str">
            <v>POST2013</v>
          </cell>
          <cell r="J25" t="str">
            <v>POST2013</v>
          </cell>
          <cell r="K25" t="str">
            <v>POST2013</v>
          </cell>
          <cell r="L25" t="str">
            <v>POST2013</v>
          </cell>
          <cell r="M25" t="str">
            <v>POST2013</v>
          </cell>
          <cell r="N25" t="str">
            <v>POST2013</v>
          </cell>
          <cell r="O25" t="str">
            <v>POST2013</v>
          </cell>
          <cell r="P25" t="str">
            <v>POST2013</v>
          </cell>
          <cell r="Q25" t="str">
            <v>POST2013</v>
          </cell>
          <cell r="R25" t="str">
            <v>POST2013</v>
          </cell>
          <cell r="S25" t="str">
            <v>POST2013</v>
          </cell>
          <cell r="T25" t="str">
            <v>POST2013</v>
          </cell>
          <cell r="W25" t="str">
            <v>POST2013</v>
          </cell>
          <cell r="X25" t="str">
            <v>NR</v>
          </cell>
          <cell r="Y25" t="str">
            <v>POST2013</v>
          </cell>
        </row>
        <row r="26">
          <cell r="B26" t="str">
            <v>Glass-Retro</v>
          </cell>
          <cell r="C26" t="str">
            <v>_PRE2013</v>
          </cell>
          <cell r="D26" t="str">
            <v>_PRE2013</v>
          </cell>
          <cell r="E26" t="str">
            <v>_PRE2013</v>
          </cell>
          <cell r="F26" t="str">
            <v>_PRE2013</v>
          </cell>
          <cell r="G26" t="str">
            <v>_PRE2013</v>
          </cell>
          <cell r="H26" t="str">
            <v>_PRE2013</v>
          </cell>
          <cell r="I26" t="str">
            <v>_PRE2013</v>
          </cell>
          <cell r="J26" t="str">
            <v>_PRE2013</v>
          </cell>
          <cell r="K26" t="str">
            <v>_PRE2013</v>
          </cell>
          <cell r="L26" t="str">
            <v>_PRE2013</v>
          </cell>
          <cell r="M26" t="str">
            <v>_PRE2013</v>
          </cell>
          <cell r="N26" t="str">
            <v>_PRE2013</v>
          </cell>
          <cell r="O26" t="str">
            <v>_PRE2013</v>
          </cell>
          <cell r="P26" t="str">
            <v>_PRE2013</v>
          </cell>
          <cell r="Q26" t="str">
            <v>_PRE2013</v>
          </cell>
          <cell r="R26" t="str">
            <v>_PRE2013</v>
          </cell>
          <cell r="S26" t="str">
            <v>_PRE2013</v>
          </cell>
          <cell r="T26" t="str">
            <v>_PRE2013</v>
          </cell>
          <cell r="W26" t="str">
            <v>_PRE2013</v>
          </cell>
          <cell r="X26" t="str">
            <v>Retro</v>
          </cell>
          <cell r="Y26" t="str">
            <v>_PRE2013</v>
          </cell>
        </row>
        <row r="27">
          <cell r="B27" t="str">
            <v>Advanced Rooftop Controller-New</v>
          </cell>
          <cell r="C27" t="str">
            <v>POST2013</v>
          </cell>
          <cell r="D27" t="str">
            <v>POST2013</v>
          </cell>
          <cell r="E27" t="str">
            <v>POST2013</v>
          </cell>
          <cell r="F27" t="str">
            <v>POST2013</v>
          </cell>
          <cell r="G27" t="str">
            <v>POST2013</v>
          </cell>
          <cell r="H27" t="str">
            <v>POST2013</v>
          </cell>
          <cell r="I27" t="str">
            <v>POST2013</v>
          </cell>
          <cell r="J27" t="str">
            <v>POST2013</v>
          </cell>
          <cell r="K27" t="str">
            <v>POST2013</v>
          </cell>
          <cell r="L27" t="str">
            <v>POST2013</v>
          </cell>
          <cell r="M27" t="str">
            <v>POST2013</v>
          </cell>
          <cell r="N27" t="str">
            <v>POST2013</v>
          </cell>
          <cell r="O27" t="str">
            <v>POST2013</v>
          </cell>
          <cell r="P27" t="str">
            <v>POST2013</v>
          </cell>
          <cell r="Q27" t="str">
            <v>POST2013</v>
          </cell>
          <cell r="R27" t="str">
            <v>POST2013</v>
          </cell>
          <cell r="S27" t="str">
            <v>POST2013</v>
          </cell>
          <cell r="T27" t="str">
            <v>POST2013</v>
          </cell>
          <cell r="W27" t="str">
            <v>POST2013</v>
          </cell>
          <cell r="X27" t="str">
            <v>New</v>
          </cell>
          <cell r="Y27" t="str">
            <v>POST2013</v>
          </cell>
        </row>
        <row r="28">
          <cell r="B28" t="str">
            <v>Advanced Rooftop Controller-NR</v>
          </cell>
          <cell r="C28" t="str">
            <v>POST2013</v>
          </cell>
          <cell r="D28" t="str">
            <v>POST2013</v>
          </cell>
          <cell r="E28" t="str">
            <v>POST2013</v>
          </cell>
          <cell r="F28" t="str">
            <v>POST2013</v>
          </cell>
          <cell r="G28" t="str">
            <v>POST2013</v>
          </cell>
          <cell r="H28" t="str">
            <v>POST2013</v>
          </cell>
          <cell r="I28" t="str">
            <v>POST2013</v>
          </cell>
          <cell r="J28" t="str">
            <v>POST2013</v>
          </cell>
          <cell r="K28" t="str">
            <v>POST2013</v>
          </cell>
          <cell r="L28" t="str">
            <v>POST2013</v>
          </cell>
          <cell r="M28" t="str">
            <v>POST2013</v>
          </cell>
          <cell r="N28" t="str">
            <v>POST2013</v>
          </cell>
          <cell r="O28" t="str">
            <v>POST2013</v>
          </cell>
          <cell r="P28" t="str">
            <v>POST2013</v>
          </cell>
          <cell r="Q28" t="str">
            <v>POST2013</v>
          </cell>
          <cell r="R28" t="str">
            <v>POST2013</v>
          </cell>
          <cell r="S28" t="str">
            <v>POST2013</v>
          </cell>
          <cell r="T28" t="str">
            <v>POST2013</v>
          </cell>
          <cell r="W28" t="str">
            <v>POST2013</v>
          </cell>
          <cell r="X28" t="str">
            <v>NR</v>
          </cell>
          <cell r="Y28" t="str">
            <v>POST2013</v>
          </cell>
        </row>
        <row r="29">
          <cell r="B29" t="str">
            <v>Advanced Rooftop Controller-Retro</v>
          </cell>
          <cell r="C29" t="str">
            <v>_PRE2013</v>
          </cell>
          <cell r="D29" t="str">
            <v>_PRE2013</v>
          </cell>
          <cell r="E29" t="str">
            <v>_PRE2013</v>
          </cell>
          <cell r="F29" t="str">
            <v>_PRE2013</v>
          </cell>
          <cell r="G29" t="str">
            <v>_PRE2013</v>
          </cell>
          <cell r="H29" t="str">
            <v>_PRE2013</v>
          </cell>
          <cell r="I29" t="str">
            <v>_PRE2013</v>
          </cell>
          <cell r="J29" t="str">
            <v>_PRE2013</v>
          </cell>
          <cell r="K29" t="str">
            <v>_PRE2013</v>
          </cell>
          <cell r="L29" t="str">
            <v>_PRE2013</v>
          </cell>
          <cell r="M29" t="str">
            <v>_PRE2013</v>
          </cell>
          <cell r="N29" t="str">
            <v>_PRE2013</v>
          </cell>
          <cell r="O29" t="str">
            <v>_PRE2013</v>
          </cell>
          <cell r="P29" t="str">
            <v>_PRE2013</v>
          </cell>
          <cell r="Q29" t="str">
            <v>_PRE2013</v>
          </cell>
          <cell r="R29" t="str">
            <v>_PRE2013</v>
          </cell>
          <cell r="S29" t="str">
            <v>_PRE2013</v>
          </cell>
          <cell r="T29" t="str">
            <v>_PRE2013</v>
          </cell>
          <cell r="W29" t="str">
            <v>_PRE2013</v>
          </cell>
          <cell r="X29" t="str">
            <v>Retro</v>
          </cell>
          <cell r="Y29" t="str">
            <v>_PRE2013</v>
          </cell>
        </row>
        <row r="30">
          <cell r="B30" t="str">
            <v>Variable Speed Chiller-New</v>
          </cell>
          <cell r="C30" t="str">
            <v>POST2013</v>
          </cell>
          <cell r="D30" t="str">
            <v>POST2013</v>
          </cell>
          <cell r="E30" t="str">
            <v>POST2013</v>
          </cell>
          <cell r="F30" t="str">
            <v>POST2013</v>
          </cell>
          <cell r="G30" t="str">
            <v>POST2013</v>
          </cell>
          <cell r="H30" t="str">
            <v>POST2013</v>
          </cell>
          <cell r="I30" t="str">
            <v>POST2013</v>
          </cell>
          <cell r="J30" t="str">
            <v>POST2013</v>
          </cell>
          <cell r="K30" t="str">
            <v>POST2013</v>
          </cell>
          <cell r="L30" t="str">
            <v>POST2013</v>
          </cell>
          <cell r="M30" t="str">
            <v>POST2013</v>
          </cell>
          <cell r="N30" t="str">
            <v>POST2013</v>
          </cell>
          <cell r="O30" t="str">
            <v>POST2013</v>
          </cell>
          <cell r="P30" t="str">
            <v>POST2013</v>
          </cell>
          <cell r="Q30" t="str">
            <v>POST2013</v>
          </cell>
          <cell r="R30" t="str">
            <v>POST2013</v>
          </cell>
          <cell r="S30" t="str">
            <v>POST2013</v>
          </cell>
          <cell r="T30" t="str">
            <v>POST2013</v>
          </cell>
          <cell r="W30" t="str">
            <v>POST2013</v>
          </cell>
          <cell r="X30" t="str">
            <v>New</v>
          </cell>
          <cell r="Y30" t="str">
            <v>POST2013</v>
          </cell>
        </row>
        <row r="31">
          <cell r="B31" t="str">
            <v>Variable Speed Chiller-NR</v>
          </cell>
          <cell r="C31" t="str">
            <v>POST2013</v>
          </cell>
          <cell r="D31" t="str">
            <v>POST2013</v>
          </cell>
          <cell r="E31" t="str">
            <v>POST2013</v>
          </cell>
          <cell r="F31" t="str">
            <v>POST2013</v>
          </cell>
          <cell r="G31" t="str">
            <v>POST2013</v>
          </cell>
          <cell r="H31" t="str">
            <v>POST2013</v>
          </cell>
          <cell r="I31" t="str">
            <v>POST2013</v>
          </cell>
          <cell r="J31" t="str">
            <v>POST2013</v>
          </cell>
          <cell r="K31" t="str">
            <v>POST2013</v>
          </cell>
          <cell r="L31" t="str">
            <v>POST2013</v>
          </cell>
          <cell r="M31" t="str">
            <v>POST2013</v>
          </cell>
          <cell r="N31" t="str">
            <v>POST2013</v>
          </cell>
          <cell r="O31" t="str">
            <v>POST2013</v>
          </cell>
          <cell r="P31" t="str">
            <v>POST2013</v>
          </cell>
          <cell r="Q31" t="str">
            <v>POST2013</v>
          </cell>
          <cell r="R31" t="str">
            <v>POST2013</v>
          </cell>
          <cell r="S31" t="str">
            <v>POST2013</v>
          </cell>
          <cell r="T31" t="str">
            <v>POST2013</v>
          </cell>
          <cell r="W31" t="str">
            <v>POST2013</v>
          </cell>
          <cell r="X31" t="str">
            <v>NR</v>
          </cell>
          <cell r="Y31" t="str">
            <v>POST2013</v>
          </cell>
        </row>
        <row r="32">
          <cell r="B32" t="str">
            <v>Commercial EM-New</v>
          </cell>
          <cell r="C32" t="str">
            <v>POST2013</v>
          </cell>
          <cell r="D32" t="str">
            <v>POST2013</v>
          </cell>
          <cell r="E32" t="str">
            <v>POST2013</v>
          </cell>
          <cell r="F32" t="str">
            <v>POST2013</v>
          </cell>
          <cell r="G32" t="str">
            <v>POST2013</v>
          </cell>
          <cell r="H32" t="str">
            <v>POST2013</v>
          </cell>
          <cell r="I32" t="str">
            <v>POST2013</v>
          </cell>
          <cell r="J32" t="str">
            <v>POST2013</v>
          </cell>
          <cell r="K32" t="str">
            <v>POST2013</v>
          </cell>
          <cell r="L32" t="str">
            <v>POST2013</v>
          </cell>
          <cell r="M32" t="str">
            <v>POST2013</v>
          </cell>
          <cell r="N32" t="str">
            <v>POST2013</v>
          </cell>
          <cell r="O32" t="str">
            <v>POST2013</v>
          </cell>
          <cell r="P32" t="str">
            <v>POST2013</v>
          </cell>
          <cell r="Q32" t="str">
            <v>POST2013</v>
          </cell>
          <cell r="R32" t="str">
            <v>POST2013</v>
          </cell>
          <cell r="S32" t="str">
            <v>POST2013</v>
          </cell>
          <cell r="T32" t="str">
            <v>POST2013</v>
          </cell>
          <cell r="W32" t="str">
            <v>POST2013</v>
          </cell>
          <cell r="X32" t="str">
            <v>New</v>
          </cell>
          <cell r="Y32" t="str">
            <v>POST2013</v>
          </cell>
        </row>
        <row r="33">
          <cell r="B33" t="str">
            <v>Commercial EM-NR</v>
          </cell>
          <cell r="C33" t="str">
            <v>POST2013</v>
          </cell>
          <cell r="D33" t="str">
            <v>POST2013</v>
          </cell>
          <cell r="E33" t="str">
            <v>POST2013</v>
          </cell>
          <cell r="F33" t="str">
            <v>POST2013</v>
          </cell>
          <cell r="G33" t="str">
            <v>POST2013</v>
          </cell>
          <cell r="H33" t="str">
            <v>POST2013</v>
          </cell>
          <cell r="I33" t="str">
            <v>POST2013</v>
          </cell>
          <cell r="J33" t="str">
            <v>POST2013</v>
          </cell>
          <cell r="K33" t="str">
            <v>POST2013</v>
          </cell>
          <cell r="L33" t="str">
            <v>POST2013</v>
          </cell>
          <cell r="M33" t="str">
            <v>POST2013</v>
          </cell>
          <cell r="N33" t="str">
            <v>POST2013</v>
          </cell>
          <cell r="O33" t="str">
            <v>POST2013</v>
          </cell>
          <cell r="P33" t="str">
            <v>POST2013</v>
          </cell>
          <cell r="Q33" t="str">
            <v>POST2013</v>
          </cell>
          <cell r="R33" t="str">
            <v>POST2013</v>
          </cell>
          <cell r="S33" t="str">
            <v>POST2013</v>
          </cell>
          <cell r="T33" t="str">
            <v>POST2013</v>
          </cell>
          <cell r="W33" t="str">
            <v>POST2013</v>
          </cell>
          <cell r="X33" t="str">
            <v>NR</v>
          </cell>
          <cell r="Y33" t="str">
            <v>POST2013</v>
          </cell>
        </row>
        <row r="34">
          <cell r="B34" t="str">
            <v>Commercial EM-Retro</v>
          </cell>
          <cell r="C34" t="str">
            <v>_PRE2013</v>
          </cell>
          <cell r="D34" t="str">
            <v>_PRE2013</v>
          </cell>
          <cell r="E34" t="str">
            <v>_PRE2013</v>
          </cell>
          <cell r="F34" t="str">
            <v>_PRE2013</v>
          </cell>
          <cell r="G34" t="str">
            <v>_PRE2013</v>
          </cell>
          <cell r="H34" t="str">
            <v>_PRE2013</v>
          </cell>
          <cell r="I34" t="str">
            <v>_PRE2013</v>
          </cell>
          <cell r="J34" t="str">
            <v>_PRE2013</v>
          </cell>
          <cell r="K34" t="str">
            <v>_PRE2013</v>
          </cell>
          <cell r="L34" t="str">
            <v>_PRE2013</v>
          </cell>
          <cell r="M34" t="str">
            <v>_PRE2013</v>
          </cell>
          <cell r="N34" t="str">
            <v>_PRE2013</v>
          </cell>
          <cell r="O34" t="str">
            <v>_PRE2013</v>
          </cell>
          <cell r="P34" t="str">
            <v>_PRE2013</v>
          </cell>
          <cell r="Q34" t="str">
            <v>_PRE2013</v>
          </cell>
          <cell r="R34" t="str">
            <v>_PRE2013</v>
          </cell>
          <cell r="S34" t="str">
            <v>_PRE2013</v>
          </cell>
          <cell r="T34" t="str">
            <v>_PRE2013</v>
          </cell>
          <cell r="W34" t="str">
            <v>_PRE2013</v>
          </cell>
          <cell r="X34" t="str">
            <v>Retro</v>
          </cell>
          <cell r="Y34" t="str">
            <v>_PRE2013</v>
          </cell>
        </row>
        <row r="35">
          <cell r="B35" t="str">
            <v>Evaporative Assist Cooling-New</v>
          </cell>
          <cell r="C35" t="str">
            <v>POST2013</v>
          </cell>
          <cell r="D35" t="str">
            <v>POST2013</v>
          </cell>
          <cell r="E35" t="str">
            <v>POST2013</v>
          </cell>
          <cell r="F35" t="str">
            <v>POST2013</v>
          </cell>
          <cell r="G35" t="str">
            <v>POST2013</v>
          </cell>
          <cell r="H35" t="str">
            <v>POST2013</v>
          </cell>
          <cell r="I35" t="str">
            <v>POST2013</v>
          </cell>
          <cell r="J35" t="str">
            <v>POST2013</v>
          </cell>
          <cell r="K35" t="str">
            <v>POST2013</v>
          </cell>
          <cell r="L35" t="str">
            <v>POST2013</v>
          </cell>
          <cell r="M35" t="str">
            <v>POST2013</v>
          </cell>
          <cell r="N35" t="str">
            <v>POST2013</v>
          </cell>
          <cell r="O35" t="str">
            <v>POST2013</v>
          </cell>
          <cell r="P35" t="str">
            <v>POST2013</v>
          </cell>
          <cell r="Q35" t="str">
            <v>POST2013</v>
          </cell>
          <cell r="R35" t="str">
            <v>POST2013</v>
          </cell>
          <cell r="S35" t="str">
            <v>POST2013</v>
          </cell>
          <cell r="T35" t="str">
            <v>POST2013</v>
          </cell>
          <cell r="W35" t="str">
            <v>POST2013</v>
          </cell>
          <cell r="X35" t="str">
            <v>New</v>
          </cell>
          <cell r="Y35" t="str">
            <v>POST2013</v>
          </cell>
        </row>
        <row r="36">
          <cell r="B36" t="str">
            <v>Evaporative Assist Cooling-NR</v>
          </cell>
          <cell r="C36" t="str">
            <v>POST2013</v>
          </cell>
          <cell r="D36" t="str">
            <v>POST2013</v>
          </cell>
          <cell r="E36" t="str">
            <v>POST2013</v>
          </cell>
          <cell r="F36" t="str">
            <v>POST2013</v>
          </cell>
          <cell r="G36" t="str">
            <v>POST2013</v>
          </cell>
          <cell r="H36" t="str">
            <v>POST2013</v>
          </cell>
          <cell r="I36" t="str">
            <v>POST2013</v>
          </cell>
          <cell r="J36" t="str">
            <v>POST2013</v>
          </cell>
          <cell r="K36" t="str">
            <v>POST2013</v>
          </cell>
          <cell r="L36" t="str">
            <v>POST2013</v>
          </cell>
          <cell r="M36" t="str">
            <v>POST2013</v>
          </cell>
          <cell r="N36" t="str">
            <v>POST2013</v>
          </cell>
          <cell r="O36" t="str">
            <v>POST2013</v>
          </cell>
          <cell r="P36" t="str">
            <v>POST2013</v>
          </cell>
          <cell r="Q36" t="str">
            <v>POST2013</v>
          </cell>
          <cell r="R36" t="str">
            <v>POST2013</v>
          </cell>
          <cell r="S36" t="str">
            <v>POST2013</v>
          </cell>
          <cell r="T36" t="str">
            <v>POST2013</v>
          </cell>
          <cell r="W36" t="str">
            <v>POST2013</v>
          </cell>
          <cell r="X36" t="str">
            <v>NR</v>
          </cell>
          <cell r="Y36" t="str">
            <v>POST2013</v>
          </cell>
        </row>
        <row r="37">
          <cell r="B37" t="str">
            <v>Economizer-Retro</v>
          </cell>
          <cell r="C37" t="str">
            <v>POST2013</v>
          </cell>
          <cell r="D37" t="str">
            <v>POST2013</v>
          </cell>
          <cell r="E37" t="str">
            <v>POST2013</v>
          </cell>
          <cell r="F37" t="str">
            <v>POST2013</v>
          </cell>
          <cell r="G37" t="str">
            <v>POST2013</v>
          </cell>
          <cell r="H37" t="str">
            <v>POST2013</v>
          </cell>
          <cell r="I37" t="str">
            <v>POST2013</v>
          </cell>
          <cell r="J37" t="str">
            <v>POST2013</v>
          </cell>
          <cell r="K37" t="str">
            <v>POST2013</v>
          </cell>
          <cell r="L37" t="str">
            <v>POST2013</v>
          </cell>
          <cell r="M37" t="str">
            <v>POST2013</v>
          </cell>
          <cell r="N37" t="str">
            <v>POST2013</v>
          </cell>
          <cell r="O37" t="str">
            <v>POST2013</v>
          </cell>
          <cell r="P37" t="str">
            <v>POST2013</v>
          </cell>
          <cell r="Q37" t="str">
            <v>POST2013</v>
          </cell>
          <cell r="R37" t="str">
            <v>POST2013</v>
          </cell>
          <cell r="S37" t="str">
            <v>POST2013</v>
          </cell>
          <cell r="T37" t="str">
            <v>POST2013</v>
          </cell>
          <cell r="W37" t="str">
            <v>POST2013</v>
          </cell>
          <cell r="X37" t="str">
            <v>Retro</v>
          </cell>
          <cell r="Y37" t="str">
            <v>_PRE2013</v>
          </cell>
        </row>
        <row r="38">
          <cell r="B38" t="str">
            <v>Demand Control Ventilation-New</v>
          </cell>
          <cell r="C38" t="str">
            <v>POST2013</v>
          </cell>
          <cell r="D38" t="str">
            <v>POST2013</v>
          </cell>
          <cell r="E38" t="str">
            <v>POST2013</v>
          </cell>
          <cell r="F38" t="str">
            <v>POST2013</v>
          </cell>
          <cell r="G38" t="str">
            <v>POST2013</v>
          </cell>
          <cell r="H38" t="str">
            <v>POST2013</v>
          </cell>
          <cell r="I38" t="str">
            <v>POST2013</v>
          </cell>
          <cell r="J38" t="str">
            <v>POST2013</v>
          </cell>
          <cell r="K38" t="str">
            <v>POST2013</v>
          </cell>
          <cell r="L38" t="str">
            <v>POST2013</v>
          </cell>
          <cell r="M38" t="str">
            <v>POST2013</v>
          </cell>
          <cell r="N38" t="str">
            <v>POST2013</v>
          </cell>
          <cell r="O38" t="str">
            <v>POST2013</v>
          </cell>
          <cell r="P38" t="str">
            <v>POST2013</v>
          </cell>
          <cell r="Q38" t="str">
            <v>POST2013</v>
          </cell>
          <cell r="R38" t="str">
            <v>POST2013</v>
          </cell>
          <cell r="S38" t="str">
            <v>POST2013</v>
          </cell>
          <cell r="T38" t="str">
            <v>POST2013</v>
          </cell>
          <cell r="W38" t="str">
            <v>POST2013</v>
          </cell>
          <cell r="X38" t="str">
            <v>New</v>
          </cell>
          <cell r="Y38" t="str">
            <v>POST2013</v>
          </cell>
        </row>
        <row r="39">
          <cell r="B39" t="str">
            <v>Demand Control Ventilation-NR</v>
          </cell>
          <cell r="C39" t="str">
            <v>POST2013</v>
          </cell>
          <cell r="D39" t="str">
            <v>POST2013</v>
          </cell>
          <cell r="E39" t="str">
            <v>POST2013</v>
          </cell>
          <cell r="F39" t="str">
            <v>POST2013</v>
          </cell>
          <cell r="G39" t="str">
            <v>POST2013</v>
          </cell>
          <cell r="H39" t="str">
            <v>POST2013</v>
          </cell>
          <cell r="I39" t="str">
            <v>POST2013</v>
          </cell>
          <cell r="J39" t="str">
            <v>POST2013</v>
          </cell>
          <cell r="K39" t="str">
            <v>POST2013</v>
          </cell>
          <cell r="L39" t="str">
            <v>POST2013</v>
          </cell>
          <cell r="M39" t="str">
            <v>POST2013</v>
          </cell>
          <cell r="N39" t="str">
            <v>POST2013</v>
          </cell>
          <cell r="O39" t="str">
            <v>POST2013</v>
          </cell>
          <cell r="P39" t="str">
            <v>POST2013</v>
          </cell>
          <cell r="Q39" t="str">
            <v>POST2013</v>
          </cell>
          <cell r="R39" t="str">
            <v>POST2013</v>
          </cell>
          <cell r="S39" t="str">
            <v>POST2013</v>
          </cell>
          <cell r="T39" t="str">
            <v>POST2013</v>
          </cell>
          <cell r="W39" t="str">
            <v>POST2013</v>
          </cell>
          <cell r="X39" t="str">
            <v>NR</v>
          </cell>
          <cell r="Y39" t="str">
            <v>POST2013</v>
          </cell>
        </row>
        <row r="40">
          <cell r="B40" t="str">
            <v>Demand Control Ventilation-Retro</v>
          </cell>
          <cell r="C40" t="str">
            <v>_PRE2013</v>
          </cell>
          <cell r="D40" t="str">
            <v>_PRE2013</v>
          </cell>
          <cell r="E40" t="str">
            <v>_PRE2013</v>
          </cell>
          <cell r="F40" t="str">
            <v>_PRE2013</v>
          </cell>
          <cell r="G40" t="str">
            <v>_PRE2013</v>
          </cell>
          <cell r="H40" t="str">
            <v>_PRE2013</v>
          </cell>
          <cell r="I40" t="str">
            <v>_PRE2013</v>
          </cell>
          <cell r="J40" t="str">
            <v>_PRE2013</v>
          </cell>
          <cell r="K40" t="str">
            <v>_PRE2013</v>
          </cell>
          <cell r="L40" t="str">
            <v>_PRE2013</v>
          </cell>
          <cell r="M40" t="str">
            <v>_PRE2013</v>
          </cell>
          <cell r="N40" t="str">
            <v>_PRE2013</v>
          </cell>
          <cell r="O40" t="str">
            <v>_PRE2013</v>
          </cell>
          <cell r="P40" t="str">
            <v>_PRE2013</v>
          </cell>
          <cell r="Q40" t="str">
            <v>_PRE2013</v>
          </cell>
          <cell r="R40" t="str">
            <v>_PRE2013</v>
          </cell>
          <cell r="S40" t="str">
            <v>_PRE2013</v>
          </cell>
          <cell r="T40" t="str">
            <v>_PRE2013</v>
          </cell>
          <cell r="W40" t="str">
            <v>_PRE2013</v>
          </cell>
          <cell r="X40" t="str">
            <v>Retro</v>
          </cell>
          <cell r="Y40" t="str">
            <v>_PRE2013</v>
          </cell>
        </row>
        <row r="41">
          <cell r="B41" t="str">
            <v>Premium Fume Hood-NR</v>
          </cell>
          <cell r="C41" t="str">
            <v>POST2013</v>
          </cell>
          <cell r="D41" t="str">
            <v>POST2013</v>
          </cell>
          <cell r="E41" t="str">
            <v>POST2013</v>
          </cell>
          <cell r="F41" t="str">
            <v>POST2013</v>
          </cell>
          <cell r="G41" t="str">
            <v>POST2013</v>
          </cell>
          <cell r="H41" t="str">
            <v>POST2013</v>
          </cell>
          <cell r="I41" t="str">
            <v>POST2013</v>
          </cell>
          <cell r="J41" t="str">
            <v>POST2013</v>
          </cell>
          <cell r="K41" t="str">
            <v>POST2013</v>
          </cell>
          <cell r="L41" t="str">
            <v>POST2013</v>
          </cell>
          <cell r="M41" t="str">
            <v>POST2013</v>
          </cell>
          <cell r="N41" t="str">
            <v>POST2013</v>
          </cell>
          <cell r="O41" t="str">
            <v>POST2013</v>
          </cell>
          <cell r="P41" t="str">
            <v>POST2013</v>
          </cell>
          <cell r="Q41" t="str">
            <v>POST2013</v>
          </cell>
          <cell r="R41" t="str">
            <v>POST2013</v>
          </cell>
          <cell r="S41" t="str">
            <v>POST2013</v>
          </cell>
          <cell r="T41" t="str">
            <v>POST2013</v>
          </cell>
          <cell r="W41" t="str">
            <v>POST2013</v>
          </cell>
          <cell r="X41" t="str">
            <v>NR</v>
          </cell>
          <cell r="Y41" t="str">
            <v>POST2013</v>
          </cell>
        </row>
        <row r="42">
          <cell r="B42" t="str">
            <v>DCV Restaurant Hood-Retro</v>
          </cell>
          <cell r="C42" t="str">
            <v>_PRE2013</v>
          </cell>
          <cell r="D42" t="str">
            <v>_PRE2013</v>
          </cell>
          <cell r="E42" t="str">
            <v>_PRE2013</v>
          </cell>
          <cell r="F42" t="str">
            <v>_PRE2013</v>
          </cell>
          <cell r="G42" t="str">
            <v>_PRE2013</v>
          </cell>
          <cell r="H42" t="str">
            <v>_PRE2013</v>
          </cell>
          <cell r="I42" t="str">
            <v>_PRE2013</v>
          </cell>
          <cell r="J42" t="str">
            <v>_PRE2013</v>
          </cell>
          <cell r="K42" t="str">
            <v>_PRE2013</v>
          </cell>
          <cell r="L42" t="str">
            <v>_PRE2013</v>
          </cell>
          <cell r="M42" t="str">
            <v>_PRE2013</v>
          </cell>
          <cell r="N42" t="str">
            <v>_PRE2013</v>
          </cell>
          <cell r="O42" t="str">
            <v>_PRE2013</v>
          </cell>
          <cell r="P42" t="str">
            <v>_PRE2013</v>
          </cell>
          <cell r="Q42" t="str">
            <v>_PRE2013</v>
          </cell>
          <cell r="R42" t="str">
            <v>_PRE2013</v>
          </cell>
          <cell r="S42" t="str">
            <v>_PRE2013</v>
          </cell>
          <cell r="T42" t="str">
            <v>_PRE2013</v>
          </cell>
          <cell r="W42" t="str">
            <v>_PRE2013</v>
          </cell>
          <cell r="X42" t="str">
            <v>Retro</v>
          </cell>
          <cell r="Y42" t="str">
            <v>_PRE2013</v>
          </cell>
        </row>
        <row r="43">
          <cell r="B43" t="str">
            <v>DCV Parking Garage-Retro</v>
          </cell>
          <cell r="C43" t="str">
            <v>_PRE2013</v>
          </cell>
          <cell r="D43" t="str">
            <v>_PRE2013</v>
          </cell>
          <cell r="E43" t="str">
            <v>_PRE2013</v>
          </cell>
          <cell r="F43" t="str">
            <v>_PRE2013</v>
          </cell>
          <cell r="G43" t="str">
            <v>_PRE2013</v>
          </cell>
          <cell r="H43" t="str">
            <v>_PRE2013</v>
          </cell>
          <cell r="I43" t="str">
            <v>_PRE2013</v>
          </cell>
          <cell r="J43" t="str">
            <v>_PRE2013</v>
          </cell>
          <cell r="K43" t="str">
            <v>_PRE2013</v>
          </cell>
          <cell r="L43" t="str">
            <v>_PRE2013</v>
          </cell>
          <cell r="M43" t="str">
            <v>_PRE2013</v>
          </cell>
          <cell r="N43" t="str">
            <v>_PRE2013</v>
          </cell>
          <cell r="O43" t="str">
            <v>_PRE2013</v>
          </cell>
          <cell r="P43" t="str">
            <v>_PRE2013</v>
          </cell>
          <cell r="Q43" t="str">
            <v>_PRE2013</v>
          </cell>
          <cell r="R43" t="str">
            <v>_PRE2013</v>
          </cell>
          <cell r="S43" t="str">
            <v>_PRE2013</v>
          </cell>
          <cell r="T43" t="str">
            <v>_PRE2013</v>
          </cell>
          <cell r="W43" t="str">
            <v>_PRE2013</v>
          </cell>
          <cell r="X43" t="str">
            <v>Retro</v>
          </cell>
          <cell r="Y43" t="str">
            <v>_PRE2013</v>
          </cell>
        </row>
        <row r="44">
          <cell r="B44" t="str">
            <v>Weatherization - School-Retro</v>
          </cell>
          <cell r="C44" t="str">
            <v>_PRE2013</v>
          </cell>
          <cell r="D44" t="str">
            <v>_PRE2013</v>
          </cell>
          <cell r="E44" t="str">
            <v>_PRE2013</v>
          </cell>
          <cell r="F44" t="str">
            <v>_PRE2013</v>
          </cell>
          <cell r="G44" t="str">
            <v>_PRE2013</v>
          </cell>
          <cell r="H44" t="str">
            <v>_PRE2013</v>
          </cell>
          <cell r="I44" t="str">
            <v>_PRE2013</v>
          </cell>
          <cell r="J44" t="str">
            <v>_PRE2013</v>
          </cell>
          <cell r="K44" t="str">
            <v>_PRE2013</v>
          </cell>
          <cell r="L44" t="str">
            <v>_PRE2013</v>
          </cell>
          <cell r="M44" t="str">
            <v>_PRE2013</v>
          </cell>
          <cell r="N44" t="str">
            <v>_PRE2013</v>
          </cell>
          <cell r="O44" t="str">
            <v>_PRE2013</v>
          </cell>
          <cell r="P44" t="str">
            <v>_PRE2013</v>
          </cell>
          <cell r="Q44" t="str">
            <v>_PRE2013</v>
          </cell>
          <cell r="R44" t="str">
            <v>_PRE2013</v>
          </cell>
          <cell r="S44" t="str">
            <v>_PRE2013</v>
          </cell>
          <cell r="T44" t="str">
            <v>_PRE2013</v>
          </cell>
          <cell r="W44" t="str">
            <v>_PRE2013</v>
          </cell>
          <cell r="X44" t="str">
            <v>Retro</v>
          </cell>
          <cell r="Y44" t="str">
            <v>_PRE2013</v>
          </cell>
        </row>
        <row r="45">
          <cell r="B45" t="str">
            <v>Energy Recovery Ventilator-NR</v>
          </cell>
          <cell r="C45" t="str">
            <v>POST2013</v>
          </cell>
          <cell r="D45" t="str">
            <v>POST2013</v>
          </cell>
          <cell r="E45" t="str">
            <v>POST2013</v>
          </cell>
          <cell r="F45" t="str">
            <v>POST2013</v>
          </cell>
          <cell r="G45" t="str">
            <v>POST2013</v>
          </cell>
          <cell r="H45" t="str">
            <v>POST2013</v>
          </cell>
          <cell r="I45" t="str">
            <v>POST2013</v>
          </cell>
          <cell r="J45" t="str">
            <v>POST2013</v>
          </cell>
          <cell r="K45" t="str">
            <v>POST2013</v>
          </cell>
          <cell r="L45" t="str">
            <v>POST2013</v>
          </cell>
          <cell r="M45" t="str">
            <v>POST2013</v>
          </cell>
          <cell r="N45" t="str">
            <v>POST2013</v>
          </cell>
          <cell r="O45" t="str">
            <v>POST2013</v>
          </cell>
          <cell r="P45" t="str">
            <v>POST2013</v>
          </cell>
          <cell r="Q45" t="str">
            <v>POST2013</v>
          </cell>
          <cell r="R45" t="str">
            <v>POST2013</v>
          </cell>
          <cell r="S45" t="str">
            <v>POST2013</v>
          </cell>
          <cell r="T45" t="str">
            <v>POST2013</v>
          </cell>
          <cell r="W45" t="str">
            <v>POST2013</v>
          </cell>
          <cell r="X45" t="str">
            <v>NR</v>
          </cell>
          <cell r="Y45" t="str">
            <v>POST2013</v>
          </cell>
        </row>
        <row r="46">
          <cell r="B46" t="str">
            <v>AC Heat Recovery for Water Heating-NR</v>
          </cell>
          <cell r="C46" t="str">
            <v>POST2013</v>
          </cell>
          <cell r="D46" t="str">
            <v>POST2013</v>
          </cell>
          <cell r="E46" t="str">
            <v>POST2013</v>
          </cell>
          <cell r="F46" t="str">
            <v>POST2013</v>
          </cell>
          <cell r="G46" t="str">
            <v>POST2013</v>
          </cell>
          <cell r="H46" t="str">
            <v>POST2013</v>
          </cell>
          <cell r="I46" t="str">
            <v>POST2013</v>
          </cell>
          <cell r="J46" t="str">
            <v>POST2013</v>
          </cell>
          <cell r="K46" t="str">
            <v>POST2013</v>
          </cell>
          <cell r="L46" t="str">
            <v>POST2013</v>
          </cell>
          <cell r="M46" t="str">
            <v>POST2013</v>
          </cell>
          <cell r="N46" t="str">
            <v>POST2013</v>
          </cell>
          <cell r="O46" t="str">
            <v>POST2013</v>
          </cell>
          <cell r="P46" t="str">
            <v>POST2013</v>
          </cell>
          <cell r="Q46" t="str">
            <v>POST2013</v>
          </cell>
          <cell r="R46" t="str">
            <v>POST2013</v>
          </cell>
          <cell r="S46" t="str">
            <v>POST2013</v>
          </cell>
          <cell r="T46" t="str">
            <v>POST2013</v>
          </cell>
          <cell r="W46" t="str">
            <v>POST2013</v>
          </cell>
          <cell r="X46" t="str">
            <v>NR</v>
          </cell>
          <cell r="Y46" t="str">
            <v>POST2013</v>
          </cell>
        </row>
        <row r="47">
          <cell r="B47" t="str">
            <v>Room Occupancy Sensors in Lodging-Retro</v>
          </cell>
          <cell r="C47" t="str">
            <v>_PRE2013</v>
          </cell>
          <cell r="D47" t="str">
            <v>_PRE2013</v>
          </cell>
          <cell r="E47" t="str">
            <v>_PRE2013</v>
          </cell>
          <cell r="F47" t="str">
            <v>_PRE2013</v>
          </cell>
          <cell r="G47" t="str">
            <v>_PRE2013</v>
          </cell>
          <cell r="H47" t="str">
            <v>_PRE2013</v>
          </cell>
          <cell r="I47" t="str">
            <v>_PRE2013</v>
          </cell>
          <cell r="J47" t="str">
            <v>_PRE2013</v>
          </cell>
          <cell r="K47" t="str">
            <v>_PRE2013</v>
          </cell>
          <cell r="L47" t="str">
            <v>_PRE2013</v>
          </cell>
          <cell r="M47" t="str">
            <v>_PRE2013</v>
          </cell>
          <cell r="N47" t="str">
            <v>_PRE2013</v>
          </cell>
          <cell r="O47" t="str">
            <v>_PRE2013</v>
          </cell>
          <cell r="P47" t="str">
            <v>_PRE2013</v>
          </cell>
          <cell r="Q47" t="str">
            <v>_PRE2013</v>
          </cell>
          <cell r="R47" t="str">
            <v>_PRE2013</v>
          </cell>
          <cell r="S47" t="str">
            <v>_PRE2013</v>
          </cell>
          <cell r="T47" t="str">
            <v>_PRE2013</v>
          </cell>
          <cell r="W47" t="str">
            <v>_PRE2013</v>
          </cell>
          <cell r="X47" t="str">
            <v>Retro</v>
          </cell>
          <cell r="Y47" t="str">
            <v>_PRE2013</v>
          </cell>
        </row>
        <row r="48">
          <cell r="B48" t="str">
            <v>Chiller - chilled water retrofit-Retro</v>
          </cell>
          <cell r="C48" t="str">
            <v>_PRE2013</v>
          </cell>
          <cell r="D48" t="str">
            <v>_PRE2013</v>
          </cell>
          <cell r="E48" t="str">
            <v>_PRE2013</v>
          </cell>
          <cell r="F48" t="str">
            <v>_PRE2013</v>
          </cell>
          <cell r="G48" t="str">
            <v>_PRE2013</v>
          </cell>
          <cell r="H48" t="str">
            <v>_PRE2013</v>
          </cell>
          <cell r="I48" t="str">
            <v>_PRE2013</v>
          </cell>
          <cell r="J48" t="str">
            <v>_PRE2013</v>
          </cell>
          <cell r="K48" t="str">
            <v>_PRE2013</v>
          </cell>
          <cell r="L48" t="str">
            <v>_PRE2013</v>
          </cell>
          <cell r="M48" t="str">
            <v>_PRE2013</v>
          </cell>
          <cell r="N48" t="str">
            <v>_PRE2013</v>
          </cell>
          <cell r="O48" t="str">
            <v>_PRE2013</v>
          </cell>
          <cell r="P48" t="str">
            <v>_PRE2013</v>
          </cell>
          <cell r="Q48" t="str">
            <v>_PRE2013</v>
          </cell>
          <cell r="R48" t="str">
            <v>_PRE2013</v>
          </cell>
          <cell r="S48" t="str">
            <v>_PRE2013</v>
          </cell>
          <cell r="T48" t="str">
            <v>_PRE2013</v>
          </cell>
          <cell r="W48" t="str">
            <v>_PRE2013</v>
          </cell>
          <cell r="X48" t="str">
            <v>Retro</v>
          </cell>
          <cell r="Y48" t="str">
            <v>_PRE2013</v>
          </cell>
        </row>
        <row r="49">
          <cell r="B49" t="str">
            <v>Chiller - equip retrofits-Retro</v>
          </cell>
          <cell r="C49" t="str">
            <v>_PRE2013</v>
          </cell>
          <cell r="D49" t="str">
            <v>_PRE2013</v>
          </cell>
          <cell r="E49" t="str">
            <v>_PRE2013</v>
          </cell>
          <cell r="F49" t="str">
            <v>_PRE2013</v>
          </cell>
          <cell r="G49" t="str">
            <v>_PRE2013</v>
          </cell>
          <cell r="H49" t="str">
            <v>_PRE2013</v>
          </cell>
          <cell r="I49" t="str">
            <v>_PRE2013</v>
          </cell>
          <cell r="J49" t="str">
            <v>_PRE2013</v>
          </cell>
          <cell r="K49" t="str">
            <v>_PRE2013</v>
          </cell>
          <cell r="L49" t="str">
            <v>_PRE2013</v>
          </cell>
          <cell r="M49" t="str">
            <v>_PRE2013</v>
          </cell>
          <cell r="N49" t="str">
            <v>_PRE2013</v>
          </cell>
          <cell r="O49" t="str">
            <v>_PRE2013</v>
          </cell>
          <cell r="P49" t="str">
            <v>_PRE2013</v>
          </cell>
          <cell r="Q49" t="str">
            <v>_PRE2013</v>
          </cell>
          <cell r="R49" t="str">
            <v>_PRE2013</v>
          </cell>
          <cell r="S49" t="str">
            <v>_PRE2013</v>
          </cell>
          <cell r="T49" t="str">
            <v>_PRE2013</v>
          </cell>
          <cell r="W49" t="str">
            <v>_PRE2013</v>
          </cell>
          <cell r="X49" t="str">
            <v>Retro</v>
          </cell>
          <cell r="Y49" t="str">
            <v>_PRE2013</v>
          </cell>
        </row>
        <row r="50">
          <cell r="B50" t="str">
            <v>Pool Blankets-Retro</v>
          </cell>
          <cell r="C50" t="str">
            <v>_PRE2013</v>
          </cell>
          <cell r="D50" t="str">
            <v>_PRE2013</v>
          </cell>
          <cell r="E50" t="str">
            <v>_PRE2013</v>
          </cell>
          <cell r="F50" t="str">
            <v>_PRE2013</v>
          </cell>
          <cell r="G50" t="str">
            <v>_PRE2013</v>
          </cell>
          <cell r="H50" t="str">
            <v>_PRE2013</v>
          </cell>
          <cell r="I50" t="str">
            <v>_PRE2013</v>
          </cell>
          <cell r="J50" t="str">
            <v>_PRE2013</v>
          </cell>
          <cell r="K50" t="str">
            <v>_PRE2013</v>
          </cell>
          <cell r="L50" t="str">
            <v>_PRE2013</v>
          </cell>
          <cell r="M50" t="str">
            <v>_PRE2013</v>
          </cell>
          <cell r="N50" t="str">
            <v>_PRE2013</v>
          </cell>
          <cell r="O50" t="str">
            <v>_PRE2013</v>
          </cell>
          <cell r="P50" t="str">
            <v>_PRE2013</v>
          </cell>
          <cell r="Q50" t="str">
            <v>_PRE2013</v>
          </cell>
          <cell r="R50" t="str">
            <v>_PRE2013</v>
          </cell>
          <cell r="S50" t="str">
            <v>_PRE2013</v>
          </cell>
          <cell r="T50" t="str">
            <v>_PRE2013</v>
          </cell>
          <cell r="W50" t="str">
            <v>_PRE2013</v>
          </cell>
          <cell r="X50" t="str">
            <v>Retro</v>
          </cell>
          <cell r="Y50" t="str">
            <v>_PRE2013</v>
          </cell>
        </row>
        <row r="51">
          <cell r="B51" t="str">
            <v>Web-Enabled Thermostats-Retro</v>
          </cell>
          <cell r="C51" t="str">
            <v>_PRE2013</v>
          </cell>
          <cell r="D51" t="str">
            <v>_PRE2013</v>
          </cell>
          <cell r="E51" t="str">
            <v>_PRE2013</v>
          </cell>
          <cell r="F51" t="str">
            <v>_PRE2013</v>
          </cell>
          <cell r="G51" t="str">
            <v>_PRE2013</v>
          </cell>
          <cell r="H51" t="str">
            <v>_PRE2013</v>
          </cell>
          <cell r="I51" t="str">
            <v>_PRE2013</v>
          </cell>
          <cell r="J51" t="str">
            <v>_PRE2013</v>
          </cell>
          <cell r="K51" t="str">
            <v>_PRE2013</v>
          </cell>
          <cell r="L51" t="str">
            <v>_PRE2013</v>
          </cell>
          <cell r="M51" t="str">
            <v>_PRE2013</v>
          </cell>
          <cell r="N51" t="str">
            <v>_PRE2013</v>
          </cell>
          <cell r="O51" t="str">
            <v>_PRE2013</v>
          </cell>
          <cell r="P51" t="str">
            <v>_PRE2013</v>
          </cell>
          <cell r="Q51" t="str">
            <v>_PRE2013</v>
          </cell>
          <cell r="R51" t="str">
            <v>_PRE2013</v>
          </cell>
          <cell r="S51" t="str">
            <v>_PRE2013</v>
          </cell>
          <cell r="T51" t="str">
            <v>_PRE2013</v>
          </cell>
          <cell r="W51" t="str">
            <v>_PRE2013</v>
          </cell>
          <cell r="X51" t="str">
            <v>Retro</v>
          </cell>
          <cell r="Y51" t="str">
            <v>_PRE2013</v>
          </cell>
        </row>
        <row r="52">
          <cell r="B52" t="str">
            <v>Garage CO2 ventilation-Retro</v>
          </cell>
          <cell r="C52" t="str">
            <v>_PRE2013</v>
          </cell>
          <cell r="D52" t="str">
            <v>_PRE2013</v>
          </cell>
          <cell r="E52" t="str">
            <v>_PRE2013</v>
          </cell>
          <cell r="F52" t="str">
            <v>_PRE2013</v>
          </cell>
          <cell r="G52" t="str">
            <v>_PRE2013</v>
          </cell>
          <cell r="H52" t="str">
            <v>_PRE2013</v>
          </cell>
          <cell r="I52" t="str">
            <v>_PRE2013</v>
          </cell>
          <cell r="J52" t="str">
            <v>_PRE2013</v>
          </cell>
          <cell r="K52" t="str">
            <v>_PRE2013</v>
          </cell>
          <cell r="L52" t="str">
            <v>_PRE2013</v>
          </cell>
          <cell r="M52" t="str">
            <v>_PRE2013</v>
          </cell>
          <cell r="N52" t="str">
            <v>_PRE2013</v>
          </cell>
          <cell r="O52" t="str">
            <v>_PRE2013</v>
          </cell>
          <cell r="P52" t="str">
            <v>_PRE2013</v>
          </cell>
          <cell r="Q52" t="str">
            <v>_PRE2013</v>
          </cell>
          <cell r="R52" t="str">
            <v>_PRE2013</v>
          </cell>
          <cell r="S52" t="str">
            <v>_PRE2013</v>
          </cell>
          <cell r="T52" t="str">
            <v>_PRE2013</v>
          </cell>
          <cell r="W52" t="str">
            <v>_PRE2013</v>
          </cell>
          <cell r="X52" t="str">
            <v>Retro</v>
          </cell>
          <cell r="Y52" t="str">
            <v>_PRE2013</v>
          </cell>
        </row>
        <row r="53">
          <cell r="B53" t="str">
            <v>Circ Pump ECM and drive-Retro</v>
          </cell>
          <cell r="C53" t="str">
            <v>_PRE2013</v>
          </cell>
          <cell r="D53" t="str">
            <v>_PRE2013</v>
          </cell>
          <cell r="E53" t="str">
            <v>_PRE2013</v>
          </cell>
          <cell r="F53" t="str">
            <v>_PRE2013</v>
          </cell>
          <cell r="G53" t="str">
            <v>_PRE2013</v>
          </cell>
          <cell r="H53" t="str">
            <v>_PRE2013</v>
          </cell>
          <cell r="I53" t="str">
            <v>_PRE2013</v>
          </cell>
          <cell r="J53" t="str">
            <v>_PRE2013</v>
          </cell>
          <cell r="K53" t="str">
            <v>_PRE2013</v>
          </cell>
          <cell r="L53" t="str">
            <v>_PRE2013</v>
          </cell>
          <cell r="M53" t="str">
            <v>_PRE2013</v>
          </cell>
          <cell r="N53" t="str">
            <v>_PRE2013</v>
          </cell>
          <cell r="O53" t="str">
            <v>_PRE2013</v>
          </cell>
          <cell r="P53" t="str">
            <v>_PRE2013</v>
          </cell>
          <cell r="Q53" t="str">
            <v>_PRE2013</v>
          </cell>
          <cell r="R53" t="str">
            <v>_PRE2013</v>
          </cell>
          <cell r="S53" t="str">
            <v>_PRE2013</v>
          </cell>
          <cell r="T53" t="str">
            <v>_PRE2013</v>
          </cell>
          <cell r="W53" t="str">
            <v>_PRE2013</v>
          </cell>
          <cell r="X53" t="str">
            <v>Retro</v>
          </cell>
          <cell r="Y53" t="str">
            <v>_PRE2013</v>
          </cell>
        </row>
        <row r="54">
          <cell r="B54" t="str">
            <v>VRF-New</v>
          </cell>
          <cell r="C54" t="str">
            <v>_PRE2013</v>
          </cell>
          <cell r="D54" t="str">
            <v>_PRE2013</v>
          </cell>
          <cell r="E54" t="str">
            <v>_PRE2013</v>
          </cell>
          <cell r="F54" t="str">
            <v>_PRE2013</v>
          </cell>
          <cell r="G54" t="str">
            <v>_PRE2013</v>
          </cell>
          <cell r="H54" t="str">
            <v>_PRE2013</v>
          </cell>
          <cell r="I54" t="str">
            <v>_PRE2013</v>
          </cell>
          <cell r="J54" t="str">
            <v>_PRE2013</v>
          </cell>
          <cell r="K54" t="str">
            <v>_PRE2013</v>
          </cell>
          <cell r="L54" t="str">
            <v>_PRE2013</v>
          </cell>
          <cell r="M54" t="str">
            <v>_PRE2013</v>
          </cell>
          <cell r="N54" t="str">
            <v>_PRE2013</v>
          </cell>
          <cell r="O54" t="str">
            <v>_PRE2013</v>
          </cell>
          <cell r="P54" t="str">
            <v>_PRE2013</v>
          </cell>
          <cell r="Q54" t="str">
            <v>_PRE2013</v>
          </cell>
          <cell r="R54" t="str">
            <v>_PRE2013</v>
          </cell>
          <cell r="S54" t="str">
            <v>_PRE2013</v>
          </cell>
          <cell r="T54" t="str">
            <v>_PRE2013</v>
          </cell>
          <cell r="W54" t="str">
            <v>_PRE2013</v>
          </cell>
          <cell r="X54" t="str">
            <v>New</v>
          </cell>
          <cell r="Y54" t="str">
            <v>POST2013</v>
          </cell>
        </row>
        <row r="55">
          <cell r="B55" t="str">
            <v>VRF-Retro</v>
          </cell>
          <cell r="C55" t="str">
            <v>_PRE2013</v>
          </cell>
          <cell r="D55" t="str">
            <v>_PRE2013</v>
          </cell>
          <cell r="E55" t="str">
            <v>_PRE2013</v>
          </cell>
          <cell r="F55" t="str">
            <v>_PRE2013</v>
          </cell>
          <cell r="G55" t="str">
            <v>_PRE2013</v>
          </cell>
          <cell r="H55" t="str">
            <v>_PRE2013</v>
          </cell>
          <cell r="I55" t="str">
            <v>_PRE2013</v>
          </cell>
          <cell r="J55" t="str">
            <v>_PRE2013</v>
          </cell>
          <cell r="K55" t="str">
            <v>_PRE2013</v>
          </cell>
          <cell r="L55" t="str">
            <v>_PRE2013</v>
          </cell>
          <cell r="M55" t="str">
            <v>_PRE2013</v>
          </cell>
          <cell r="N55" t="str">
            <v>_PRE2013</v>
          </cell>
          <cell r="O55" t="str">
            <v>_PRE2013</v>
          </cell>
          <cell r="P55" t="str">
            <v>_PRE2013</v>
          </cell>
          <cell r="Q55" t="str">
            <v>_PRE2013</v>
          </cell>
          <cell r="R55" t="str">
            <v>_PRE2013</v>
          </cell>
          <cell r="S55" t="str">
            <v>_PRE2013</v>
          </cell>
          <cell r="T55" t="str">
            <v>_PRE2013</v>
          </cell>
          <cell r="W55" t="str">
            <v>_PRE2013</v>
          </cell>
          <cell r="X55" t="str">
            <v>Retro</v>
          </cell>
          <cell r="Y55" t="str">
            <v>_PRE2013</v>
          </cell>
        </row>
        <row r="56">
          <cell r="B56" t="str">
            <v>Evaporator Roof Top HVAC-Retro</v>
          </cell>
          <cell r="C56" t="str">
            <v>_PRE2013</v>
          </cell>
          <cell r="D56" t="str">
            <v>_PRE2013</v>
          </cell>
          <cell r="E56" t="str">
            <v>_PRE2013</v>
          </cell>
          <cell r="F56" t="str">
            <v>_PRE2013</v>
          </cell>
          <cell r="G56" t="str">
            <v>_PRE2013</v>
          </cell>
          <cell r="H56" t="str">
            <v>_PRE2013</v>
          </cell>
          <cell r="I56" t="str">
            <v>_PRE2013</v>
          </cell>
          <cell r="J56" t="str">
            <v>_PRE2013</v>
          </cell>
          <cell r="K56" t="str">
            <v>_PRE2013</v>
          </cell>
          <cell r="L56" t="str">
            <v>_PRE2013</v>
          </cell>
          <cell r="M56" t="str">
            <v>_PRE2013</v>
          </cell>
          <cell r="N56" t="str">
            <v>_PRE2013</v>
          </cell>
          <cell r="O56" t="str">
            <v>_PRE2013</v>
          </cell>
          <cell r="P56" t="str">
            <v>_PRE2013</v>
          </cell>
          <cell r="Q56" t="str">
            <v>_PRE2013</v>
          </cell>
          <cell r="R56" t="str">
            <v>_PRE2013</v>
          </cell>
          <cell r="S56" t="str">
            <v>_PRE2013</v>
          </cell>
          <cell r="T56" t="str">
            <v>_PRE2013</v>
          </cell>
          <cell r="W56" t="str">
            <v>_PRE2013</v>
          </cell>
          <cell r="X56" t="str">
            <v>Retro</v>
          </cell>
          <cell r="Y56" t="str">
            <v>_PRE2013</v>
          </cell>
        </row>
        <row r="57">
          <cell r="B57" t="str">
            <v>Secondary Glazing Systems-Retro</v>
          </cell>
          <cell r="C57" t="str">
            <v>_PRE2013</v>
          </cell>
          <cell r="D57" t="str">
            <v>_PRE2013</v>
          </cell>
          <cell r="E57" t="str">
            <v>_PRE2013</v>
          </cell>
          <cell r="F57" t="str">
            <v>_PRE2013</v>
          </cell>
          <cell r="G57" t="str">
            <v>_PRE2013</v>
          </cell>
          <cell r="H57" t="str">
            <v>_PRE2013</v>
          </cell>
          <cell r="I57" t="str">
            <v>_PRE2013</v>
          </cell>
          <cell r="J57" t="str">
            <v>_PRE2013</v>
          </cell>
          <cell r="K57" t="str">
            <v>_PRE2013</v>
          </cell>
          <cell r="L57" t="str">
            <v>_PRE2013</v>
          </cell>
          <cell r="M57" t="str">
            <v>_PRE2013</v>
          </cell>
          <cell r="N57" t="str">
            <v>_PRE2013</v>
          </cell>
          <cell r="O57" t="str">
            <v>_PRE2013</v>
          </cell>
          <cell r="P57" t="str">
            <v>_PRE2013</v>
          </cell>
          <cell r="Q57" t="str">
            <v>_PRE2013</v>
          </cell>
          <cell r="R57" t="str">
            <v>_PRE2013</v>
          </cell>
          <cell r="S57" t="str">
            <v>_PRE2013</v>
          </cell>
          <cell r="T57" t="str">
            <v>_PRE2013</v>
          </cell>
          <cell r="W57" t="str">
            <v>_PRE2013</v>
          </cell>
          <cell r="X57" t="str">
            <v>Retro</v>
          </cell>
          <cell r="Y57" t="str">
            <v>_PRE2013</v>
          </cell>
        </row>
        <row r="58">
          <cell r="B58" t="str">
            <v>LPD Package-New</v>
          </cell>
          <cell r="C58" t="str">
            <v>POST2013</v>
          </cell>
          <cell r="D58" t="str">
            <v>POST2013</v>
          </cell>
          <cell r="E58" t="str">
            <v>POST2013</v>
          </cell>
          <cell r="F58" t="str">
            <v>POST2013</v>
          </cell>
          <cell r="G58" t="str">
            <v>POST2013</v>
          </cell>
          <cell r="H58" t="str">
            <v>POST2013</v>
          </cell>
          <cell r="I58" t="str">
            <v>POST2013</v>
          </cell>
          <cell r="J58" t="str">
            <v>POST2013</v>
          </cell>
          <cell r="K58" t="str">
            <v>POST2013</v>
          </cell>
          <cell r="L58" t="str">
            <v>POST2013</v>
          </cell>
          <cell r="M58" t="str">
            <v>POST2013</v>
          </cell>
          <cell r="N58" t="str">
            <v>POST2013</v>
          </cell>
          <cell r="O58" t="str">
            <v>POST2013</v>
          </cell>
          <cell r="P58" t="str">
            <v>POST2013</v>
          </cell>
          <cell r="Q58" t="str">
            <v>POST2013</v>
          </cell>
          <cell r="R58" t="str">
            <v>POST2013</v>
          </cell>
          <cell r="S58" t="str">
            <v>POST2013</v>
          </cell>
          <cell r="T58" t="str">
            <v>POST2013</v>
          </cell>
          <cell r="W58" t="str">
            <v>POST2013</v>
          </cell>
          <cell r="X58" t="str">
            <v>New</v>
          </cell>
          <cell r="Y58" t="str">
            <v>POST2013</v>
          </cell>
        </row>
        <row r="59">
          <cell r="B59" t="str">
            <v>LPD Package-NR</v>
          </cell>
          <cell r="C59" t="str">
            <v>_PRE2013</v>
          </cell>
          <cell r="D59" t="str">
            <v>_PRE2013</v>
          </cell>
          <cell r="E59" t="str">
            <v>_PRE2013</v>
          </cell>
          <cell r="F59" t="str">
            <v>_PRE2013</v>
          </cell>
          <cell r="G59" t="str">
            <v>_PRE2013</v>
          </cell>
          <cell r="H59" t="str">
            <v>_PRE2013</v>
          </cell>
          <cell r="I59" t="str">
            <v>_PRE2013</v>
          </cell>
          <cell r="J59" t="str">
            <v>_PRE2013</v>
          </cell>
          <cell r="K59" t="str">
            <v>_PRE2013</v>
          </cell>
          <cell r="L59" t="str">
            <v>_PRE2013</v>
          </cell>
          <cell r="M59" t="str">
            <v>_PRE2013</v>
          </cell>
          <cell r="N59" t="str">
            <v>_PRE2013</v>
          </cell>
          <cell r="O59" t="str">
            <v>_PRE2013</v>
          </cell>
          <cell r="P59" t="str">
            <v>_PRE2013</v>
          </cell>
          <cell r="Q59" t="str">
            <v>_PRE2013</v>
          </cell>
          <cell r="R59" t="str">
            <v>_PRE2013</v>
          </cell>
          <cell r="S59" t="str">
            <v>_PRE2013</v>
          </cell>
          <cell r="T59" t="str">
            <v>_PRE2013</v>
          </cell>
          <cell r="W59" t="str">
            <v>_PRE2013</v>
          </cell>
          <cell r="X59" t="str">
            <v>NR</v>
          </cell>
          <cell r="Y59" t="str">
            <v>_PRE2013</v>
          </cell>
        </row>
        <row r="60">
          <cell r="B60" t="str">
            <v>LPD Package-Retro</v>
          </cell>
          <cell r="C60" t="str">
            <v>_PRE2013</v>
          </cell>
          <cell r="D60" t="str">
            <v>_PRE2013</v>
          </cell>
          <cell r="E60" t="str">
            <v>_PRE2013</v>
          </cell>
          <cell r="F60" t="str">
            <v>_PRE2013</v>
          </cell>
          <cell r="G60" t="str">
            <v>_PRE2013</v>
          </cell>
          <cell r="H60" t="str">
            <v>_PRE2013</v>
          </cell>
          <cell r="I60" t="str">
            <v>_PRE2013</v>
          </cell>
          <cell r="J60" t="str">
            <v>_PRE2013</v>
          </cell>
          <cell r="K60" t="str">
            <v>_PRE2013</v>
          </cell>
          <cell r="L60" t="str">
            <v>_PRE2013</v>
          </cell>
          <cell r="M60" t="str">
            <v>_PRE2013</v>
          </cell>
          <cell r="N60" t="str">
            <v>_PRE2013</v>
          </cell>
          <cell r="O60" t="str">
            <v>_PRE2013</v>
          </cell>
          <cell r="P60" t="str">
            <v>_PRE2013</v>
          </cell>
          <cell r="Q60" t="str">
            <v>_PRE2013</v>
          </cell>
          <cell r="R60" t="str">
            <v>_PRE2013</v>
          </cell>
          <cell r="S60" t="str">
            <v>_PRE2013</v>
          </cell>
          <cell r="T60" t="str">
            <v>_PRE2013</v>
          </cell>
          <cell r="W60" t="str">
            <v>_PRE2013</v>
          </cell>
          <cell r="X60" t="str">
            <v>Retro</v>
          </cell>
          <cell r="Y60" t="str">
            <v>_PRE2013</v>
          </cell>
        </row>
        <row r="61">
          <cell r="B61" t="str">
            <v>Top Daylighting-New</v>
          </cell>
          <cell r="C61" t="str">
            <v>POST2013</v>
          </cell>
          <cell r="D61" t="str">
            <v>POST2013</v>
          </cell>
          <cell r="E61" t="str">
            <v>POST2013</v>
          </cell>
          <cell r="F61" t="str">
            <v>POST2013</v>
          </cell>
          <cell r="G61" t="str">
            <v>POST2013</v>
          </cell>
          <cell r="H61" t="str">
            <v>POST2013</v>
          </cell>
          <cell r="I61" t="str">
            <v>POST2013</v>
          </cell>
          <cell r="J61" t="str">
            <v>POST2013</v>
          </cell>
          <cell r="K61" t="str">
            <v>POST2013</v>
          </cell>
          <cell r="L61" t="str">
            <v>POST2013</v>
          </cell>
          <cell r="M61" t="str">
            <v>POST2013</v>
          </cell>
          <cell r="N61" t="str">
            <v>POST2013</v>
          </cell>
          <cell r="O61" t="str">
            <v>POST2013</v>
          </cell>
          <cell r="P61" t="str">
            <v>POST2013</v>
          </cell>
          <cell r="Q61" t="str">
            <v>POST2013</v>
          </cell>
          <cell r="R61" t="str">
            <v>POST2013</v>
          </cell>
          <cell r="S61" t="str">
            <v>POST2013</v>
          </cell>
          <cell r="T61" t="str">
            <v>POST2013</v>
          </cell>
          <cell r="W61" t="str">
            <v>POST2013</v>
          </cell>
          <cell r="X61" t="str">
            <v>New</v>
          </cell>
          <cell r="Y61" t="str">
            <v>POST2013</v>
          </cell>
        </row>
        <row r="62">
          <cell r="B62" t="str">
            <v>Perimeter Daylighting Controls Advanced-New</v>
          </cell>
          <cell r="C62" t="str">
            <v>POST2013</v>
          </cell>
          <cell r="D62" t="str">
            <v>POST2013</v>
          </cell>
          <cell r="E62" t="str">
            <v>POST2013</v>
          </cell>
          <cell r="F62" t="str">
            <v>POST2013</v>
          </cell>
          <cell r="G62" t="str">
            <v>POST2013</v>
          </cell>
          <cell r="H62" t="str">
            <v>POST2013</v>
          </cell>
          <cell r="I62" t="str">
            <v>POST2013</v>
          </cell>
          <cell r="J62" t="str">
            <v>POST2013</v>
          </cell>
          <cell r="K62" t="str">
            <v>POST2013</v>
          </cell>
          <cell r="L62" t="str">
            <v>POST2013</v>
          </cell>
          <cell r="M62" t="str">
            <v>POST2013</v>
          </cell>
          <cell r="N62" t="str">
            <v>POST2013</v>
          </cell>
          <cell r="O62" t="str">
            <v>POST2013</v>
          </cell>
          <cell r="P62" t="str">
            <v>POST2013</v>
          </cell>
          <cell r="Q62" t="str">
            <v>POST2013</v>
          </cell>
          <cell r="R62" t="str">
            <v>POST2013</v>
          </cell>
          <cell r="S62" t="str">
            <v>POST2013</v>
          </cell>
          <cell r="T62" t="str">
            <v>POST2013</v>
          </cell>
          <cell r="W62" t="str">
            <v>POST2013</v>
          </cell>
          <cell r="X62" t="str">
            <v>New</v>
          </cell>
          <cell r="Y62" t="str">
            <v>POST2013</v>
          </cell>
        </row>
        <row r="63">
          <cell r="B63" t="str">
            <v>Perimeter Daylighting Controls Advanced-NR</v>
          </cell>
          <cell r="C63" t="str">
            <v>POST2013</v>
          </cell>
          <cell r="D63" t="str">
            <v>POST2013</v>
          </cell>
          <cell r="E63" t="str">
            <v>POST2013</v>
          </cell>
          <cell r="F63" t="str">
            <v>POST2013</v>
          </cell>
          <cell r="G63" t="str">
            <v>POST2013</v>
          </cell>
          <cell r="H63" t="str">
            <v>POST2013</v>
          </cell>
          <cell r="I63" t="str">
            <v>POST2013</v>
          </cell>
          <cell r="J63" t="str">
            <v>POST2013</v>
          </cell>
          <cell r="K63" t="str">
            <v>POST2013</v>
          </cell>
          <cell r="L63" t="str">
            <v>POST2013</v>
          </cell>
          <cell r="M63" t="str">
            <v>POST2013</v>
          </cell>
          <cell r="N63" t="str">
            <v>POST2013</v>
          </cell>
          <cell r="O63" t="str">
            <v>POST2013</v>
          </cell>
          <cell r="P63" t="str">
            <v>POST2013</v>
          </cell>
          <cell r="Q63" t="str">
            <v>POST2013</v>
          </cell>
          <cell r="R63" t="str">
            <v>POST2013</v>
          </cell>
          <cell r="S63" t="str">
            <v>POST2013</v>
          </cell>
          <cell r="T63" t="str">
            <v>POST2013</v>
          </cell>
          <cell r="W63" t="str">
            <v>POST2013</v>
          </cell>
          <cell r="X63" t="str">
            <v>NR</v>
          </cell>
          <cell r="Y63" t="str">
            <v>POST2013</v>
          </cell>
        </row>
        <row r="64">
          <cell r="B64" t="str">
            <v>Lighting Controls Interior-New</v>
          </cell>
          <cell r="C64" t="str">
            <v>POST2013</v>
          </cell>
          <cell r="D64" t="str">
            <v>POST2013</v>
          </cell>
          <cell r="E64" t="str">
            <v>POST2013</v>
          </cell>
          <cell r="F64" t="str">
            <v>POST2013</v>
          </cell>
          <cell r="G64" t="str">
            <v>POST2013</v>
          </cell>
          <cell r="H64" t="str">
            <v>POST2013</v>
          </cell>
          <cell r="I64" t="str">
            <v>POST2013</v>
          </cell>
          <cell r="J64" t="str">
            <v>POST2013</v>
          </cell>
          <cell r="K64" t="str">
            <v>POST2013</v>
          </cell>
          <cell r="L64" t="str">
            <v>POST2013</v>
          </cell>
          <cell r="M64" t="str">
            <v>POST2013</v>
          </cell>
          <cell r="N64" t="str">
            <v>POST2013</v>
          </cell>
          <cell r="O64" t="str">
            <v>POST2013</v>
          </cell>
          <cell r="P64" t="str">
            <v>POST2013</v>
          </cell>
          <cell r="Q64" t="str">
            <v>POST2013</v>
          </cell>
          <cell r="R64" t="str">
            <v>POST2013</v>
          </cell>
          <cell r="S64" t="str">
            <v>POST2013</v>
          </cell>
          <cell r="T64" t="str">
            <v>POST2013</v>
          </cell>
          <cell r="W64" t="str">
            <v>POST2013</v>
          </cell>
          <cell r="X64" t="str">
            <v>New</v>
          </cell>
          <cell r="Y64" t="str">
            <v>POST2013</v>
          </cell>
        </row>
        <row r="65">
          <cell r="B65" t="str">
            <v>Lighting Controls Interior-NR</v>
          </cell>
          <cell r="C65" t="str">
            <v>_PRE2013</v>
          </cell>
          <cell r="D65" t="str">
            <v>_PRE2013</v>
          </cell>
          <cell r="E65" t="str">
            <v>_PRE2013</v>
          </cell>
          <cell r="F65" t="str">
            <v>_PRE2013</v>
          </cell>
          <cell r="G65" t="str">
            <v>_PRE2013</v>
          </cell>
          <cell r="H65" t="str">
            <v>_PRE2013</v>
          </cell>
          <cell r="I65" t="str">
            <v>_PRE2013</v>
          </cell>
          <cell r="J65" t="str">
            <v>_PRE2013</v>
          </cell>
          <cell r="K65" t="str">
            <v>_PRE2013</v>
          </cell>
          <cell r="L65" t="str">
            <v>_PRE2013</v>
          </cell>
          <cell r="M65" t="str">
            <v>_PRE2013</v>
          </cell>
          <cell r="N65" t="str">
            <v>_PRE2013</v>
          </cell>
          <cell r="O65" t="str">
            <v>_PRE2013</v>
          </cell>
          <cell r="P65" t="str">
            <v>_PRE2013</v>
          </cell>
          <cell r="Q65" t="str">
            <v>_PRE2013</v>
          </cell>
          <cell r="R65" t="str">
            <v>_PRE2013</v>
          </cell>
          <cell r="S65" t="str">
            <v>_PRE2013</v>
          </cell>
          <cell r="T65" t="str">
            <v>_PRE2013</v>
          </cell>
          <cell r="W65" t="str">
            <v>_PRE2013</v>
          </cell>
          <cell r="X65" t="str">
            <v>NR</v>
          </cell>
          <cell r="Y65" t="str">
            <v>_PRE2013</v>
          </cell>
        </row>
        <row r="66">
          <cell r="B66" t="str">
            <v>Exterior Building Lighting-New</v>
          </cell>
          <cell r="C66" t="str">
            <v>POST2013</v>
          </cell>
          <cell r="D66" t="str">
            <v>POST2013</v>
          </cell>
          <cell r="E66" t="str">
            <v>POST2013</v>
          </cell>
          <cell r="F66" t="str">
            <v>POST2013</v>
          </cell>
          <cell r="G66" t="str">
            <v>POST2013</v>
          </cell>
          <cell r="H66" t="str">
            <v>POST2013</v>
          </cell>
          <cell r="I66" t="str">
            <v>POST2013</v>
          </cell>
          <cell r="J66" t="str">
            <v>POST2013</v>
          </cell>
          <cell r="K66" t="str">
            <v>POST2013</v>
          </cell>
          <cell r="L66" t="str">
            <v>POST2013</v>
          </cell>
          <cell r="M66" t="str">
            <v>POST2013</v>
          </cell>
          <cell r="N66" t="str">
            <v>POST2013</v>
          </cell>
          <cell r="O66" t="str">
            <v>POST2013</v>
          </cell>
          <cell r="P66" t="str">
            <v>POST2013</v>
          </cell>
          <cell r="Q66" t="str">
            <v>POST2013</v>
          </cell>
          <cell r="R66" t="str">
            <v>POST2013</v>
          </cell>
          <cell r="S66" t="str">
            <v>POST2013</v>
          </cell>
          <cell r="T66" t="str">
            <v>POST2013</v>
          </cell>
          <cell r="W66" t="str">
            <v>POST2013</v>
          </cell>
          <cell r="X66" t="str">
            <v>New</v>
          </cell>
          <cell r="Y66" t="str">
            <v>POST2013</v>
          </cell>
        </row>
        <row r="67">
          <cell r="B67" t="str">
            <v>Exterior Building Lighting-NR</v>
          </cell>
          <cell r="C67" t="str">
            <v>POST2013</v>
          </cell>
          <cell r="D67" t="str">
            <v>POST2013</v>
          </cell>
          <cell r="E67" t="str">
            <v>POST2013</v>
          </cell>
          <cell r="F67" t="str">
            <v>POST2013</v>
          </cell>
          <cell r="G67" t="str">
            <v>POST2013</v>
          </cell>
          <cell r="H67" t="str">
            <v>POST2013</v>
          </cell>
          <cell r="I67" t="str">
            <v>POST2013</v>
          </cell>
          <cell r="J67" t="str">
            <v>POST2013</v>
          </cell>
          <cell r="K67" t="str">
            <v>POST2013</v>
          </cell>
          <cell r="L67" t="str">
            <v>POST2013</v>
          </cell>
          <cell r="M67" t="str">
            <v>POST2013</v>
          </cell>
          <cell r="N67" t="str">
            <v>POST2013</v>
          </cell>
          <cell r="O67" t="str">
            <v>POST2013</v>
          </cell>
          <cell r="P67" t="str">
            <v>POST2013</v>
          </cell>
          <cell r="Q67" t="str">
            <v>POST2013</v>
          </cell>
          <cell r="R67" t="str">
            <v>POST2013</v>
          </cell>
          <cell r="S67" t="str">
            <v>POST2013</v>
          </cell>
          <cell r="T67" t="str">
            <v>POST2013</v>
          </cell>
          <cell r="W67" t="str">
            <v>POST2013</v>
          </cell>
          <cell r="X67" t="str">
            <v>NR</v>
          </cell>
          <cell r="Y67" t="str">
            <v>POST2013</v>
          </cell>
        </row>
        <row r="68">
          <cell r="B68" t="str">
            <v>Street and Roadway Lighting-New</v>
          </cell>
          <cell r="C68" t="str">
            <v>POST2013</v>
          </cell>
          <cell r="D68" t="str">
            <v>POST2013</v>
          </cell>
          <cell r="E68" t="str">
            <v>POST2013</v>
          </cell>
          <cell r="F68" t="str">
            <v>POST2013</v>
          </cell>
          <cell r="G68" t="str">
            <v>POST2013</v>
          </cell>
          <cell r="H68" t="str">
            <v>POST2013</v>
          </cell>
          <cell r="I68" t="str">
            <v>POST2013</v>
          </cell>
          <cell r="J68" t="str">
            <v>POST2013</v>
          </cell>
          <cell r="K68" t="str">
            <v>POST2013</v>
          </cell>
          <cell r="L68" t="str">
            <v>POST2013</v>
          </cell>
          <cell r="M68" t="str">
            <v>POST2013</v>
          </cell>
          <cell r="N68" t="str">
            <v>POST2013</v>
          </cell>
          <cell r="O68" t="str">
            <v>POST2013</v>
          </cell>
          <cell r="P68" t="str">
            <v>POST2013</v>
          </cell>
          <cell r="Q68" t="str">
            <v>POST2013</v>
          </cell>
          <cell r="R68" t="str">
            <v>POST2013</v>
          </cell>
          <cell r="S68" t="str">
            <v>POST2013</v>
          </cell>
          <cell r="T68" t="str">
            <v>POST2013</v>
          </cell>
          <cell r="W68" t="str">
            <v>POST2013</v>
          </cell>
          <cell r="X68" t="str">
            <v>New</v>
          </cell>
          <cell r="Y68" t="str">
            <v>POST2013</v>
          </cell>
        </row>
        <row r="69">
          <cell r="B69" t="str">
            <v>Street and Roadway Lighting-NR</v>
          </cell>
          <cell r="C69" t="str">
            <v>POST2013</v>
          </cell>
          <cell r="D69" t="str">
            <v>POST2013</v>
          </cell>
          <cell r="E69" t="str">
            <v>POST2013</v>
          </cell>
          <cell r="F69" t="str">
            <v>POST2013</v>
          </cell>
          <cell r="G69" t="str">
            <v>POST2013</v>
          </cell>
          <cell r="H69" t="str">
            <v>POST2013</v>
          </cell>
          <cell r="I69" t="str">
            <v>POST2013</v>
          </cell>
          <cell r="J69" t="str">
            <v>POST2013</v>
          </cell>
          <cell r="K69" t="str">
            <v>POST2013</v>
          </cell>
          <cell r="L69" t="str">
            <v>POST2013</v>
          </cell>
          <cell r="M69" t="str">
            <v>POST2013</v>
          </cell>
          <cell r="N69" t="str">
            <v>POST2013</v>
          </cell>
          <cell r="O69" t="str">
            <v>POST2013</v>
          </cell>
          <cell r="P69" t="str">
            <v>POST2013</v>
          </cell>
          <cell r="Q69" t="str">
            <v>POST2013</v>
          </cell>
          <cell r="R69" t="str">
            <v>POST2013</v>
          </cell>
          <cell r="S69" t="str">
            <v>POST2013</v>
          </cell>
          <cell r="T69" t="str">
            <v>POST2013</v>
          </cell>
          <cell r="W69" t="str">
            <v>POST2013</v>
          </cell>
          <cell r="X69" t="str">
            <v>NR</v>
          </cell>
          <cell r="Y69" t="str">
            <v>POST2013</v>
          </cell>
        </row>
        <row r="70">
          <cell r="B70" t="str">
            <v>Parking Lighting-New</v>
          </cell>
          <cell r="C70" t="str">
            <v>POST2013</v>
          </cell>
          <cell r="D70" t="str">
            <v>POST2013</v>
          </cell>
          <cell r="E70" t="str">
            <v>POST2013</v>
          </cell>
          <cell r="F70" t="str">
            <v>POST2013</v>
          </cell>
          <cell r="G70" t="str">
            <v>POST2013</v>
          </cell>
          <cell r="H70" t="str">
            <v>POST2013</v>
          </cell>
          <cell r="I70" t="str">
            <v>POST2013</v>
          </cell>
          <cell r="J70" t="str">
            <v>POST2013</v>
          </cell>
          <cell r="K70" t="str">
            <v>POST2013</v>
          </cell>
          <cell r="L70" t="str">
            <v>POST2013</v>
          </cell>
          <cell r="M70" t="str">
            <v>POST2013</v>
          </cell>
          <cell r="N70" t="str">
            <v>POST2013</v>
          </cell>
          <cell r="O70" t="str">
            <v>POST2013</v>
          </cell>
          <cell r="P70" t="str">
            <v>POST2013</v>
          </cell>
          <cell r="Q70" t="str">
            <v>POST2013</v>
          </cell>
          <cell r="R70" t="str">
            <v>POST2013</v>
          </cell>
          <cell r="S70" t="str">
            <v>POST2013</v>
          </cell>
          <cell r="T70" t="str">
            <v>POST2013</v>
          </cell>
          <cell r="W70" t="str">
            <v>POST2013</v>
          </cell>
          <cell r="X70" t="str">
            <v>New</v>
          </cell>
          <cell r="Y70" t="str">
            <v>POST2013</v>
          </cell>
        </row>
        <row r="71">
          <cell r="B71" t="str">
            <v>Parking Lighting-NR</v>
          </cell>
          <cell r="C71" t="str">
            <v>POST2013</v>
          </cell>
          <cell r="D71" t="str">
            <v>POST2013</v>
          </cell>
          <cell r="E71" t="str">
            <v>POST2013</v>
          </cell>
          <cell r="F71" t="str">
            <v>POST2013</v>
          </cell>
          <cell r="G71" t="str">
            <v>POST2013</v>
          </cell>
          <cell r="H71" t="str">
            <v>POST2013</v>
          </cell>
          <cell r="I71" t="str">
            <v>POST2013</v>
          </cell>
          <cell r="J71" t="str">
            <v>POST2013</v>
          </cell>
          <cell r="K71" t="str">
            <v>POST2013</v>
          </cell>
          <cell r="L71" t="str">
            <v>POST2013</v>
          </cell>
          <cell r="M71" t="str">
            <v>POST2013</v>
          </cell>
          <cell r="N71" t="str">
            <v>POST2013</v>
          </cell>
          <cell r="O71" t="str">
            <v>POST2013</v>
          </cell>
          <cell r="P71" t="str">
            <v>POST2013</v>
          </cell>
          <cell r="Q71" t="str">
            <v>POST2013</v>
          </cell>
          <cell r="R71" t="str">
            <v>POST2013</v>
          </cell>
          <cell r="S71" t="str">
            <v>POST2013</v>
          </cell>
          <cell r="T71" t="str">
            <v>POST2013</v>
          </cell>
          <cell r="W71" t="str">
            <v>POST2013</v>
          </cell>
          <cell r="X71" t="str">
            <v>NR</v>
          </cell>
          <cell r="Y71" t="str">
            <v>POST2013</v>
          </cell>
        </row>
        <row r="72">
          <cell r="B72" t="str">
            <v>Bi-Level Stairwell Lighting-NR</v>
          </cell>
          <cell r="C72" t="str">
            <v>_PRE2013</v>
          </cell>
          <cell r="D72" t="str">
            <v>_PRE2013</v>
          </cell>
          <cell r="E72" t="str">
            <v>_PRE2013</v>
          </cell>
          <cell r="F72" t="str">
            <v>_PRE2013</v>
          </cell>
          <cell r="G72" t="str">
            <v>_PRE2013</v>
          </cell>
          <cell r="H72" t="str">
            <v>_PRE2013</v>
          </cell>
          <cell r="I72" t="str">
            <v>_PRE2013</v>
          </cell>
          <cell r="J72" t="str">
            <v>_PRE2013</v>
          </cell>
          <cell r="K72" t="str">
            <v>_PRE2013</v>
          </cell>
          <cell r="L72" t="str">
            <v>_PRE2013</v>
          </cell>
          <cell r="M72" t="str">
            <v>_PRE2013</v>
          </cell>
          <cell r="N72" t="str">
            <v>_PRE2013</v>
          </cell>
          <cell r="O72" t="str">
            <v>_PRE2013</v>
          </cell>
          <cell r="P72" t="str">
            <v>_PRE2013</v>
          </cell>
          <cell r="Q72" t="str">
            <v>_PRE2013</v>
          </cell>
          <cell r="R72" t="str">
            <v>_PRE2013</v>
          </cell>
          <cell r="S72" t="str">
            <v>_PRE2013</v>
          </cell>
          <cell r="T72" t="str">
            <v>_PRE2013</v>
          </cell>
          <cell r="W72" t="str">
            <v>_PRE2013</v>
          </cell>
          <cell r="X72" t="str">
            <v>NR</v>
          </cell>
          <cell r="Y72" t="str">
            <v>POST2013</v>
          </cell>
        </row>
        <row r="73">
          <cell r="B73" t="str">
            <v>ECM-VAV-New</v>
          </cell>
          <cell r="C73" t="str">
            <v>POST2013</v>
          </cell>
          <cell r="D73" t="str">
            <v>POST2013</v>
          </cell>
          <cell r="E73" t="str">
            <v>POST2013</v>
          </cell>
          <cell r="F73" t="str">
            <v>POST2013</v>
          </cell>
          <cell r="G73" t="str">
            <v>POST2013</v>
          </cell>
          <cell r="H73" t="str">
            <v>POST2013</v>
          </cell>
          <cell r="I73" t="str">
            <v>POST2013</v>
          </cell>
          <cell r="J73" t="str">
            <v>POST2013</v>
          </cell>
          <cell r="K73" t="str">
            <v>POST2013</v>
          </cell>
          <cell r="L73" t="str">
            <v>POST2013</v>
          </cell>
          <cell r="M73" t="str">
            <v>POST2013</v>
          </cell>
          <cell r="N73" t="str">
            <v>POST2013</v>
          </cell>
          <cell r="O73" t="str">
            <v>POST2013</v>
          </cell>
          <cell r="P73" t="str">
            <v>POST2013</v>
          </cell>
          <cell r="Q73" t="str">
            <v>POST2013</v>
          </cell>
          <cell r="R73" t="str">
            <v>POST2013</v>
          </cell>
          <cell r="S73" t="str">
            <v>POST2013</v>
          </cell>
          <cell r="T73" t="str">
            <v>POST2013</v>
          </cell>
          <cell r="W73" t="str">
            <v>POST2013</v>
          </cell>
          <cell r="X73" t="str">
            <v>New</v>
          </cell>
          <cell r="Y73" t="str">
            <v>POST2013</v>
          </cell>
        </row>
        <row r="74">
          <cell r="B74" t="str">
            <v>ECM-VAV-NR</v>
          </cell>
          <cell r="C74" t="str">
            <v>POST2013</v>
          </cell>
          <cell r="D74" t="str">
            <v>POST2013</v>
          </cell>
          <cell r="E74" t="str">
            <v>POST2013</v>
          </cell>
          <cell r="F74" t="str">
            <v>POST2013</v>
          </cell>
          <cell r="G74" t="str">
            <v>POST2013</v>
          </cell>
          <cell r="H74" t="str">
            <v>POST2013</v>
          </cell>
          <cell r="I74" t="str">
            <v>POST2013</v>
          </cell>
          <cell r="J74" t="str">
            <v>POST2013</v>
          </cell>
          <cell r="K74" t="str">
            <v>POST2013</v>
          </cell>
          <cell r="L74" t="str">
            <v>POST2013</v>
          </cell>
          <cell r="M74" t="str">
            <v>POST2013</v>
          </cell>
          <cell r="N74" t="str">
            <v>POST2013</v>
          </cell>
          <cell r="O74" t="str">
            <v>POST2013</v>
          </cell>
          <cell r="P74" t="str">
            <v>POST2013</v>
          </cell>
          <cell r="Q74" t="str">
            <v>POST2013</v>
          </cell>
          <cell r="R74" t="str">
            <v>POST2013</v>
          </cell>
          <cell r="S74" t="str">
            <v>POST2013</v>
          </cell>
          <cell r="T74" t="str">
            <v>POST2013</v>
          </cell>
          <cell r="W74" t="str">
            <v>POST2013</v>
          </cell>
          <cell r="X74" t="str">
            <v>NR</v>
          </cell>
          <cell r="Y74" t="str">
            <v>POST2013</v>
          </cell>
        </row>
        <row r="75">
          <cell r="B75" t="str">
            <v>Pool pumps-Retro</v>
          </cell>
          <cell r="C75" t="str">
            <v>_PRE2013</v>
          </cell>
          <cell r="D75" t="str">
            <v>_PRE2013</v>
          </cell>
          <cell r="E75" t="str">
            <v>_PRE2013</v>
          </cell>
          <cell r="F75" t="str">
            <v>_PRE2013</v>
          </cell>
          <cell r="G75" t="str">
            <v>_PRE2013</v>
          </cell>
          <cell r="H75" t="str">
            <v>_PRE2013</v>
          </cell>
          <cell r="I75" t="str">
            <v>_PRE2013</v>
          </cell>
          <cell r="J75" t="str">
            <v>_PRE2013</v>
          </cell>
          <cell r="K75" t="str">
            <v>_PRE2013</v>
          </cell>
          <cell r="L75" t="str">
            <v>_PRE2013</v>
          </cell>
          <cell r="M75" t="str">
            <v>_PRE2013</v>
          </cell>
          <cell r="N75" t="str">
            <v>_PRE2013</v>
          </cell>
          <cell r="O75" t="str">
            <v>_PRE2013</v>
          </cell>
          <cell r="P75" t="str">
            <v>_PRE2013</v>
          </cell>
          <cell r="Q75" t="str">
            <v>_PRE2013</v>
          </cell>
          <cell r="R75" t="str">
            <v>_PRE2013</v>
          </cell>
          <cell r="S75" t="str">
            <v>_PRE2013</v>
          </cell>
          <cell r="T75" t="str">
            <v>_PRE2013</v>
          </cell>
          <cell r="W75" t="str">
            <v>_PRE2013</v>
          </cell>
          <cell r="X75" t="str">
            <v>Retro</v>
          </cell>
          <cell r="Y75" t="str">
            <v>_PRE2013</v>
          </cell>
        </row>
        <row r="76">
          <cell r="B76" t="str">
            <v>MotorsRewind-New</v>
          </cell>
          <cell r="C76" t="str">
            <v>_PRE2013</v>
          </cell>
          <cell r="D76" t="str">
            <v>_PRE2013</v>
          </cell>
          <cell r="E76" t="str">
            <v>_PRE2013</v>
          </cell>
          <cell r="F76" t="str">
            <v>_PRE2013</v>
          </cell>
          <cell r="G76" t="str">
            <v>_PRE2013</v>
          </cell>
          <cell r="H76" t="str">
            <v>_PRE2013</v>
          </cell>
          <cell r="I76" t="str">
            <v>_PRE2013</v>
          </cell>
          <cell r="J76" t="str">
            <v>_PRE2013</v>
          </cell>
          <cell r="K76" t="str">
            <v>_PRE2013</v>
          </cell>
          <cell r="L76" t="str">
            <v>_PRE2013</v>
          </cell>
          <cell r="M76" t="str">
            <v>_PRE2013</v>
          </cell>
          <cell r="N76" t="str">
            <v>_PRE2013</v>
          </cell>
          <cell r="O76" t="str">
            <v>_PRE2013</v>
          </cell>
          <cell r="P76" t="str">
            <v>_PRE2013</v>
          </cell>
          <cell r="Q76" t="str">
            <v>_PRE2013</v>
          </cell>
          <cell r="R76" t="str">
            <v>_PRE2013</v>
          </cell>
          <cell r="S76" t="str">
            <v>_PRE2013</v>
          </cell>
          <cell r="T76" t="str">
            <v>_PRE2013</v>
          </cell>
          <cell r="W76" t="str">
            <v>_PRE2013</v>
          </cell>
          <cell r="X76" t="str">
            <v>New</v>
          </cell>
          <cell r="Y76" t="str">
            <v>POST2013</v>
          </cell>
        </row>
        <row r="77">
          <cell r="B77" t="str">
            <v>MotorsRewind-NR</v>
          </cell>
          <cell r="C77" t="str">
            <v>POST2013</v>
          </cell>
          <cell r="D77" t="str">
            <v>POST2013</v>
          </cell>
          <cell r="E77" t="str">
            <v>POST2013</v>
          </cell>
          <cell r="F77" t="str">
            <v>POST2013</v>
          </cell>
          <cell r="G77" t="str">
            <v>POST2013</v>
          </cell>
          <cell r="H77" t="str">
            <v>POST2013</v>
          </cell>
          <cell r="I77" t="str">
            <v>POST2013</v>
          </cell>
          <cell r="J77" t="str">
            <v>POST2013</v>
          </cell>
          <cell r="K77" t="str">
            <v>POST2013</v>
          </cell>
          <cell r="L77" t="str">
            <v>POST2013</v>
          </cell>
          <cell r="M77" t="str">
            <v>POST2013</v>
          </cell>
          <cell r="N77" t="str">
            <v>POST2013</v>
          </cell>
          <cell r="O77" t="str">
            <v>POST2013</v>
          </cell>
          <cell r="P77" t="str">
            <v>POST2013</v>
          </cell>
          <cell r="Q77" t="str">
            <v>POST2013</v>
          </cell>
          <cell r="R77" t="str">
            <v>POST2013</v>
          </cell>
          <cell r="S77" t="str">
            <v>POST2013</v>
          </cell>
          <cell r="T77" t="str">
            <v>POST2013</v>
          </cell>
          <cell r="W77" t="str">
            <v>POST2013</v>
          </cell>
          <cell r="X77" t="str">
            <v>NR</v>
          </cell>
          <cell r="Y77" t="str">
            <v>POST2013</v>
          </cell>
        </row>
        <row r="78">
          <cell r="B78" t="str">
            <v>Municipal Sewage Treatment-Retro</v>
          </cell>
          <cell r="C78" t="str">
            <v>_PRE2013</v>
          </cell>
          <cell r="D78" t="str">
            <v>_PRE2013</v>
          </cell>
          <cell r="E78" t="str">
            <v>_PRE2013</v>
          </cell>
          <cell r="F78" t="str">
            <v>_PRE2013</v>
          </cell>
          <cell r="G78" t="str">
            <v>_PRE2013</v>
          </cell>
          <cell r="H78" t="str">
            <v>_PRE2013</v>
          </cell>
          <cell r="I78" t="str">
            <v>_PRE2013</v>
          </cell>
          <cell r="J78" t="str">
            <v>_PRE2013</v>
          </cell>
          <cell r="K78" t="str">
            <v>_PRE2013</v>
          </cell>
          <cell r="L78" t="str">
            <v>_PRE2013</v>
          </cell>
          <cell r="M78" t="str">
            <v>_PRE2013</v>
          </cell>
          <cell r="N78" t="str">
            <v>_PRE2013</v>
          </cell>
          <cell r="O78" t="str">
            <v>_PRE2013</v>
          </cell>
          <cell r="P78" t="str">
            <v>_PRE2013</v>
          </cell>
          <cell r="Q78" t="str">
            <v>_PRE2013</v>
          </cell>
          <cell r="R78" t="str">
            <v>_PRE2013</v>
          </cell>
          <cell r="S78" t="str">
            <v>_PRE2013</v>
          </cell>
          <cell r="T78" t="str">
            <v>_PRE2013</v>
          </cell>
          <cell r="W78" t="str">
            <v>_PRE2013</v>
          </cell>
          <cell r="X78" t="str">
            <v>Retro</v>
          </cell>
          <cell r="Y78" t="str">
            <v>_PRE2013</v>
          </cell>
        </row>
        <row r="79">
          <cell r="B79" t="str">
            <v>Municipal Water Supply-Retro</v>
          </cell>
          <cell r="C79" t="str">
            <v>_PRE2013</v>
          </cell>
          <cell r="D79" t="str">
            <v>_PRE2013</v>
          </cell>
          <cell r="E79" t="str">
            <v>_PRE2013</v>
          </cell>
          <cell r="F79" t="str">
            <v>_PRE2013</v>
          </cell>
          <cell r="G79" t="str">
            <v>_PRE2013</v>
          </cell>
          <cell r="H79" t="str">
            <v>_PRE2013</v>
          </cell>
          <cell r="I79" t="str">
            <v>_PRE2013</v>
          </cell>
          <cell r="J79" t="str">
            <v>_PRE2013</v>
          </cell>
          <cell r="K79" t="str">
            <v>_PRE2013</v>
          </cell>
          <cell r="L79" t="str">
            <v>_PRE2013</v>
          </cell>
          <cell r="M79" t="str">
            <v>_PRE2013</v>
          </cell>
          <cell r="N79" t="str">
            <v>_PRE2013</v>
          </cell>
          <cell r="O79" t="str">
            <v>_PRE2013</v>
          </cell>
          <cell r="P79" t="str">
            <v>_PRE2013</v>
          </cell>
          <cell r="Q79" t="str">
            <v>_PRE2013</v>
          </cell>
          <cell r="R79" t="str">
            <v>_PRE2013</v>
          </cell>
          <cell r="S79" t="str">
            <v>_PRE2013</v>
          </cell>
          <cell r="T79" t="str">
            <v>_PRE2013</v>
          </cell>
          <cell r="W79" t="str">
            <v>_PRE2013</v>
          </cell>
          <cell r="X79" t="str">
            <v>Retro</v>
          </cell>
          <cell r="Y79" t="str">
            <v>_PRE2013</v>
          </cell>
        </row>
        <row r="80">
          <cell r="B80" t="str">
            <v>Engine Generator Block Heaters-Retro</v>
          </cell>
          <cell r="C80" t="str">
            <v>_PRE2013</v>
          </cell>
          <cell r="D80" t="str">
            <v>_PRE2013</v>
          </cell>
          <cell r="E80" t="str">
            <v>_PRE2013</v>
          </cell>
          <cell r="F80" t="str">
            <v>_PRE2013</v>
          </cell>
          <cell r="G80" t="str">
            <v>_PRE2013</v>
          </cell>
          <cell r="H80" t="str">
            <v>_PRE2013</v>
          </cell>
          <cell r="I80" t="str">
            <v>_PRE2013</v>
          </cell>
          <cell r="J80" t="str">
            <v>_PRE2013</v>
          </cell>
          <cell r="K80" t="str">
            <v>_PRE2013</v>
          </cell>
          <cell r="L80" t="str">
            <v>_PRE2013</v>
          </cell>
          <cell r="M80" t="str">
            <v>_PRE2013</v>
          </cell>
          <cell r="N80" t="str">
            <v>_PRE2013</v>
          </cell>
          <cell r="O80" t="str">
            <v>_PRE2013</v>
          </cell>
          <cell r="P80" t="str">
            <v>_PRE2013</v>
          </cell>
          <cell r="Q80" t="str">
            <v>_PRE2013</v>
          </cell>
          <cell r="R80" t="str">
            <v>_PRE2013</v>
          </cell>
          <cell r="S80" t="str">
            <v>_PRE2013</v>
          </cell>
          <cell r="T80" t="str">
            <v>_PRE2013</v>
          </cell>
          <cell r="W80" t="str">
            <v>_PRE2013</v>
          </cell>
          <cell r="X80" t="str">
            <v>Retro</v>
          </cell>
          <cell r="Y80" t="str">
            <v>_PRE2013</v>
          </cell>
        </row>
        <row r="81">
          <cell r="B81" t="str">
            <v>Grocery Refrigeration Bundle-Retro</v>
          </cell>
          <cell r="C81" t="str">
            <v>_PRE2013</v>
          </cell>
          <cell r="D81" t="str">
            <v>_PRE2013</v>
          </cell>
          <cell r="E81" t="str">
            <v>_PRE2013</v>
          </cell>
          <cell r="F81" t="str">
            <v>_PRE2013</v>
          </cell>
          <cell r="G81" t="str">
            <v>_PRE2013</v>
          </cell>
          <cell r="H81" t="str">
            <v>_PRE2013</v>
          </cell>
          <cell r="I81" t="str">
            <v>_PRE2013</v>
          </cell>
          <cell r="J81" t="str">
            <v>_PRE2013</v>
          </cell>
          <cell r="K81" t="str">
            <v>_PRE2013</v>
          </cell>
          <cell r="L81" t="str">
            <v>_PRE2013</v>
          </cell>
          <cell r="M81" t="str">
            <v>_PRE2013</v>
          </cell>
          <cell r="N81" t="str">
            <v>_PRE2013</v>
          </cell>
          <cell r="O81" t="str">
            <v>_PRE2013</v>
          </cell>
          <cell r="P81" t="str">
            <v>_PRE2013</v>
          </cell>
          <cell r="Q81" t="str">
            <v>_PRE2013</v>
          </cell>
          <cell r="R81" t="str">
            <v>_PRE2013</v>
          </cell>
          <cell r="S81" t="str">
            <v>_PRE2013</v>
          </cell>
          <cell r="T81" t="str">
            <v>_PRE2013</v>
          </cell>
          <cell r="W81" t="str">
            <v>_PRE2013</v>
          </cell>
          <cell r="X81" t="str">
            <v>Retro</v>
          </cell>
          <cell r="Y81" t="str">
            <v>_PRE2013</v>
          </cell>
        </row>
        <row r="82">
          <cell r="B82" t="str">
            <v>Packaged Refrigeration Equipment-New</v>
          </cell>
          <cell r="C82" t="str">
            <v>POST2013</v>
          </cell>
          <cell r="D82" t="str">
            <v>POST2013</v>
          </cell>
          <cell r="E82" t="str">
            <v>POST2013</v>
          </cell>
          <cell r="F82" t="str">
            <v>POST2013</v>
          </cell>
          <cell r="G82" t="str">
            <v>POST2013</v>
          </cell>
          <cell r="H82" t="str">
            <v>POST2013</v>
          </cell>
          <cell r="I82" t="str">
            <v>POST2013</v>
          </cell>
          <cell r="J82" t="str">
            <v>POST2013</v>
          </cell>
          <cell r="K82" t="str">
            <v>POST2013</v>
          </cell>
          <cell r="L82" t="str">
            <v>POST2013</v>
          </cell>
          <cell r="M82" t="str">
            <v>POST2013</v>
          </cell>
          <cell r="N82" t="str">
            <v>POST2013</v>
          </cell>
          <cell r="O82" t="str">
            <v>POST2013</v>
          </cell>
          <cell r="P82" t="str">
            <v>POST2013</v>
          </cell>
          <cell r="Q82" t="str">
            <v>POST2013</v>
          </cell>
          <cell r="R82" t="str">
            <v>POST2013</v>
          </cell>
          <cell r="S82" t="str">
            <v>POST2013</v>
          </cell>
          <cell r="T82" t="str">
            <v>POST2013</v>
          </cell>
          <cell r="W82" t="str">
            <v>POST2013</v>
          </cell>
          <cell r="X82" t="str">
            <v>New</v>
          </cell>
          <cell r="Y82" t="str">
            <v>POST2013</v>
          </cell>
        </row>
        <row r="83">
          <cell r="B83" t="str">
            <v>Appliances - Freezers-NR</v>
          </cell>
          <cell r="C83" t="str">
            <v>POST2013</v>
          </cell>
          <cell r="D83" t="str">
            <v>POST2013</v>
          </cell>
          <cell r="E83" t="str">
            <v>POST2013</v>
          </cell>
          <cell r="F83" t="str">
            <v>POST2013</v>
          </cell>
          <cell r="G83" t="str">
            <v>POST2013</v>
          </cell>
          <cell r="H83" t="str">
            <v>POST2013</v>
          </cell>
          <cell r="I83" t="str">
            <v>POST2013</v>
          </cell>
          <cell r="J83" t="str">
            <v>POST2013</v>
          </cell>
          <cell r="K83" t="str">
            <v>POST2013</v>
          </cell>
          <cell r="L83" t="str">
            <v>POST2013</v>
          </cell>
          <cell r="M83" t="str">
            <v>POST2013</v>
          </cell>
          <cell r="N83" t="str">
            <v>POST2013</v>
          </cell>
          <cell r="O83" t="str">
            <v>POST2013</v>
          </cell>
          <cell r="P83" t="str">
            <v>POST2013</v>
          </cell>
          <cell r="Q83" t="str">
            <v>POST2013</v>
          </cell>
          <cell r="R83" t="str">
            <v>POST2013</v>
          </cell>
          <cell r="S83" t="str">
            <v>POST2013</v>
          </cell>
          <cell r="T83" t="str">
            <v>POST2013</v>
          </cell>
          <cell r="W83" t="str">
            <v>POST2013</v>
          </cell>
          <cell r="X83" t="str">
            <v>NR</v>
          </cell>
          <cell r="Y83" t="str">
            <v>POST2013</v>
          </cell>
        </row>
        <row r="84">
          <cell r="B84" t="str">
            <v>Appliances - Refrigerators-NR</v>
          </cell>
          <cell r="C84" t="str">
            <v>POST2013</v>
          </cell>
          <cell r="D84" t="str">
            <v>POST2013</v>
          </cell>
          <cell r="E84" t="str">
            <v>POST2013</v>
          </cell>
          <cell r="F84" t="str">
            <v>POST2013</v>
          </cell>
          <cell r="G84" t="str">
            <v>POST2013</v>
          </cell>
          <cell r="H84" t="str">
            <v>POST2013</v>
          </cell>
          <cell r="I84" t="str">
            <v>POST2013</v>
          </cell>
          <cell r="J84" t="str">
            <v>POST2013</v>
          </cell>
          <cell r="K84" t="str">
            <v>POST2013</v>
          </cell>
          <cell r="L84" t="str">
            <v>POST2013</v>
          </cell>
          <cell r="M84" t="str">
            <v>POST2013</v>
          </cell>
          <cell r="N84" t="str">
            <v>POST2013</v>
          </cell>
          <cell r="O84" t="str">
            <v>POST2013</v>
          </cell>
          <cell r="P84" t="str">
            <v>POST2013</v>
          </cell>
          <cell r="Q84" t="str">
            <v>POST2013</v>
          </cell>
          <cell r="R84" t="str">
            <v>POST2013</v>
          </cell>
          <cell r="S84" t="str">
            <v>POST2013</v>
          </cell>
          <cell r="T84" t="str">
            <v>POST2013</v>
          </cell>
          <cell r="W84" t="str">
            <v>POST2013</v>
          </cell>
          <cell r="X84" t="str">
            <v>NR</v>
          </cell>
          <cell r="Y84" t="str">
            <v>POST2013</v>
          </cell>
        </row>
        <row r="85">
          <cell r="B85" t="str">
            <v>Water Cooler Controls-NR</v>
          </cell>
          <cell r="C85" t="str">
            <v>_PRE2013</v>
          </cell>
          <cell r="D85" t="str">
            <v>_PRE2013</v>
          </cell>
          <cell r="E85" t="str">
            <v>_PRE2013</v>
          </cell>
          <cell r="F85" t="str">
            <v>_PRE2013</v>
          </cell>
          <cell r="G85" t="str">
            <v>_PRE2013</v>
          </cell>
          <cell r="H85" t="str">
            <v>_PRE2013</v>
          </cell>
          <cell r="I85" t="str">
            <v>_PRE2013</v>
          </cell>
          <cell r="J85" t="str">
            <v>_PRE2013</v>
          </cell>
          <cell r="K85" t="str">
            <v>_PRE2013</v>
          </cell>
          <cell r="L85" t="str">
            <v>_PRE2013</v>
          </cell>
          <cell r="M85" t="str">
            <v>_PRE2013</v>
          </cell>
          <cell r="N85" t="str">
            <v>_PRE2013</v>
          </cell>
          <cell r="O85" t="str">
            <v>_PRE2013</v>
          </cell>
          <cell r="P85" t="str">
            <v>_PRE2013</v>
          </cell>
          <cell r="Q85" t="str">
            <v>_PRE2013</v>
          </cell>
          <cell r="R85" t="str">
            <v>_PRE2013</v>
          </cell>
          <cell r="S85" t="str">
            <v>_PRE2013</v>
          </cell>
          <cell r="T85" t="str">
            <v>_PRE2013</v>
          </cell>
          <cell r="W85" t="str">
            <v>_PRE2013</v>
          </cell>
          <cell r="X85" t="str">
            <v>NR</v>
          </cell>
          <cell r="Y85" t="str">
            <v>POST2013</v>
          </cell>
        </row>
        <row r="86">
          <cell r="B86" t="str">
            <v>WHTanks-New</v>
          </cell>
          <cell r="C86" t="str">
            <v>POST2013</v>
          </cell>
          <cell r="D86" t="str">
            <v>POST2013</v>
          </cell>
          <cell r="E86" t="str">
            <v>POST2013</v>
          </cell>
          <cell r="F86" t="str">
            <v>POST2013</v>
          </cell>
          <cell r="G86" t="str">
            <v>POST2013</v>
          </cell>
          <cell r="H86" t="str">
            <v>POST2013</v>
          </cell>
          <cell r="I86" t="str">
            <v>POST2013</v>
          </cell>
          <cell r="J86" t="str">
            <v>POST2013</v>
          </cell>
          <cell r="K86" t="str">
            <v>POST2013</v>
          </cell>
          <cell r="L86" t="str">
            <v>POST2013</v>
          </cell>
          <cell r="M86" t="str">
            <v>POST2013</v>
          </cell>
          <cell r="N86" t="str">
            <v>POST2013</v>
          </cell>
          <cell r="O86" t="str">
            <v>POST2013</v>
          </cell>
          <cell r="P86" t="str">
            <v>POST2013</v>
          </cell>
          <cell r="Q86" t="str">
            <v>POST2013</v>
          </cell>
          <cell r="R86" t="str">
            <v>POST2013</v>
          </cell>
          <cell r="S86" t="str">
            <v>POST2013</v>
          </cell>
          <cell r="T86" t="str">
            <v>POST2013</v>
          </cell>
          <cell r="W86" t="str">
            <v>POST2013</v>
          </cell>
          <cell r="X86" t="str">
            <v>New</v>
          </cell>
          <cell r="Y86" t="str">
            <v>POST2013</v>
          </cell>
        </row>
        <row r="87">
          <cell r="B87" t="str">
            <v>WHTanks-NR</v>
          </cell>
          <cell r="C87" t="str">
            <v>_PRE2013</v>
          </cell>
          <cell r="D87" t="str">
            <v>_PRE2013</v>
          </cell>
          <cell r="E87" t="str">
            <v>_PRE2013</v>
          </cell>
          <cell r="F87" t="str">
            <v>_PRE2013</v>
          </cell>
          <cell r="G87" t="str">
            <v>_PRE2013</v>
          </cell>
          <cell r="H87" t="str">
            <v>_PRE2013</v>
          </cell>
          <cell r="I87" t="str">
            <v>_PRE2013</v>
          </cell>
          <cell r="J87" t="str">
            <v>_PRE2013</v>
          </cell>
          <cell r="K87" t="str">
            <v>_PRE2013</v>
          </cell>
          <cell r="L87" t="str">
            <v>_PRE2013</v>
          </cell>
          <cell r="M87" t="str">
            <v>_PRE2013</v>
          </cell>
          <cell r="N87" t="str">
            <v>_PRE2013</v>
          </cell>
          <cell r="O87" t="str">
            <v>_PRE2013</v>
          </cell>
          <cell r="P87" t="str">
            <v>_PRE2013</v>
          </cell>
          <cell r="Q87" t="str">
            <v>_PRE2013</v>
          </cell>
          <cell r="R87" t="str">
            <v>_PRE2013</v>
          </cell>
          <cell r="S87" t="str">
            <v>_PRE2013</v>
          </cell>
          <cell r="T87" t="str">
            <v>_PRE2013</v>
          </cell>
          <cell r="W87" t="str">
            <v>_PRE2013</v>
          </cell>
          <cell r="X87" t="str">
            <v>NR</v>
          </cell>
          <cell r="Y87" t="str">
            <v>POST2013</v>
          </cell>
        </row>
        <row r="88">
          <cell r="B88" t="str">
            <v>Appliances - Clothes Washers-NR</v>
          </cell>
          <cell r="C88" t="str">
            <v>POST2013</v>
          </cell>
          <cell r="D88" t="str">
            <v>POST2013</v>
          </cell>
          <cell r="E88" t="str">
            <v>POST2013</v>
          </cell>
          <cell r="F88" t="str">
            <v>POST2013</v>
          </cell>
          <cell r="G88" t="str">
            <v>POST2013</v>
          </cell>
          <cell r="H88" t="str">
            <v>POST2013</v>
          </cell>
          <cell r="I88" t="str">
            <v>POST2013</v>
          </cell>
          <cell r="J88" t="str">
            <v>POST2013</v>
          </cell>
          <cell r="K88" t="str">
            <v>POST2013</v>
          </cell>
          <cell r="L88" t="str">
            <v>POST2013</v>
          </cell>
          <cell r="M88" t="str">
            <v>POST2013</v>
          </cell>
          <cell r="N88" t="str">
            <v>POST2013</v>
          </cell>
          <cell r="O88" t="str">
            <v>POST2013</v>
          </cell>
          <cell r="P88" t="str">
            <v>POST2013</v>
          </cell>
          <cell r="Q88" t="str">
            <v>POST2013</v>
          </cell>
          <cell r="R88" t="str">
            <v>POST2013</v>
          </cell>
          <cell r="S88" t="str">
            <v>POST2013</v>
          </cell>
          <cell r="T88" t="str">
            <v>POST2013</v>
          </cell>
          <cell r="W88" t="str">
            <v>POST2013</v>
          </cell>
          <cell r="X88" t="str">
            <v>NR</v>
          </cell>
          <cell r="Y88" t="str">
            <v>POST2013</v>
          </cell>
        </row>
        <row r="89">
          <cell r="B89" t="str">
            <v>Showerheads-Retro</v>
          </cell>
          <cell r="C89" t="str">
            <v>_PRE2013</v>
          </cell>
          <cell r="D89" t="str">
            <v>_PRE2013</v>
          </cell>
          <cell r="E89" t="str">
            <v>_PRE2013</v>
          </cell>
          <cell r="F89" t="str">
            <v>_PRE2013</v>
          </cell>
          <cell r="G89" t="str">
            <v>_PRE2013</v>
          </cell>
          <cell r="H89" t="str">
            <v>_PRE2013</v>
          </cell>
          <cell r="I89" t="str">
            <v>_PRE2013</v>
          </cell>
          <cell r="J89" t="str">
            <v>_PRE2013</v>
          </cell>
          <cell r="K89" t="str">
            <v>_PRE2013</v>
          </cell>
          <cell r="L89" t="str">
            <v>_PRE2013</v>
          </cell>
          <cell r="M89" t="str">
            <v>_PRE2013</v>
          </cell>
          <cell r="N89" t="str">
            <v>_PRE2013</v>
          </cell>
          <cell r="O89" t="str">
            <v>_PRE2013</v>
          </cell>
          <cell r="P89" t="str">
            <v>_PRE2013</v>
          </cell>
          <cell r="Q89" t="str">
            <v>_PRE2013</v>
          </cell>
          <cell r="R89" t="str">
            <v>_PRE2013</v>
          </cell>
          <cell r="S89" t="str">
            <v>_PRE2013</v>
          </cell>
          <cell r="T89" t="str">
            <v>_PRE2013</v>
          </cell>
          <cell r="W89" t="str">
            <v>_PRE2013</v>
          </cell>
          <cell r="X89" t="str">
            <v>Retro</v>
          </cell>
          <cell r="Y89" t="str">
            <v>_PRE2013</v>
          </cell>
        </row>
        <row r="90">
          <cell r="B90" t="str">
            <v>Water Heating - GFHX-New</v>
          </cell>
          <cell r="C90" t="str">
            <v>POST2013</v>
          </cell>
          <cell r="D90" t="str">
            <v>POST2013</v>
          </cell>
          <cell r="E90" t="str">
            <v>POST2013</v>
          </cell>
          <cell r="F90" t="str">
            <v>POST2013</v>
          </cell>
          <cell r="G90" t="str">
            <v>POST2013</v>
          </cell>
          <cell r="H90" t="str">
            <v>POST2013</v>
          </cell>
          <cell r="I90" t="str">
            <v>POST2013</v>
          </cell>
          <cell r="J90" t="str">
            <v>POST2013</v>
          </cell>
          <cell r="K90" t="str">
            <v>POST2013</v>
          </cell>
          <cell r="L90" t="str">
            <v>POST2013</v>
          </cell>
          <cell r="M90" t="str">
            <v>POST2013</v>
          </cell>
          <cell r="N90" t="str">
            <v>POST2013</v>
          </cell>
          <cell r="O90" t="str">
            <v>POST2013</v>
          </cell>
          <cell r="P90" t="str">
            <v>POST2013</v>
          </cell>
          <cell r="Q90" t="str">
            <v>POST2013</v>
          </cell>
          <cell r="R90" t="str">
            <v>POST2013</v>
          </cell>
          <cell r="S90" t="str">
            <v>POST2013</v>
          </cell>
          <cell r="T90" t="str">
            <v>POST2013</v>
          </cell>
          <cell r="W90" t="str">
            <v>POST2013</v>
          </cell>
          <cell r="X90" t="str">
            <v>New</v>
          </cell>
          <cell r="Y90" t="str">
            <v>POST2013</v>
          </cell>
        </row>
        <row r="91">
          <cell r="B91" t="str">
            <v>Demand Control Circulating system DHW-Retro</v>
          </cell>
          <cell r="C91" t="str">
            <v>_PRE2013</v>
          </cell>
          <cell r="D91" t="str">
            <v>_PRE2013</v>
          </cell>
          <cell r="E91" t="str">
            <v>_PRE2013</v>
          </cell>
          <cell r="F91" t="str">
            <v>_PRE2013</v>
          </cell>
          <cell r="G91" t="str">
            <v>_PRE2013</v>
          </cell>
          <cell r="H91" t="str">
            <v>_PRE2013</v>
          </cell>
          <cell r="I91" t="str">
            <v>_PRE2013</v>
          </cell>
          <cell r="J91" t="str">
            <v>_PRE2013</v>
          </cell>
          <cell r="K91" t="str">
            <v>_PRE2013</v>
          </cell>
          <cell r="L91" t="str">
            <v>_PRE2013</v>
          </cell>
          <cell r="M91" t="str">
            <v>_PRE2013</v>
          </cell>
          <cell r="N91" t="str">
            <v>_PRE2013</v>
          </cell>
          <cell r="O91" t="str">
            <v>_PRE2013</v>
          </cell>
          <cell r="P91" t="str">
            <v>_PRE2013</v>
          </cell>
          <cell r="Q91" t="str">
            <v>_PRE2013</v>
          </cell>
          <cell r="R91" t="str">
            <v>_PRE2013</v>
          </cell>
          <cell r="S91" t="str">
            <v>_PRE2013</v>
          </cell>
          <cell r="T91" t="str">
            <v>_PRE2013</v>
          </cell>
          <cell r="W91" t="str">
            <v>_PRE2013</v>
          </cell>
          <cell r="X91" t="str">
            <v>Retro</v>
          </cell>
          <cell r="Y91" t="str">
            <v>_PRE2013</v>
          </cell>
        </row>
        <row r="92">
          <cell r="B92" t="str">
            <v>Central HPWH MF-Retro</v>
          </cell>
          <cell r="C92" t="str">
            <v>_PRE2013</v>
          </cell>
          <cell r="D92" t="str">
            <v>_PRE2013</v>
          </cell>
          <cell r="E92" t="str">
            <v>_PRE2013</v>
          </cell>
          <cell r="F92" t="str">
            <v>_PRE2013</v>
          </cell>
          <cell r="G92" t="str">
            <v>_PRE2013</v>
          </cell>
          <cell r="H92" t="str">
            <v>_PRE2013</v>
          </cell>
          <cell r="I92" t="str">
            <v>_PRE2013</v>
          </cell>
          <cell r="J92" t="str">
            <v>_PRE2013</v>
          </cell>
          <cell r="K92" t="str">
            <v>_PRE2013</v>
          </cell>
          <cell r="L92" t="str">
            <v>_PRE2013</v>
          </cell>
          <cell r="M92" t="str">
            <v>_PRE2013</v>
          </cell>
          <cell r="N92" t="str">
            <v>_PRE2013</v>
          </cell>
          <cell r="O92" t="str">
            <v>_PRE2013</v>
          </cell>
          <cell r="P92" t="str">
            <v>_PRE2013</v>
          </cell>
          <cell r="Q92" t="str">
            <v>_PRE2013</v>
          </cell>
          <cell r="R92" t="str">
            <v>_PRE2013</v>
          </cell>
          <cell r="S92" t="str">
            <v>_PRE2013</v>
          </cell>
          <cell r="T92" t="str">
            <v>_PRE2013</v>
          </cell>
          <cell r="W92" t="str">
            <v>_PRE2013</v>
          </cell>
          <cell r="X92" t="str">
            <v>Retro</v>
          </cell>
          <cell r="Y92" t="str">
            <v>_PRE2013</v>
          </cell>
        </row>
        <row r="93">
          <cell r="B93" t="str">
            <v>Ultra Low Energy Building-New</v>
          </cell>
          <cell r="C93" t="str">
            <v>POST2013</v>
          </cell>
          <cell r="D93" t="str">
            <v>POST2013</v>
          </cell>
          <cell r="E93" t="str">
            <v>POST2013</v>
          </cell>
          <cell r="F93" t="str">
            <v>POST2013</v>
          </cell>
          <cell r="G93" t="str">
            <v>POST2013</v>
          </cell>
          <cell r="H93" t="str">
            <v>POST2013</v>
          </cell>
          <cell r="I93" t="str">
            <v>POST2013</v>
          </cell>
          <cell r="J93" t="str">
            <v>POST2013</v>
          </cell>
          <cell r="K93" t="str">
            <v>POST2013</v>
          </cell>
          <cell r="L93" t="str">
            <v>POST2013</v>
          </cell>
          <cell r="M93" t="str">
            <v>POST2013</v>
          </cell>
          <cell r="N93" t="str">
            <v>POST2013</v>
          </cell>
          <cell r="O93" t="str">
            <v>POST2013</v>
          </cell>
          <cell r="P93" t="str">
            <v>POST2013</v>
          </cell>
          <cell r="Q93" t="str">
            <v>POST2013</v>
          </cell>
          <cell r="R93" t="str">
            <v>POST2013</v>
          </cell>
          <cell r="S93" t="str">
            <v>POST2013</v>
          </cell>
          <cell r="T93" t="str">
            <v>POST2013</v>
          </cell>
          <cell r="W93" t="str">
            <v>POST2013</v>
          </cell>
          <cell r="X93" t="str">
            <v>New</v>
          </cell>
          <cell r="Y93" t="str">
            <v>POST2013</v>
          </cell>
        </row>
        <row r="94">
          <cell r="B94" t="str">
            <v>Low Power LF Lamps-NR</v>
          </cell>
          <cell r="C94" t="str">
            <v>_PRE2013</v>
          </cell>
          <cell r="D94" t="str">
            <v>_PRE2013</v>
          </cell>
          <cell r="W94" t="str">
            <v>_PRE2013</v>
          </cell>
          <cell r="X94" t="str">
            <v>Retro</v>
          </cell>
          <cell r="Y94" t="str">
            <v>_PRE2013</v>
          </cell>
        </row>
      </sheetData>
      <sheetData sheetId="6">
        <row r="11">
          <cell r="B11" t="str">
            <v>Measure Index Name</v>
          </cell>
          <cell r="C11" t="str">
            <v>Large Off</v>
          </cell>
          <cell r="D11" t="str">
            <v>Medium Off</v>
          </cell>
          <cell r="E11" t="str">
            <v>Small Off</v>
          </cell>
          <cell r="F11" t="str">
            <v>Xlarge Ret</v>
          </cell>
          <cell r="G11" t="str">
            <v>Large Ret</v>
          </cell>
          <cell r="H11" t="str">
            <v>Medium Ret</v>
          </cell>
          <cell r="I11" t="str">
            <v>Small Ret</v>
          </cell>
          <cell r="J11" t="str">
            <v>School K-12</v>
          </cell>
          <cell r="K11" t="str">
            <v>University</v>
          </cell>
          <cell r="L11" t="str">
            <v>Warehouse</v>
          </cell>
          <cell r="M11" t="str">
            <v>Supermarket</v>
          </cell>
          <cell r="N11" t="str">
            <v>MiniMart</v>
          </cell>
          <cell r="O11" t="str">
            <v>Restaurant</v>
          </cell>
          <cell r="P11" t="str">
            <v>Lodging</v>
          </cell>
          <cell r="Q11" t="str">
            <v>Hospital</v>
          </cell>
          <cell r="R11" t="str">
            <v>Residential Care</v>
          </cell>
          <cell r="S11" t="str">
            <v>Assembly</v>
          </cell>
          <cell r="T11" t="str">
            <v>Other</v>
          </cell>
          <cell r="U11" t="str">
            <v>Non-Building Stock</v>
          </cell>
        </row>
        <row r="12">
          <cell r="B12" t="str">
            <v>Compressed Air-Retro</v>
          </cell>
        </row>
        <row r="13">
          <cell r="B13" t="str">
            <v>Compressed Air-NR</v>
          </cell>
        </row>
        <row r="14">
          <cell r="B14" t="str">
            <v>Network PC Power Management-Retro</v>
          </cell>
        </row>
        <row r="15">
          <cell r="B15" t="str">
            <v>Laptop-NR</v>
          </cell>
          <cell r="U15">
            <v>0.25</v>
          </cell>
        </row>
        <row r="16">
          <cell r="B16" t="str">
            <v>Smart Plug Power Strips-Retro</v>
          </cell>
          <cell r="U16">
            <v>0.2</v>
          </cell>
        </row>
        <row r="17">
          <cell r="B17" t="str">
            <v>Data Centers-NR</v>
          </cell>
          <cell r="U17">
            <v>0.2</v>
          </cell>
        </row>
        <row r="18">
          <cell r="B18" t="str">
            <v>Monitor-NR</v>
          </cell>
          <cell r="U18">
            <v>0.2</v>
          </cell>
        </row>
        <row r="19">
          <cell r="B19" t="str">
            <v>Desktop-NR</v>
          </cell>
          <cell r="U19">
            <v>0.25</v>
          </cell>
        </row>
        <row r="20">
          <cell r="B20" t="str">
            <v>Pre-Rinse Spray Valve-Retro</v>
          </cell>
          <cell r="U20">
            <v>0.2</v>
          </cell>
        </row>
        <row r="21">
          <cell r="B21" t="str">
            <v>Cooking Equipment-NR</v>
          </cell>
          <cell r="U21">
            <v>0.08</v>
          </cell>
        </row>
        <row r="22">
          <cell r="B22" t="str">
            <v>Premium HVAC Equipment-New</v>
          </cell>
          <cell r="C22">
            <v>3.3333333333333333E-2</v>
          </cell>
          <cell r="D22">
            <v>0.04</v>
          </cell>
          <cell r="E22">
            <v>0.05</v>
          </cell>
          <cell r="F22">
            <v>0.05</v>
          </cell>
          <cell r="G22">
            <v>0.05</v>
          </cell>
          <cell r="H22">
            <v>0.05</v>
          </cell>
          <cell r="I22">
            <v>3.3333333333333333E-2</v>
          </cell>
          <cell r="J22">
            <v>3.3333333333333333E-2</v>
          </cell>
          <cell r="K22">
            <v>3.3333333333333333E-2</v>
          </cell>
          <cell r="L22">
            <v>0.05</v>
          </cell>
          <cell r="M22">
            <v>0.05</v>
          </cell>
          <cell r="N22">
            <v>0.05</v>
          </cell>
          <cell r="O22">
            <v>0.05</v>
          </cell>
          <cell r="P22">
            <v>0.05</v>
          </cell>
          <cell r="Q22">
            <v>0.04</v>
          </cell>
          <cell r="R22">
            <v>0.04</v>
          </cell>
          <cell r="S22">
            <v>0.04</v>
          </cell>
          <cell r="T22">
            <v>0.04</v>
          </cell>
          <cell r="V22" t="str">
            <v>20, 25 or 30 year equipment life</v>
          </cell>
        </row>
        <row r="23">
          <cell r="B23" t="str">
            <v>Premium HVAC Equipment-NR</v>
          </cell>
          <cell r="C23">
            <v>3.3333333333333333E-2</v>
          </cell>
          <cell r="D23">
            <v>0.04</v>
          </cell>
          <cell r="E23">
            <v>0.05</v>
          </cell>
          <cell r="F23">
            <v>0.05</v>
          </cell>
          <cell r="G23">
            <v>0.05</v>
          </cell>
          <cell r="H23">
            <v>0.05</v>
          </cell>
          <cell r="I23">
            <v>3.3333333333333333E-2</v>
          </cell>
          <cell r="J23">
            <v>3.3333333333333333E-2</v>
          </cell>
          <cell r="K23">
            <v>3.3333333333333333E-2</v>
          </cell>
          <cell r="L23">
            <v>0.05</v>
          </cell>
          <cell r="M23">
            <v>0.05</v>
          </cell>
          <cell r="N23">
            <v>0.05</v>
          </cell>
          <cell r="O23">
            <v>0.05</v>
          </cell>
          <cell r="P23">
            <v>0.05</v>
          </cell>
          <cell r="Q23">
            <v>0.04</v>
          </cell>
          <cell r="R23">
            <v>0.04</v>
          </cell>
          <cell r="S23">
            <v>0.04</v>
          </cell>
          <cell r="T23">
            <v>0.04</v>
          </cell>
          <cell r="V23" t="str">
            <v>20, 25 or 30 year equipment life</v>
          </cell>
        </row>
        <row r="24">
          <cell r="B24" t="str">
            <v>Glass-New</v>
          </cell>
        </row>
        <row r="25">
          <cell r="B25" t="str">
            <v>Glass-NR</v>
          </cell>
        </row>
        <row r="26">
          <cell r="B26" t="str">
            <v>Glass-Retro</v>
          </cell>
        </row>
        <row r="27">
          <cell r="B27" t="str">
            <v>Advanced Rooftop Controller-New</v>
          </cell>
          <cell r="C27">
            <v>6.6666666666666666E-2</v>
          </cell>
          <cell r="D27">
            <v>6.6666666666666666E-2</v>
          </cell>
          <cell r="E27">
            <v>6.6666666666666666E-2</v>
          </cell>
          <cell r="F27">
            <v>6.6666666666666666E-2</v>
          </cell>
          <cell r="G27">
            <v>6.6666666666666666E-2</v>
          </cell>
          <cell r="H27">
            <v>6.6666666666666666E-2</v>
          </cell>
          <cell r="I27">
            <v>6.6666666666666666E-2</v>
          </cell>
          <cell r="J27">
            <v>6.6666666666666666E-2</v>
          </cell>
          <cell r="K27">
            <v>6.6666666666666666E-2</v>
          </cell>
          <cell r="L27">
            <v>6.6666666666666666E-2</v>
          </cell>
          <cell r="M27">
            <v>6.6666666666666666E-2</v>
          </cell>
          <cell r="N27">
            <v>6.6666666666666666E-2</v>
          </cell>
          <cell r="O27">
            <v>6.6666666666666666E-2</v>
          </cell>
          <cell r="P27">
            <v>6.6666666666666666E-2</v>
          </cell>
          <cell r="Q27">
            <v>6.6666666666666666E-2</v>
          </cell>
          <cell r="R27">
            <v>6.6666666666666666E-2</v>
          </cell>
          <cell r="S27">
            <v>6.6666666666666666E-2</v>
          </cell>
          <cell r="T27">
            <v>6.6666666666666666E-2</v>
          </cell>
        </row>
        <row r="28">
          <cell r="B28" t="str">
            <v>Advanced Rooftop Controller-NR</v>
          </cell>
          <cell r="C28">
            <v>6.6666666666666666E-2</v>
          </cell>
          <cell r="D28">
            <v>6.6666666666666666E-2</v>
          </cell>
          <cell r="E28">
            <v>6.6666666666666666E-2</v>
          </cell>
          <cell r="F28">
            <v>6.6666666666666666E-2</v>
          </cell>
          <cell r="G28">
            <v>6.6666666666666666E-2</v>
          </cell>
          <cell r="H28">
            <v>6.6666666666666666E-2</v>
          </cell>
          <cell r="I28">
            <v>6.6666666666666666E-2</v>
          </cell>
          <cell r="J28">
            <v>6.6666666666666666E-2</v>
          </cell>
          <cell r="K28">
            <v>6.6666666666666666E-2</v>
          </cell>
          <cell r="L28">
            <v>6.6666666666666666E-2</v>
          </cell>
          <cell r="M28">
            <v>6.6666666666666666E-2</v>
          </cell>
          <cell r="N28">
            <v>6.6666666666666666E-2</v>
          </cell>
          <cell r="O28">
            <v>6.6666666666666666E-2</v>
          </cell>
          <cell r="P28">
            <v>6.6666666666666666E-2</v>
          </cell>
          <cell r="Q28">
            <v>6.6666666666666666E-2</v>
          </cell>
          <cell r="R28">
            <v>6.6666666666666666E-2</v>
          </cell>
          <cell r="S28">
            <v>6.6666666666666666E-2</v>
          </cell>
          <cell r="T28">
            <v>6.6666666666666666E-2</v>
          </cell>
        </row>
        <row r="29">
          <cell r="B29" t="str">
            <v>Advanced Rooftop Controller-Retro</v>
          </cell>
          <cell r="C29">
            <v>6.6666666666666666E-2</v>
          </cell>
          <cell r="D29">
            <v>6.6666666666666666E-2</v>
          </cell>
          <cell r="E29">
            <v>6.6666666666666666E-2</v>
          </cell>
          <cell r="F29">
            <v>6.6666666666666666E-2</v>
          </cell>
          <cell r="G29">
            <v>6.6666666666666666E-2</v>
          </cell>
          <cell r="H29">
            <v>6.6666666666666666E-2</v>
          </cell>
          <cell r="I29">
            <v>6.6666666666666666E-2</v>
          </cell>
          <cell r="J29">
            <v>6.6666666666666666E-2</v>
          </cell>
          <cell r="K29">
            <v>6.6666666666666666E-2</v>
          </cell>
          <cell r="L29">
            <v>6.6666666666666666E-2</v>
          </cell>
          <cell r="M29">
            <v>6.6666666666666666E-2</v>
          </cell>
          <cell r="N29">
            <v>6.6666666666666666E-2</v>
          </cell>
          <cell r="O29">
            <v>6.6666666666666666E-2</v>
          </cell>
          <cell r="P29">
            <v>6.6666666666666666E-2</v>
          </cell>
          <cell r="Q29">
            <v>6.6666666666666666E-2</v>
          </cell>
          <cell r="R29">
            <v>6.6666666666666666E-2</v>
          </cell>
          <cell r="S29">
            <v>6.6666666666666666E-2</v>
          </cell>
          <cell r="T29">
            <v>6.6666666666666666E-2</v>
          </cell>
        </row>
        <row r="30">
          <cell r="B30" t="str">
            <v>Variable Speed Chiller-New</v>
          </cell>
        </row>
        <row r="31">
          <cell r="B31" t="str">
            <v>Variable Speed Chiller-NR</v>
          </cell>
        </row>
        <row r="32">
          <cell r="B32" t="str">
            <v>Commercial EM-New</v>
          </cell>
          <cell r="C32">
            <v>0.15</v>
          </cell>
          <cell r="D32">
            <v>0.15</v>
          </cell>
          <cell r="E32">
            <v>0.15</v>
          </cell>
          <cell r="F32">
            <v>0.15</v>
          </cell>
          <cell r="G32">
            <v>0.15</v>
          </cell>
          <cell r="H32">
            <v>0.15</v>
          </cell>
          <cell r="I32">
            <v>0.15</v>
          </cell>
          <cell r="J32">
            <v>0.15</v>
          </cell>
          <cell r="K32">
            <v>0.15</v>
          </cell>
          <cell r="L32">
            <v>0.15</v>
          </cell>
          <cell r="M32">
            <v>0.15</v>
          </cell>
          <cell r="N32">
            <v>0.15</v>
          </cell>
          <cell r="O32">
            <v>0.15</v>
          </cell>
          <cell r="P32">
            <v>0.15</v>
          </cell>
          <cell r="Q32">
            <v>0.15</v>
          </cell>
          <cell r="R32">
            <v>0.15</v>
          </cell>
          <cell r="S32">
            <v>0.15</v>
          </cell>
          <cell r="T32">
            <v>0.15</v>
          </cell>
        </row>
        <row r="33">
          <cell r="B33" t="str">
            <v>Commercial EM-NR</v>
          </cell>
          <cell r="C33">
            <v>0.15</v>
          </cell>
          <cell r="D33">
            <v>0.15</v>
          </cell>
          <cell r="E33">
            <v>0.15</v>
          </cell>
          <cell r="F33">
            <v>0.15</v>
          </cell>
          <cell r="G33">
            <v>0.15</v>
          </cell>
          <cell r="H33">
            <v>0.15</v>
          </cell>
          <cell r="I33">
            <v>0.15</v>
          </cell>
          <cell r="J33">
            <v>0.15</v>
          </cell>
          <cell r="K33">
            <v>0.15</v>
          </cell>
          <cell r="L33">
            <v>0.15</v>
          </cell>
          <cell r="M33">
            <v>0.15</v>
          </cell>
          <cell r="N33">
            <v>0.15</v>
          </cell>
          <cell r="O33">
            <v>0.15</v>
          </cell>
          <cell r="P33">
            <v>0.15</v>
          </cell>
          <cell r="Q33">
            <v>0.15</v>
          </cell>
          <cell r="R33">
            <v>0.15</v>
          </cell>
          <cell r="S33">
            <v>0.15</v>
          </cell>
          <cell r="T33">
            <v>0.15</v>
          </cell>
        </row>
        <row r="34">
          <cell r="B34" t="str">
            <v>Commercial EM-Retro</v>
          </cell>
          <cell r="C34">
            <v>0.15</v>
          </cell>
          <cell r="D34">
            <v>0.15</v>
          </cell>
          <cell r="E34">
            <v>0.15</v>
          </cell>
          <cell r="F34">
            <v>0.15</v>
          </cell>
          <cell r="G34">
            <v>0.15</v>
          </cell>
          <cell r="H34">
            <v>0.15</v>
          </cell>
          <cell r="I34">
            <v>0.15</v>
          </cell>
          <cell r="J34">
            <v>0.15</v>
          </cell>
          <cell r="K34">
            <v>0.15</v>
          </cell>
          <cell r="L34">
            <v>0.15</v>
          </cell>
          <cell r="M34">
            <v>0.15</v>
          </cell>
          <cell r="N34">
            <v>0.15</v>
          </cell>
          <cell r="O34">
            <v>0.15</v>
          </cell>
          <cell r="P34">
            <v>0.15</v>
          </cell>
          <cell r="Q34">
            <v>0.15</v>
          </cell>
          <cell r="R34">
            <v>0.15</v>
          </cell>
          <cell r="S34">
            <v>0.15</v>
          </cell>
          <cell r="T34">
            <v>0.15</v>
          </cell>
        </row>
        <row r="35">
          <cell r="B35" t="str">
            <v>Evaporative Assist Cooling-New</v>
          </cell>
        </row>
        <row r="36">
          <cell r="B36" t="str">
            <v>Evaporative Assist Cooling-NR</v>
          </cell>
        </row>
        <row r="37">
          <cell r="B37" t="str">
            <v>Economizer-Retro</v>
          </cell>
        </row>
        <row r="38">
          <cell r="B38" t="str">
            <v>Demand Control Ventilation-New</v>
          </cell>
        </row>
        <row r="39">
          <cell r="B39" t="str">
            <v>Demand Control Ventilation-NR</v>
          </cell>
        </row>
        <row r="40">
          <cell r="B40" t="str">
            <v>Demand Control Ventilation-Retro</v>
          </cell>
        </row>
        <row r="41">
          <cell r="B41" t="str">
            <v>Premium Fume Hood-NR</v>
          </cell>
          <cell r="C41">
            <v>0.06</v>
          </cell>
          <cell r="D41">
            <v>0.06</v>
          </cell>
          <cell r="E41">
            <v>0.06</v>
          </cell>
          <cell r="F41">
            <v>0.06</v>
          </cell>
          <cell r="G41">
            <v>0.06</v>
          </cell>
          <cell r="H41">
            <v>0.06</v>
          </cell>
          <cell r="I41">
            <v>0.06</v>
          </cell>
          <cell r="J41">
            <v>0.06</v>
          </cell>
          <cell r="K41">
            <v>0.06</v>
          </cell>
          <cell r="L41">
            <v>0.06</v>
          </cell>
          <cell r="M41">
            <v>0.06</v>
          </cell>
          <cell r="N41">
            <v>0.06</v>
          </cell>
          <cell r="O41">
            <v>0.06</v>
          </cell>
          <cell r="P41">
            <v>0.06</v>
          </cell>
          <cell r="Q41">
            <v>0.06</v>
          </cell>
          <cell r="R41">
            <v>0.06</v>
          </cell>
          <cell r="S41">
            <v>0.06</v>
          </cell>
          <cell r="T41">
            <v>0.06</v>
          </cell>
          <cell r="U41">
            <v>0.06</v>
          </cell>
        </row>
        <row r="42">
          <cell r="B42" t="str">
            <v>DCV Restaurant Hood-Retro</v>
          </cell>
        </row>
        <row r="43">
          <cell r="B43" t="str">
            <v>DCV Parking Garage-Retro</v>
          </cell>
        </row>
        <row r="44">
          <cell r="B44" t="str">
            <v>Weatherization - School-Retro</v>
          </cell>
        </row>
        <row r="45">
          <cell r="B45" t="str">
            <v>Energy Recovery Ventilator-NR</v>
          </cell>
          <cell r="U45">
            <v>0.25</v>
          </cell>
        </row>
        <row r="46">
          <cell r="B46" t="str">
            <v>AC Heat Recovery for Water Heating-NR</v>
          </cell>
        </row>
        <row r="47">
          <cell r="B47" t="str">
            <v>Room Occupancy Sensors in Lodging-Retro</v>
          </cell>
        </row>
        <row r="48">
          <cell r="B48" t="str">
            <v>Chiller - chilled water retrofit-Retro</v>
          </cell>
        </row>
        <row r="49">
          <cell r="B49" t="str">
            <v>Chiller - equip retrofits-Retro</v>
          </cell>
        </row>
        <row r="50">
          <cell r="B50" t="str">
            <v>Pool Blankets-Retro</v>
          </cell>
        </row>
        <row r="51">
          <cell r="B51" t="str">
            <v>Web-Enabled Thermostats-Retro</v>
          </cell>
        </row>
        <row r="52">
          <cell r="B52" t="str">
            <v>Garage CO2 ventilation-Retro</v>
          </cell>
        </row>
        <row r="53">
          <cell r="B53" t="str">
            <v>Circ Pump ECM and drive-Retro</v>
          </cell>
        </row>
        <row r="54">
          <cell r="B54" t="str">
            <v>VRF-New</v>
          </cell>
        </row>
        <row r="55">
          <cell r="B55" t="str">
            <v>VRF-Retro</v>
          </cell>
        </row>
        <row r="56">
          <cell r="B56" t="str">
            <v>Evaporator Roof Top HVAC-Retro</v>
          </cell>
        </row>
        <row r="57">
          <cell r="B57" t="str">
            <v>Secondary Glazing Systems-Retro</v>
          </cell>
        </row>
        <row r="58">
          <cell r="B58" t="str">
            <v>LPD Package-New</v>
          </cell>
        </row>
        <row r="59">
          <cell r="B59" t="str">
            <v>LPD Package-NR</v>
          </cell>
        </row>
        <row r="60">
          <cell r="B60" t="str">
            <v>LPD Package-Retro</v>
          </cell>
        </row>
        <row r="61">
          <cell r="B61" t="str">
            <v>Top Daylighting-New</v>
          </cell>
        </row>
        <row r="62">
          <cell r="B62" t="str">
            <v>Perimeter Daylighting Controls Advanced-New</v>
          </cell>
        </row>
        <row r="63">
          <cell r="B63" t="str">
            <v>Perimeter Daylighting Controls Advanced-NR</v>
          </cell>
        </row>
        <row r="64">
          <cell r="B64" t="str">
            <v>Lighting Controls Interior-New</v>
          </cell>
        </row>
        <row r="65">
          <cell r="B65" t="str">
            <v>Lighting Controls Interior-NR</v>
          </cell>
          <cell r="C65">
            <v>0.06</v>
          </cell>
          <cell r="D65">
            <v>0.06</v>
          </cell>
          <cell r="E65">
            <v>0.06</v>
          </cell>
          <cell r="F65">
            <v>0.06</v>
          </cell>
          <cell r="G65">
            <v>0.06</v>
          </cell>
          <cell r="H65">
            <v>0.06</v>
          </cell>
          <cell r="I65">
            <v>0.06</v>
          </cell>
          <cell r="J65">
            <v>0.06</v>
          </cell>
          <cell r="K65">
            <v>0.06</v>
          </cell>
          <cell r="L65">
            <v>0.06</v>
          </cell>
          <cell r="M65">
            <v>0.06</v>
          </cell>
          <cell r="N65">
            <v>0.06</v>
          </cell>
          <cell r="O65">
            <v>0.06</v>
          </cell>
          <cell r="P65">
            <v>0.06</v>
          </cell>
          <cell r="Q65">
            <v>0.06</v>
          </cell>
          <cell r="R65">
            <v>0.06</v>
          </cell>
          <cell r="S65">
            <v>0.06</v>
          </cell>
          <cell r="T65">
            <v>0.06</v>
          </cell>
          <cell r="V65" t="str">
            <v>Fixture or Ballast Replacement Cycle</v>
          </cell>
        </row>
        <row r="66">
          <cell r="B66" t="str">
            <v>Exterior Building Lighting-New</v>
          </cell>
          <cell r="U66">
            <v>0.2</v>
          </cell>
          <cell r="V66" t="str">
            <v xml:space="preserve">5-year cycle (lamp cycle) for luminiares requiring bucket truck.  </v>
          </cell>
        </row>
        <row r="67">
          <cell r="B67" t="str">
            <v>Exterior Building Lighting-NR</v>
          </cell>
          <cell r="U67">
            <v>0.2</v>
          </cell>
          <cell r="V67" t="str">
            <v>20-Year Fixture Life from CBSA REN RATE</v>
          </cell>
        </row>
        <row r="68">
          <cell r="B68" t="str">
            <v>Street and Roadway Lighting-New</v>
          </cell>
          <cell r="U68">
            <v>0.2</v>
          </cell>
          <cell r="V68" t="str">
            <v>Five year cycle for streetlight relamp (DOE &amp; Tarioffs)</v>
          </cell>
        </row>
        <row r="69">
          <cell r="B69" t="str">
            <v>Street and Roadway Lighting-NR</v>
          </cell>
          <cell r="U69">
            <v>0.2</v>
          </cell>
          <cell r="V69" t="str">
            <v>Five year cycle for streetlight relamp (DOE &amp; Tarioffs)</v>
          </cell>
        </row>
        <row r="70">
          <cell r="B70" t="str">
            <v>Parking Lighting-New</v>
          </cell>
        </row>
        <row r="71">
          <cell r="B71" t="str">
            <v>Parking Lighting-NR</v>
          </cell>
        </row>
        <row r="72">
          <cell r="B72" t="str">
            <v>Bi-Level Stairwell Lighting-NR</v>
          </cell>
        </row>
        <row r="73">
          <cell r="B73" t="str">
            <v>ECM-VAV-New</v>
          </cell>
        </row>
        <row r="74">
          <cell r="B74" t="str">
            <v>ECM-VAV-NR</v>
          </cell>
        </row>
        <row r="75">
          <cell r="B75" t="str">
            <v>Pool pumps-Retro</v>
          </cell>
        </row>
        <row r="76">
          <cell r="B76" t="str">
            <v>MotorsRewind-New</v>
          </cell>
        </row>
        <row r="77">
          <cell r="B77" t="str">
            <v>MotorsRewind-NR</v>
          </cell>
        </row>
        <row r="78">
          <cell r="B78" t="str">
            <v>Municipal Sewage Treatment-Retro</v>
          </cell>
          <cell r="C78">
            <v>0</v>
          </cell>
          <cell r="D78">
            <v>0</v>
          </cell>
          <cell r="E78">
            <v>0</v>
          </cell>
          <cell r="F78">
            <v>0</v>
          </cell>
          <cell r="G78">
            <v>0</v>
          </cell>
          <cell r="H78">
            <v>0</v>
          </cell>
          <cell r="I78">
            <v>0</v>
          </cell>
          <cell r="J78">
            <v>0</v>
          </cell>
          <cell r="K78">
            <v>0</v>
          </cell>
          <cell r="L78">
            <v>0</v>
          </cell>
          <cell r="M78">
            <v>0</v>
          </cell>
          <cell r="N78">
            <v>0</v>
          </cell>
          <cell r="O78">
            <v>0</v>
          </cell>
          <cell r="P78">
            <v>0</v>
          </cell>
          <cell r="Q78">
            <v>0</v>
          </cell>
          <cell r="R78">
            <v>0</v>
          </cell>
          <cell r="S78">
            <v>0</v>
          </cell>
          <cell r="T78">
            <v>0</v>
          </cell>
        </row>
        <row r="79">
          <cell r="B79" t="str">
            <v>Municipal Water Supply-Retro</v>
          </cell>
          <cell r="C79">
            <v>0</v>
          </cell>
          <cell r="D79">
            <v>0</v>
          </cell>
          <cell r="E79">
            <v>0</v>
          </cell>
          <cell r="F79">
            <v>0</v>
          </cell>
          <cell r="G79">
            <v>0</v>
          </cell>
          <cell r="H79">
            <v>0</v>
          </cell>
          <cell r="I79">
            <v>0</v>
          </cell>
          <cell r="J79">
            <v>0</v>
          </cell>
          <cell r="K79">
            <v>0</v>
          </cell>
          <cell r="L79">
            <v>0</v>
          </cell>
          <cell r="M79">
            <v>0</v>
          </cell>
          <cell r="N79">
            <v>0</v>
          </cell>
          <cell r="O79">
            <v>0</v>
          </cell>
          <cell r="P79">
            <v>0</v>
          </cell>
          <cell r="Q79">
            <v>0</v>
          </cell>
          <cell r="R79">
            <v>0</v>
          </cell>
          <cell r="S79">
            <v>0</v>
          </cell>
          <cell r="T79">
            <v>0</v>
          </cell>
        </row>
        <row r="80">
          <cell r="B80" t="str">
            <v>Engine Generator Block Heaters-Retro</v>
          </cell>
        </row>
        <row r="81">
          <cell r="B81" t="str">
            <v>Grocery Refrigeration Bundle-Retro</v>
          </cell>
        </row>
        <row r="82">
          <cell r="B82" t="str">
            <v>Packaged Refrigeration Equipment-New</v>
          </cell>
        </row>
        <row r="83">
          <cell r="B83" t="str">
            <v>Appliances - Freezers-NR</v>
          </cell>
        </row>
        <row r="84">
          <cell r="B84" t="str">
            <v>Appliances - Refrigerators-NR</v>
          </cell>
        </row>
        <row r="85">
          <cell r="B85" t="str">
            <v>Water Cooler Controls-NR</v>
          </cell>
        </row>
        <row r="86">
          <cell r="B86" t="str">
            <v>WHTanks-New</v>
          </cell>
        </row>
        <row r="87">
          <cell r="B87" t="str">
            <v>WHTanks-NR</v>
          </cell>
        </row>
        <row r="88">
          <cell r="B88" t="str">
            <v>Appliances - Clothes Washers-NR</v>
          </cell>
        </row>
        <row r="89">
          <cell r="B89" t="str">
            <v>Showerheads-Retro</v>
          </cell>
        </row>
        <row r="90">
          <cell r="B90" t="str">
            <v>Water Heating - GFHX-New</v>
          </cell>
        </row>
        <row r="91">
          <cell r="B91" t="str">
            <v>Demand Control Circulating system DHW-Retro</v>
          </cell>
        </row>
        <row r="92">
          <cell r="B92" t="str">
            <v>Central HPWH MF-Retro</v>
          </cell>
        </row>
        <row r="93">
          <cell r="B93" t="str">
            <v>Ultra Low Energy Building-New</v>
          </cell>
        </row>
        <row r="94">
          <cell r="B94" t="str">
            <v>Low Power LF Lamps-NR</v>
          </cell>
        </row>
      </sheetData>
      <sheetData sheetId="7">
        <row r="11">
          <cell r="C11" t="str">
            <v>LO1Slow</v>
          </cell>
          <cell r="D11">
            <v>2.5643970768378654E-3</v>
          </cell>
          <cell r="E11">
            <v>7.6904586297764643E-3</v>
          </cell>
          <cell r="F11">
            <v>1.6792013047419844E-2</v>
          </cell>
          <cell r="G11">
            <v>3.15969387774655E-2</v>
          </cell>
          <cell r="H11">
            <v>5.406874819795171E-2</v>
          </cell>
          <cell r="I11">
            <v>8.6253181011834101E-2</v>
          </cell>
          <cell r="J11">
            <v>0.1300328481838382</v>
          </cell>
          <cell r="K11">
            <v>0.18678710893858319</v>
          </cell>
          <cell r="L11">
            <v>0.2569823480072907</v>
          </cell>
          <cell r="M11">
            <v>0.33975920985004748</v>
          </cell>
          <cell r="N11">
            <v>0.43262946935754232</v>
          </cell>
          <cell r="O11">
            <v>0.53142594003645804</v>
          </cell>
          <cell r="P11">
            <v>0.63063487292644704</v>
          </cell>
          <cell r="Q11">
            <v>0.7241560234206913</v>
          </cell>
          <cell r="R11">
            <v>0.80638203131755359</v>
          </cell>
          <cell r="S11">
            <v>0.87331559734491926</v>
          </cell>
          <cell r="T11">
            <v>0.92334516248836807</v>
          </cell>
          <cell r="U11">
            <v>0.95737002770730018</v>
          </cell>
        </row>
        <row r="12">
          <cell r="C12" t="str">
            <v>LO50Fast</v>
          </cell>
          <cell r="D12">
            <v>0.45</v>
          </cell>
          <cell r="E12">
            <v>0.66</v>
          </cell>
          <cell r="F12">
            <v>0.8</v>
          </cell>
          <cell r="G12">
            <v>0.89</v>
          </cell>
          <cell r="H12">
            <v>0.94954036260972652</v>
          </cell>
          <cell r="I12">
            <v>0.97931054391458994</v>
          </cell>
          <cell r="J12">
            <v>0.99254173560564019</v>
          </cell>
          <cell r="K12">
            <v>0.99783421228206048</v>
          </cell>
          <cell r="L12">
            <v>0.99975874925530417</v>
          </cell>
          <cell r="M12">
            <v>1.0004002615797187</v>
          </cell>
          <cell r="N12">
            <v>1.0005976499872309</v>
          </cell>
          <cell r="O12">
            <v>1.0006540466750915</v>
          </cell>
          <cell r="P12">
            <v>1.0006690857918545</v>
          </cell>
          <cell r="Q12">
            <v>1.000672845571045</v>
          </cell>
          <cell r="R12">
            <v>1.0006737302249724</v>
          </cell>
          <cell r="S12">
            <v>1.0006739268147338</v>
          </cell>
          <cell r="T12">
            <v>1.0006739682020522</v>
          </cell>
          <cell r="U12">
            <v>1.0006739764795158</v>
          </cell>
        </row>
        <row r="13">
          <cell r="C13" t="str">
            <v>LO20Fast</v>
          </cell>
          <cell r="D13">
            <v>0.22119921692859512</v>
          </cell>
          <cell r="E13">
            <v>0.37624232795148943</v>
          </cell>
          <cell r="F13">
            <v>0.48357361352878442</v>
          </cell>
          <cell r="G13">
            <v>0.56716330278444227</v>
          </cell>
          <cell r="H13">
            <v>0.64040048266456928</v>
          </cell>
          <cell r="I13">
            <v>0.70377511937632964</v>
          </cell>
          <cell r="J13">
            <v>0.7580669577441127</v>
          </cell>
          <cell r="K13">
            <v>0.80419335000071168</v>
          </cell>
          <cell r="L13">
            <v>0.84311022627788457</v>
          </cell>
          <cell r="M13">
            <v>0.87575014259103623</v>
          </cell>
          <cell r="N13">
            <v>0.90298584871682319</v>
          </cell>
          <cell r="O13">
            <v>0.92419703797508856</v>
          </cell>
          <cell r="P13">
            <v>0.94071632877930145</v>
          </cell>
          <cell r="Q13">
            <v>0.95358156539340677</v>
          </cell>
          <cell r="R13">
            <v>0.96360102174287088</v>
          </cell>
          <cell r="S13">
            <v>0.97140418219378311</v>
          </cell>
          <cell r="T13">
            <v>0.97748128966338554</v>
          </cell>
          <cell r="U13">
            <v>0.98221414571952104</v>
          </cell>
        </row>
        <row r="14">
          <cell r="C14" t="str">
            <v>LOEven20</v>
          </cell>
          <cell r="D14">
            <v>0.05</v>
          </cell>
          <cell r="E14">
            <v>0.1</v>
          </cell>
          <cell r="F14">
            <v>0.15000000000000002</v>
          </cell>
          <cell r="G14">
            <v>0.2</v>
          </cell>
          <cell r="H14">
            <v>0.25</v>
          </cell>
          <cell r="I14">
            <v>0.3</v>
          </cell>
          <cell r="J14">
            <v>0.35</v>
          </cell>
          <cell r="K14">
            <v>0.39999999999999997</v>
          </cell>
          <cell r="L14">
            <v>0.44999999999999996</v>
          </cell>
          <cell r="M14">
            <v>0.49999999999999994</v>
          </cell>
          <cell r="N14">
            <v>0.54999999999999993</v>
          </cell>
          <cell r="O14">
            <v>0.6</v>
          </cell>
          <cell r="P14">
            <v>0.65</v>
          </cell>
          <cell r="Q14">
            <v>0.70000000000000007</v>
          </cell>
          <cell r="R14">
            <v>0.75000000000000011</v>
          </cell>
          <cell r="S14">
            <v>0.80000000000000016</v>
          </cell>
          <cell r="T14">
            <v>0.8500000000000002</v>
          </cell>
          <cell r="U14">
            <v>0.90000000000000024</v>
          </cell>
        </row>
        <row r="15">
          <cell r="C15" t="str">
            <v>LOMax60</v>
          </cell>
          <cell r="D15">
            <v>0.01</v>
          </cell>
          <cell r="E15">
            <v>2.98E-2</v>
          </cell>
          <cell r="F15">
            <v>5.8906E-2</v>
          </cell>
          <cell r="G15">
            <v>9.6549759999999998E-2</v>
          </cell>
          <cell r="H15">
            <v>0.14172227199999998</v>
          </cell>
          <cell r="I15">
            <v>0.19035800991999999</v>
          </cell>
          <cell r="J15">
            <v>0.2362377226912</v>
          </cell>
          <cell r="K15">
            <v>0.279517585072032</v>
          </cell>
          <cell r="L15">
            <v>0.32034492191795017</v>
          </cell>
          <cell r="M15">
            <v>0.35885870967593297</v>
          </cell>
          <cell r="N15">
            <v>0.39519004946096342</v>
          </cell>
          <cell r="O15">
            <v>0.42946261332484215</v>
          </cell>
          <cell r="P15">
            <v>0.46179306523643443</v>
          </cell>
          <cell r="Q15">
            <v>0.49229145820636983</v>
          </cell>
          <cell r="R15">
            <v>0.5210616089080089</v>
          </cell>
          <cell r="S15">
            <v>0.54820145106988838</v>
          </cell>
          <cell r="T15">
            <v>0.57380336884259475</v>
          </cell>
          <cell r="U15">
            <v>0.59795451127484767</v>
          </cell>
        </row>
        <row r="16">
          <cell r="C16" t="str">
            <v>LO3Slow</v>
          </cell>
          <cell r="D16">
            <v>5.5320496977002724E-3</v>
          </cell>
          <cell r="E16">
            <v>1.4227918344261844E-2</v>
          </cell>
          <cell r="F16">
            <v>3.1619655637384989E-2</v>
          </cell>
          <cell r="G16">
            <v>6.2055195900350503E-2</v>
          </cell>
          <cell r="H16">
            <v>0.10939936964274129</v>
          </cell>
          <cell r="I16">
            <v>0.17568121288208835</v>
          </cell>
          <cell r="J16">
            <v>0.26003992245943919</v>
          </cell>
          <cell r="K16">
            <v>0.3584584169663485</v>
          </cell>
          <cell r="L16">
            <v>0.46444756489686617</v>
          </cell>
          <cell r="M16">
            <v>0.57043671282738384</v>
          </cell>
          <cell r="N16">
            <v>0.66935991756253377</v>
          </cell>
          <cell r="O16">
            <v>0.75591772170578986</v>
          </cell>
          <cell r="P16">
            <v>0.82720061923553012</v>
          </cell>
          <cell r="Q16">
            <v>0.88264287286977261</v>
          </cell>
          <cell r="R16">
            <v>0.92349505975816193</v>
          </cell>
          <cell r="S16">
            <v>0.95209159058003434</v>
          </cell>
          <cell r="T16">
            <v>0.97115594446128262</v>
          </cell>
          <cell r="U16">
            <v>0.98328780602207699</v>
          </cell>
        </row>
        <row r="18">
          <cell r="B18" t="str">
            <v>Measure Index Name</v>
          </cell>
          <cell r="C18" t="str">
            <v>Ramp</v>
          </cell>
          <cell r="D18">
            <v>2016</v>
          </cell>
          <cell r="E18">
            <v>2017</v>
          </cell>
          <cell r="F18">
            <v>2018</v>
          </cell>
          <cell r="G18">
            <v>2019</v>
          </cell>
          <cell r="H18">
            <v>2020</v>
          </cell>
          <cell r="I18">
            <v>2021</v>
          </cell>
          <cell r="J18">
            <v>2022</v>
          </cell>
          <cell r="K18">
            <v>2023</v>
          </cell>
          <cell r="L18">
            <v>2024</v>
          </cell>
          <cell r="M18">
            <v>2025</v>
          </cell>
          <cell r="N18">
            <v>2026</v>
          </cell>
          <cell r="O18">
            <v>2027</v>
          </cell>
          <cell r="P18">
            <v>2028</v>
          </cell>
          <cell r="Q18">
            <v>2029</v>
          </cell>
          <cell r="R18">
            <v>2030</v>
          </cell>
          <cell r="S18">
            <v>2031</v>
          </cell>
          <cell r="T18">
            <v>2032</v>
          </cell>
          <cell r="U18">
            <v>2033</v>
          </cell>
        </row>
        <row r="19">
          <cell r="A19" t="str">
            <v>Compressed Air</v>
          </cell>
          <cell r="B19" t="str">
            <v>Compressed Air-Retro</v>
          </cell>
          <cell r="C19" t="str">
            <v>RetroEven20</v>
          </cell>
          <cell r="D19">
            <v>0.05</v>
          </cell>
          <cell r="E19">
            <v>0.05</v>
          </cell>
          <cell r="F19">
            <v>0.05</v>
          </cell>
          <cell r="G19">
            <v>0.05</v>
          </cell>
          <cell r="H19">
            <v>0.05</v>
          </cell>
          <cell r="I19">
            <v>0.05</v>
          </cell>
          <cell r="J19">
            <v>0.05</v>
          </cell>
          <cell r="K19">
            <v>0.05</v>
          </cell>
          <cell r="L19">
            <v>0.05</v>
          </cell>
          <cell r="M19">
            <v>0.05</v>
          </cell>
          <cell r="N19">
            <v>0.05</v>
          </cell>
          <cell r="O19">
            <v>0.05</v>
          </cell>
          <cell r="P19">
            <v>0.05</v>
          </cell>
          <cell r="Q19">
            <v>0.05</v>
          </cell>
          <cell r="R19">
            <v>0.05</v>
          </cell>
          <cell r="S19">
            <v>0.05</v>
          </cell>
          <cell r="T19">
            <v>0.05</v>
          </cell>
          <cell r="U19">
            <v>0.05</v>
          </cell>
          <cell r="V19">
            <v>0.05</v>
          </cell>
          <cell r="W19">
            <v>0.05</v>
          </cell>
        </row>
        <row r="20">
          <cell r="A20" t="str">
            <v>Compressed Air</v>
          </cell>
          <cell r="B20" t="str">
            <v>Compressed Air-NR</v>
          </cell>
          <cell r="C20" t="str">
            <v>LOEven20</v>
          </cell>
          <cell r="D20">
            <v>0.05</v>
          </cell>
          <cell r="E20">
            <v>0.1</v>
          </cell>
          <cell r="F20">
            <v>0.15000000000000002</v>
          </cell>
          <cell r="G20">
            <v>0.2</v>
          </cell>
          <cell r="H20">
            <v>0.25</v>
          </cell>
          <cell r="I20">
            <v>0.3</v>
          </cell>
          <cell r="J20">
            <v>0.35</v>
          </cell>
          <cell r="K20">
            <v>0.39999999999999997</v>
          </cell>
          <cell r="L20">
            <v>0.44999999999999996</v>
          </cell>
          <cell r="M20">
            <v>0.49999999999999994</v>
          </cell>
          <cell r="N20">
            <v>0.54999999999999993</v>
          </cell>
          <cell r="O20">
            <v>0.6</v>
          </cell>
          <cell r="P20">
            <v>0.65</v>
          </cell>
          <cell r="Q20">
            <v>0.70000000000000007</v>
          </cell>
          <cell r="R20">
            <v>0.75000000000000011</v>
          </cell>
          <cell r="S20">
            <v>0.80000000000000016</v>
          </cell>
          <cell r="T20">
            <v>0.8500000000000002</v>
          </cell>
          <cell r="U20">
            <v>0.90000000000000024</v>
          </cell>
          <cell r="V20">
            <v>0.95000000000000029</v>
          </cell>
          <cell r="W20">
            <v>1.0000000000000002</v>
          </cell>
        </row>
        <row r="21">
          <cell r="A21" t="str">
            <v>Electronics</v>
          </cell>
          <cell r="B21" t="str">
            <v>Network PC Power Management-Retro</v>
          </cell>
          <cell r="C21" t="str">
            <v>Retro20Fast</v>
          </cell>
          <cell r="D21">
            <v>0.22119921692859512</v>
          </cell>
          <cell r="E21">
            <v>0.15504311102289431</v>
          </cell>
          <cell r="F21">
            <v>0.10733128557729499</v>
          </cell>
          <cell r="G21">
            <v>8.3589689255657879E-2</v>
          </cell>
          <cell r="H21">
            <v>7.3237179880126971E-2</v>
          </cell>
          <cell r="I21">
            <v>6.3374636711760357E-2</v>
          </cell>
          <cell r="J21">
            <v>5.4291838367783084E-2</v>
          </cell>
          <cell r="K21">
            <v>4.612639225659896E-2</v>
          </cell>
          <cell r="L21">
            <v>3.8916876277172864E-2</v>
          </cell>
          <cell r="M21">
            <v>3.2639916313151704E-2</v>
          </cell>
          <cell r="N21">
            <v>2.7235706125786907E-2</v>
          </cell>
          <cell r="O21">
            <v>2.1211189258265428E-2</v>
          </cell>
          <cell r="P21">
            <v>1.6519290804212883E-2</v>
          </cell>
          <cell r="Q21">
            <v>1.2865236614105324E-2</v>
          </cell>
          <cell r="R21">
            <v>1.0019456349464106E-2</v>
          </cell>
          <cell r="S21">
            <v>7.8031604509122832E-3</v>
          </cell>
          <cell r="T21">
            <v>6.077107469602494E-3</v>
          </cell>
          <cell r="U21">
            <v>4.7328560561354371E-3</v>
          </cell>
          <cell r="V21">
            <v>3.6859520026825132E-3</v>
          </cell>
          <cell r="W21">
            <v>2.8706223060526725E-3</v>
          </cell>
        </row>
        <row r="22">
          <cell r="A22" t="str">
            <v>Electronics</v>
          </cell>
          <cell r="B22" t="str">
            <v>Laptop-NR</v>
          </cell>
          <cell r="C22" t="str">
            <v>LO5Med</v>
          </cell>
          <cell r="D22">
            <v>4.2999999999999997E-2</v>
          </cell>
          <cell r="E22">
            <v>9.5797142280278316E-2</v>
          </cell>
          <cell r="F22">
            <v>0.16040539374775648</v>
          </cell>
          <cell r="G22">
            <v>0.23540539374775649</v>
          </cell>
          <cell r="H22">
            <v>0.32095239121809005</v>
          </cell>
          <cell r="I22">
            <v>0.42096711425629652</v>
          </cell>
          <cell r="J22">
            <v>0.53068481860864725</v>
          </cell>
          <cell r="K22">
            <v>0.642769203728351</v>
          </cell>
          <cell r="L22">
            <v>0.74839528535557953</v>
          </cell>
          <cell r="M22">
            <v>0.83918984935345187</v>
          </cell>
          <cell r="N22">
            <v>0.90945051634530116</v>
          </cell>
          <cell r="O22">
            <v>0.9576688767502457</v>
          </cell>
          <cell r="P22">
            <v>0.9865231113648858</v>
          </cell>
          <cell r="Q22">
            <v>1.0012970762896924</v>
          </cell>
          <cell r="R22">
            <v>1.0076356106578106</v>
          </cell>
          <cell r="S22">
            <v>1.0098624683774413</v>
          </cell>
          <cell r="T22">
            <v>1.0104871783970797</v>
          </cell>
          <cell r="U22">
            <v>1.010623336815976</v>
          </cell>
          <cell r="V22">
            <v>1.0106457174525985</v>
          </cell>
          <cell r="W22">
            <v>1.0106484038909742</v>
          </cell>
        </row>
        <row r="23">
          <cell r="A23" t="str">
            <v>Electronics</v>
          </cell>
          <cell r="B23" t="str">
            <v>Smart Plug Power Strips-Retro</v>
          </cell>
          <cell r="C23" t="str">
            <v>Retro12Med</v>
          </cell>
          <cell r="D23">
            <v>0.10937459468255628</v>
          </cell>
          <cell r="E23">
            <v>0.10937459468255628</v>
          </cell>
          <cell r="F23">
            <v>0.10937459468255628</v>
          </cell>
          <cell r="G23">
            <v>0.10937459468255628</v>
          </cell>
          <cell r="H23">
            <v>0.10937459468255628</v>
          </cell>
          <cell r="I23">
            <v>9.8437135214300656E-2</v>
          </cell>
          <cell r="J23">
            <v>7.874970817144053E-2</v>
          </cell>
          <cell r="K23">
            <v>6.2999766537152418E-2</v>
          </cell>
          <cell r="L23">
            <v>5.0399813229721938E-2</v>
          </cell>
          <cell r="M23">
            <v>4.0319850583777551E-2</v>
          </cell>
          <cell r="N23">
            <v>3.225588046702204E-2</v>
          </cell>
          <cell r="O23">
            <v>2.5804704373617631E-2</v>
          </cell>
          <cell r="P23">
            <v>2.0643763498894106E-2</v>
          </cell>
          <cell r="Q23">
            <v>1.6515010799115284E-2</v>
          </cell>
          <cell r="R23">
            <v>1.3212008639292228E-2</v>
          </cell>
          <cell r="S23">
            <v>1.0569606911433781E-2</v>
          </cell>
          <cell r="T23">
            <v>7.2092823794611682E-5</v>
          </cell>
          <cell r="U23">
            <v>2.5747437069512102E-5</v>
          </cell>
          <cell r="V23">
            <v>8.7775353646568632E-6</v>
          </cell>
          <cell r="W23">
            <v>2.8622397928446119E-6</v>
          </cell>
        </row>
        <row r="24">
          <cell r="A24" t="str">
            <v>Electronics</v>
          </cell>
          <cell r="B24" t="str">
            <v>Data Centers-NR</v>
          </cell>
          <cell r="C24" t="str">
            <v>LO5Med</v>
          </cell>
          <cell r="D24">
            <v>4.2999999999999997E-2</v>
          </cell>
          <cell r="E24">
            <v>9.5797142280278316E-2</v>
          </cell>
          <cell r="F24">
            <v>0.16040539374775648</v>
          </cell>
          <cell r="G24">
            <v>0.23540539374775649</v>
          </cell>
          <cell r="H24">
            <v>0.32095239121809005</v>
          </cell>
          <cell r="I24">
            <v>0.42096711425629652</v>
          </cell>
          <cell r="J24">
            <v>0.53068481860864725</v>
          </cell>
          <cell r="K24">
            <v>0.642769203728351</v>
          </cell>
          <cell r="L24">
            <v>0.74839528535557953</v>
          </cell>
          <cell r="M24">
            <v>0.83918984935345187</v>
          </cell>
          <cell r="N24">
            <v>0.90945051634530116</v>
          </cell>
          <cell r="O24">
            <v>0.9576688767502457</v>
          </cell>
          <cell r="P24">
            <v>0.9865231113648858</v>
          </cell>
          <cell r="Q24">
            <v>1.0012970762896924</v>
          </cell>
          <cell r="R24">
            <v>1.0076356106578106</v>
          </cell>
          <cell r="S24">
            <v>1.0098624683774413</v>
          </cell>
          <cell r="T24">
            <v>1.0104871783970797</v>
          </cell>
          <cell r="U24">
            <v>1.010623336815976</v>
          </cell>
          <cell r="V24">
            <v>1.0106457174525985</v>
          </cell>
          <cell r="W24">
            <v>1.0106484038909742</v>
          </cell>
        </row>
        <row r="25">
          <cell r="A25" t="str">
            <v>Electronics</v>
          </cell>
          <cell r="B25" t="str">
            <v>Monitor-NR</v>
          </cell>
          <cell r="C25" t="str">
            <v>LO50Fast</v>
          </cell>
          <cell r="D25">
            <v>0.45</v>
          </cell>
          <cell r="E25">
            <v>0.66</v>
          </cell>
          <cell r="F25">
            <v>0.8</v>
          </cell>
          <cell r="G25">
            <v>0.89</v>
          </cell>
          <cell r="H25">
            <v>0.94954036260972652</v>
          </cell>
          <cell r="I25">
            <v>0.97931054391458994</v>
          </cell>
          <cell r="J25">
            <v>0.99254173560564019</v>
          </cell>
          <cell r="K25">
            <v>0.99783421228206048</v>
          </cell>
          <cell r="L25">
            <v>0.99975874925530417</v>
          </cell>
          <cell r="M25">
            <v>1.0004002615797187</v>
          </cell>
          <cell r="N25">
            <v>1.0005976499872309</v>
          </cell>
          <cell r="O25">
            <v>1.0006540466750915</v>
          </cell>
          <cell r="P25">
            <v>1.0006690857918545</v>
          </cell>
          <cell r="Q25">
            <v>1.000672845571045</v>
          </cell>
          <cell r="R25">
            <v>1.0006737302249724</v>
          </cell>
          <cell r="S25">
            <v>1.0006739268147338</v>
          </cell>
          <cell r="T25">
            <v>1.0006739682020522</v>
          </cell>
          <cell r="U25">
            <v>1.0006739764795158</v>
          </cell>
          <cell r="V25">
            <v>1.0006739780561755</v>
          </cell>
          <cell r="W25">
            <v>1.0006739783428409</v>
          </cell>
        </row>
        <row r="26">
          <cell r="A26" t="str">
            <v>Electronics</v>
          </cell>
          <cell r="B26" t="str">
            <v>Desktop-NR</v>
          </cell>
          <cell r="C26" t="str">
            <v>LO50Fast</v>
          </cell>
          <cell r="D26">
            <v>0.45</v>
          </cell>
          <cell r="E26">
            <v>0.66</v>
          </cell>
          <cell r="F26">
            <v>0.8</v>
          </cell>
          <cell r="G26">
            <v>0.89</v>
          </cell>
          <cell r="H26">
            <v>0.94954036260972652</v>
          </cell>
          <cell r="I26">
            <v>0.97931054391458994</v>
          </cell>
          <cell r="J26">
            <v>0.99254173560564019</v>
          </cell>
          <cell r="K26">
            <v>0.99783421228206048</v>
          </cell>
          <cell r="L26">
            <v>0.99975874925530417</v>
          </cell>
          <cell r="M26">
            <v>1.0004002615797187</v>
          </cell>
          <cell r="N26">
            <v>1.0005976499872309</v>
          </cell>
          <cell r="O26">
            <v>1.0006540466750915</v>
          </cell>
          <cell r="P26">
            <v>1.0006690857918545</v>
          </cell>
          <cell r="Q26">
            <v>1.000672845571045</v>
          </cell>
          <cell r="R26">
            <v>1.0006737302249724</v>
          </cell>
          <cell r="S26">
            <v>1.0006739268147338</v>
          </cell>
          <cell r="T26">
            <v>1.0006739682020522</v>
          </cell>
          <cell r="U26">
            <v>1.0006739764795158</v>
          </cell>
          <cell r="V26">
            <v>1.0006739780561755</v>
          </cell>
          <cell r="W26">
            <v>1.0006739783428409</v>
          </cell>
        </row>
        <row r="27">
          <cell r="A27" t="str">
            <v>Food Preparation</v>
          </cell>
          <cell r="B27" t="str">
            <v>Pre-Rinse Spray Valve-Retro</v>
          </cell>
          <cell r="C27" t="str">
            <v>Retro12Med</v>
          </cell>
          <cell r="D27">
            <v>0.10937459468255628</v>
          </cell>
          <cell r="E27">
            <v>0.10937459468255628</v>
          </cell>
          <cell r="F27">
            <v>0.10937459468255628</v>
          </cell>
          <cell r="G27">
            <v>0.10937459468255628</v>
          </cell>
          <cell r="H27">
            <v>0.10937459468255628</v>
          </cell>
          <cell r="I27">
            <v>9.8437135214300656E-2</v>
          </cell>
          <cell r="J27">
            <v>7.874970817144053E-2</v>
          </cell>
          <cell r="K27">
            <v>6.2999766537152418E-2</v>
          </cell>
          <cell r="L27">
            <v>5.0399813229721938E-2</v>
          </cell>
          <cell r="M27">
            <v>4.0319850583777551E-2</v>
          </cell>
          <cell r="N27">
            <v>3.225588046702204E-2</v>
          </cell>
          <cell r="O27">
            <v>2.5804704373617631E-2</v>
          </cell>
          <cell r="P27">
            <v>2.0643763498894106E-2</v>
          </cell>
          <cell r="Q27">
            <v>1.6515010799115284E-2</v>
          </cell>
          <cell r="R27">
            <v>1.3212008639292228E-2</v>
          </cell>
          <cell r="S27">
            <v>1.0569606911433781E-2</v>
          </cell>
          <cell r="T27">
            <v>7.2092823794611682E-5</v>
          </cell>
          <cell r="U27">
            <v>2.5747437069512102E-5</v>
          </cell>
          <cell r="V27">
            <v>8.7775353646568632E-6</v>
          </cell>
          <cell r="W27">
            <v>2.8622397928446119E-6</v>
          </cell>
        </row>
        <row r="28">
          <cell r="A28" t="str">
            <v>Food Preparation</v>
          </cell>
          <cell r="B28" t="str">
            <v>Cooking Equipment-NR</v>
          </cell>
          <cell r="C28" t="str">
            <v>LO5Med</v>
          </cell>
          <cell r="D28">
            <v>4.2999999999999997E-2</v>
          </cell>
          <cell r="E28">
            <v>9.5797142280278316E-2</v>
          </cell>
          <cell r="F28">
            <v>0.16040539374775648</v>
          </cell>
          <cell r="G28">
            <v>0.23540539374775649</v>
          </cell>
          <cell r="H28">
            <v>0.32095239121809005</v>
          </cell>
          <cell r="I28">
            <v>0.42096711425629652</v>
          </cell>
          <cell r="J28">
            <v>0.53068481860864725</v>
          </cell>
          <cell r="K28">
            <v>0.642769203728351</v>
          </cell>
          <cell r="L28">
            <v>0.74839528535557953</v>
          </cell>
          <cell r="M28">
            <v>0.83918984935345187</v>
          </cell>
          <cell r="N28">
            <v>0.90945051634530116</v>
          </cell>
          <cell r="O28">
            <v>0.9576688767502457</v>
          </cell>
          <cell r="P28">
            <v>0.9865231113648858</v>
          </cell>
          <cell r="Q28">
            <v>1.0012970762896924</v>
          </cell>
          <cell r="R28">
            <v>1.0076356106578106</v>
          </cell>
          <cell r="S28">
            <v>1.0098624683774413</v>
          </cell>
          <cell r="T28">
            <v>1.0104871783970797</v>
          </cell>
          <cell r="U28">
            <v>1.010623336815976</v>
          </cell>
          <cell r="V28">
            <v>1.0106457174525985</v>
          </cell>
          <cell r="W28">
            <v>1.0106484038909742</v>
          </cell>
        </row>
        <row r="29">
          <cell r="A29" t="str">
            <v>HVAC</v>
          </cell>
          <cell r="B29" t="str">
            <v>Premium HVAC Equipment-New</v>
          </cell>
          <cell r="C29" t="str">
            <v>LO20Fast</v>
          </cell>
          <cell r="D29">
            <v>0.22119921692859512</v>
          </cell>
          <cell r="E29">
            <v>0.37624232795148943</v>
          </cell>
          <cell r="F29">
            <v>0.48357361352878442</v>
          </cell>
          <cell r="G29">
            <v>0.56716330278444227</v>
          </cell>
          <cell r="H29">
            <v>0.64040048266456928</v>
          </cell>
          <cell r="I29">
            <v>0.70377511937632964</v>
          </cell>
          <cell r="J29">
            <v>0.7580669577441127</v>
          </cell>
          <cell r="K29">
            <v>0.80419335000071168</v>
          </cell>
          <cell r="L29">
            <v>0.84311022627788457</v>
          </cell>
          <cell r="M29">
            <v>0.87575014259103623</v>
          </cell>
          <cell r="N29">
            <v>0.90298584871682319</v>
          </cell>
          <cell r="O29">
            <v>0.92419703797508856</v>
          </cell>
          <cell r="P29">
            <v>0.94071632877930145</v>
          </cell>
          <cell r="Q29">
            <v>0.95358156539340677</v>
          </cell>
          <cell r="R29">
            <v>0.96360102174287088</v>
          </cell>
          <cell r="S29">
            <v>0.97140418219378311</v>
          </cell>
          <cell r="T29">
            <v>0.97748128966338554</v>
          </cell>
          <cell r="U29">
            <v>0.98221414571952104</v>
          </cell>
          <cell r="V29">
            <v>0.98590009772220355</v>
          </cell>
          <cell r="W29">
            <v>0.98877072002825628</v>
          </cell>
        </row>
        <row r="30">
          <cell r="A30" t="str">
            <v>HVAC</v>
          </cell>
          <cell r="B30" t="str">
            <v>Premium HVAC Equipment-NR</v>
          </cell>
          <cell r="C30" t="str">
            <v>LO20Fast</v>
          </cell>
          <cell r="D30">
            <v>0.22119921692859512</v>
          </cell>
          <cell r="E30">
            <v>0.37624232795148943</v>
          </cell>
          <cell r="F30">
            <v>0.48357361352878442</v>
          </cell>
          <cell r="G30">
            <v>0.56716330278444227</v>
          </cell>
          <cell r="H30">
            <v>0.64040048266456928</v>
          </cell>
          <cell r="I30">
            <v>0.70377511937632964</v>
          </cell>
          <cell r="J30">
            <v>0.7580669577441127</v>
          </cell>
          <cell r="K30">
            <v>0.80419335000071168</v>
          </cell>
          <cell r="L30">
            <v>0.84311022627788457</v>
          </cell>
          <cell r="M30">
            <v>0.87575014259103623</v>
          </cell>
          <cell r="N30">
            <v>0.90298584871682319</v>
          </cell>
          <cell r="O30">
            <v>0.92419703797508856</v>
          </cell>
          <cell r="P30">
            <v>0.94071632877930145</v>
          </cell>
          <cell r="Q30">
            <v>0.95358156539340677</v>
          </cell>
          <cell r="R30">
            <v>0.96360102174287088</v>
          </cell>
          <cell r="S30">
            <v>0.97140418219378311</v>
          </cell>
          <cell r="T30">
            <v>0.97748128966338554</v>
          </cell>
          <cell r="U30">
            <v>0.98221414571952104</v>
          </cell>
          <cell r="V30">
            <v>0.98590009772220355</v>
          </cell>
          <cell r="W30">
            <v>0.98877072002825628</v>
          </cell>
        </row>
        <row r="31">
          <cell r="A31" t="str">
            <v>HVAC</v>
          </cell>
          <cell r="B31" t="str">
            <v>Glass-New</v>
          </cell>
          <cell r="C31" t="str">
            <v>LO5Med</v>
          </cell>
          <cell r="D31">
            <v>4.2999999999999997E-2</v>
          </cell>
          <cell r="E31">
            <v>9.5797142280278316E-2</v>
          </cell>
          <cell r="F31">
            <v>0.16040539374775648</v>
          </cell>
          <cell r="G31">
            <v>0.23540539374775649</v>
          </cell>
          <cell r="H31">
            <v>0.32095239121809005</v>
          </cell>
          <cell r="I31">
            <v>0.42096711425629652</v>
          </cell>
          <cell r="J31">
            <v>0.53068481860864725</v>
          </cell>
          <cell r="K31">
            <v>0.642769203728351</v>
          </cell>
          <cell r="L31">
            <v>0.74839528535557953</v>
          </cell>
          <cell r="M31">
            <v>0.83918984935345187</v>
          </cell>
          <cell r="N31">
            <v>0.90945051634530116</v>
          </cell>
          <cell r="O31">
            <v>0.9576688767502457</v>
          </cell>
          <cell r="P31">
            <v>0.9865231113648858</v>
          </cell>
          <cell r="Q31">
            <v>1.0012970762896924</v>
          </cell>
          <cell r="R31">
            <v>1.0076356106578106</v>
          </cell>
          <cell r="S31">
            <v>1.0098624683774413</v>
          </cell>
          <cell r="T31">
            <v>1.0104871783970797</v>
          </cell>
          <cell r="U31">
            <v>1.010623336815976</v>
          </cell>
          <cell r="V31">
            <v>1.0106457174525985</v>
          </cell>
          <cell r="W31">
            <v>1.0106484038909742</v>
          </cell>
        </row>
        <row r="32">
          <cell r="A32" t="str">
            <v>HVAC</v>
          </cell>
          <cell r="B32" t="str">
            <v>Glass-NR</v>
          </cell>
          <cell r="C32" t="str">
            <v>LO5Med</v>
          </cell>
          <cell r="D32">
            <v>4.2999999999999997E-2</v>
          </cell>
          <cell r="E32">
            <v>9.5797142280278316E-2</v>
          </cell>
          <cell r="F32">
            <v>0.16040539374775648</v>
          </cell>
          <cell r="G32">
            <v>0.23540539374775649</v>
          </cell>
          <cell r="H32">
            <v>0.32095239121809005</v>
          </cell>
          <cell r="I32">
            <v>0.42096711425629652</v>
          </cell>
          <cell r="J32">
            <v>0.53068481860864725</v>
          </cell>
          <cell r="K32">
            <v>0.642769203728351</v>
          </cell>
          <cell r="L32">
            <v>0.74839528535557953</v>
          </cell>
          <cell r="M32">
            <v>0.83918984935345187</v>
          </cell>
          <cell r="N32">
            <v>0.90945051634530116</v>
          </cell>
          <cell r="O32">
            <v>0.9576688767502457</v>
          </cell>
          <cell r="P32">
            <v>0.9865231113648858</v>
          </cell>
          <cell r="Q32">
            <v>1.0012970762896924</v>
          </cell>
          <cell r="R32">
            <v>1.0076356106578106</v>
          </cell>
          <cell r="S32">
            <v>1.0098624683774413</v>
          </cell>
          <cell r="T32">
            <v>1.0104871783970797</v>
          </cell>
          <cell r="U32">
            <v>1.010623336815976</v>
          </cell>
          <cell r="V32">
            <v>1.0106457174525985</v>
          </cell>
          <cell r="W32">
            <v>1.0106484038909742</v>
          </cell>
        </row>
        <row r="33">
          <cell r="A33" t="str">
            <v>HVAC</v>
          </cell>
          <cell r="B33" t="str">
            <v>Glass-Retro</v>
          </cell>
          <cell r="C33" t="str">
            <v>Retro1Slow</v>
          </cell>
          <cell r="D33">
            <v>2.5643970768378654E-3</v>
          </cell>
          <cell r="E33">
            <v>5.1260615529385989E-3</v>
          </cell>
          <cell r="F33">
            <v>9.1015544176433795E-3</v>
          </cell>
          <cell r="G33">
            <v>1.4804925730045659E-2</v>
          </cell>
          <cell r="H33">
            <v>2.2471809420486211E-2</v>
          </cell>
          <cell r="I33">
            <v>3.2184432813882391E-2</v>
          </cell>
          <cell r="J33">
            <v>4.3779667172004086E-2</v>
          </cell>
          <cell r="K33">
            <v>5.675426075474499E-2</v>
          </cell>
          <cell r="L33">
            <v>7.0195239068707532E-2</v>
          </cell>
          <cell r="M33">
            <v>8.2776861842756788E-2</v>
          </cell>
          <cell r="N33">
            <v>9.2870259507494834E-2</v>
          </cell>
          <cell r="O33">
            <v>9.8796470678915727E-2</v>
          </cell>
          <cell r="P33">
            <v>9.9208932889988999E-2</v>
          </cell>
          <cell r="Q33">
            <v>9.3521150494244254E-2</v>
          </cell>
          <cell r="R33">
            <v>8.2226007896862296E-2</v>
          </cell>
          <cell r="S33">
            <v>6.6933566027365665E-2</v>
          </cell>
          <cell r="T33">
            <v>5.0029565143448806E-2</v>
          </cell>
          <cell r="U33">
            <v>3.402486521893211E-2</v>
          </cell>
          <cell r="V33">
            <v>2.0846059340774659E-2</v>
          </cell>
          <cell r="W33">
            <v>0.01</v>
          </cell>
        </row>
        <row r="34">
          <cell r="A34" t="str">
            <v>HVAC</v>
          </cell>
          <cell r="B34" t="str">
            <v>Advanced Rooftop Controller-New</v>
          </cell>
          <cell r="C34" t="str">
            <v>LO3Slow</v>
          </cell>
          <cell r="D34">
            <v>5.5320496977002724E-3</v>
          </cell>
          <cell r="E34">
            <v>1.4227918344261844E-2</v>
          </cell>
          <cell r="F34">
            <v>3.1619655637384989E-2</v>
          </cell>
          <cell r="G34">
            <v>6.2055195900350503E-2</v>
          </cell>
          <cell r="H34">
            <v>0.10939936964274129</v>
          </cell>
          <cell r="I34">
            <v>0.17568121288208835</v>
          </cell>
          <cell r="J34">
            <v>0.26003992245943919</v>
          </cell>
          <cell r="K34">
            <v>0.3584584169663485</v>
          </cell>
          <cell r="L34">
            <v>0.46444756489686617</v>
          </cell>
          <cell r="M34">
            <v>0.57043671282738384</v>
          </cell>
          <cell r="N34">
            <v>0.66935991756253377</v>
          </cell>
          <cell r="O34">
            <v>0.75591772170578986</v>
          </cell>
          <cell r="P34">
            <v>0.82720061923553012</v>
          </cell>
          <cell r="Q34">
            <v>0.88264287286977261</v>
          </cell>
          <cell r="R34">
            <v>0.92349505975816193</v>
          </cell>
          <cell r="S34">
            <v>0.95209159058003434</v>
          </cell>
          <cell r="T34">
            <v>0.97115594446128262</v>
          </cell>
          <cell r="U34">
            <v>0.98328780602207699</v>
          </cell>
          <cell r="V34">
            <v>0.99067241740690848</v>
          </cell>
          <cell r="W34">
            <v>0.99498010738139331</v>
          </cell>
        </row>
        <row r="35">
          <cell r="A35" t="str">
            <v>HVAC</v>
          </cell>
          <cell r="B35" t="str">
            <v>Advanced Rooftop Controller-NR</v>
          </cell>
          <cell r="C35" t="str">
            <v>LO3Slow</v>
          </cell>
          <cell r="D35">
            <v>5.5320496977002724E-3</v>
          </cell>
          <cell r="E35">
            <v>1.4227918344261844E-2</v>
          </cell>
          <cell r="F35">
            <v>3.1619655637384989E-2</v>
          </cell>
          <cell r="G35">
            <v>6.2055195900350503E-2</v>
          </cell>
          <cell r="H35">
            <v>0.10939936964274129</v>
          </cell>
          <cell r="I35">
            <v>0.17568121288208835</v>
          </cell>
          <cell r="J35">
            <v>0.26003992245943919</v>
          </cell>
          <cell r="K35">
            <v>0.3584584169663485</v>
          </cell>
          <cell r="L35">
            <v>0.46444756489686617</v>
          </cell>
          <cell r="M35">
            <v>0.57043671282738384</v>
          </cell>
          <cell r="N35">
            <v>0.66935991756253377</v>
          </cell>
          <cell r="O35">
            <v>0.75591772170578986</v>
          </cell>
          <cell r="P35">
            <v>0.82720061923553012</v>
          </cell>
          <cell r="Q35">
            <v>0.88264287286977261</v>
          </cell>
          <cell r="R35">
            <v>0.92349505975816193</v>
          </cell>
          <cell r="S35">
            <v>0.95209159058003434</v>
          </cell>
          <cell r="T35">
            <v>0.97115594446128262</v>
          </cell>
          <cell r="U35">
            <v>0.98328780602207699</v>
          </cell>
          <cell r="V35">
            <v>0.99067241740690848</v>
          </cell>
          <cell r="W35">
            <v>0.99498010738139331</v>
          </cell>
        </row>
        <row r="36">
          <cell r="A36" t="str">
            <v>HVAC</v>
          </cell>
          <cell r="B36" t="str">
            <v>Advanced Rooftop Controller-Retro</v>
          </cell>
          <cell r="C36" t="str">
            <v>Retro3Slow</v>
          </cell>
          <cell r="D36">
            <v>5.5320496977002724E-3</v>
          </cell>
          <cell r="E36">
            <v>8.6958686465615706E-3</v>
          </cell>
          <cell r="F36">
            <v>1.7391737293123145E-2</v>
          </cell>
          <cell r="G36">
            <v>3.0435540262965514E-2</v>
          </cell>
          <cell r="H36">
            <v>4.7344173742390784E-2</v>
          </cell>
          <cell r="I36">
            <v>6.6281843239347063E-2</v>
          </cell>
          <cell r="J36">
            <v>8.4358709577350838E-2</v>
          </cell>
          <cell r="K36">
            <v>9.8418494506909315E-2</v>
          </cell>
          <cell r="L36">
            <v>0.10598914793051767</v>
          </cell>
          <cell r="M36">
            <v>0.10598914793051767</v>
          </cell>
          <cell r="N36">
            <v>9.8923204735149928E-2</v>
          </cell>
          <cell r="O36">
            <v>8.655780414325609E-2</v>
          </cell>
          <cell r="P36">
            <v>7.1282897529740263E-2</v>
          </cell>
          <cell r="Q36">
            <v>5.5442253634242489E-2</v>
          </cell>
          <cell r="R36">
            <v>4.0852186888389319E-2</v>
          </cell>
          <cell r="S36">
            <v>2.8596530821872412E-2</v>
          </cell>
          <cell r="T36">
            <v>1.9064353881248275E-2</v>
          </cell>
          <cell r="U36">
            <v>1.2131861560794377E-2</v>
          </cell>
          <cell r="V36">
            <v>7.3846113848314854E-3</v>
          </cell>
          <cell r="W36">
            <v>4.3076899744848296E-3</v>
          </cell>
        </row>
        <row r="37">
          <cell r="A37" t="str">
            <v>HVAC</v>
          </cell>
          <cell r="B37" t="str">
            <v>Variable Speed Chiller-New</v>
          </cell>
          <cell r="C37" t="str">
            <v>LO50Fast</v>
          </cell>
          <cell r="D37">
            <v>0.45</v>
          </cell>
          <cell r="E37">
            <v>0.66</v>
          </cell>
          <cell r="F37">
            <v>0.8</v>
          </cell>
          <cell r="G37">
            <v>0.89</v>
          </cell>
          <cell r="H37">
            <v>0.94954036260972652</v>
          </cell>
          <cell r="I37">
            <v>0.97931054391458994</v>
          </cell>
          <cell r="J37">
            <v>0.99254173560564019</v>
          </cell>
          <cell r="K37">
            <v>0.99783421228206048</v>
          </cell>
          <cell r="L37">
            <v>0.99975874925530417</v>
          </cell>
          <cell r="M37">
            <v>1.0004002615797187</v>
          </cell>
          <cell r="N37">
            <v>1.0005976499872309</v>
          </cell>
          <cell r="O37">
            <v>1.0006540466750915</v>
          </cell>
          <cell r="P37">
            <v>1.0006690857918545</v>
          </cell>
          <cell r="Q37">
            <v>1.000672845571045</v>
          </cell>
          <cell r="R37">
            <v>1.0006737302249724</v>
          </cell>
          <cell r="S37">
            <v>1.0006739268147338</v>
          </cell>
          <cell r="T37">
            <v>1.0006739682020522</v>
          </cell>
          <cell r="U37">
            <v>1.0006739764795158</v>
          </cell>
          <cell r="V37">
            <v>1.0006739780561755</v>
          </cell>
          <cell r="W37">
            <v>1.0006739783428409</v>
          </cell>
        </row>
        <row r="38">
          <cell r="A38" t="str">
            <v>HVAC</v>
          </cell>
          <cell r="B38" t="str">
            <v>Variable Speed Chiller-NR</v>
          </cell>
          <cell r="C38" t="str">
            <v>LO50Fast</v>
          </cell>
          <cell r="D38">
            <v>0.45</v>
          </cell>
          <cell r="E38">
            <v>0.66</v>
          </cell>
          <cell r="F38">
            <v>0.8</v>
          </cell>
          <cell r="G38">
            <v>0.89</v>
          </cell>
          <cell r="H38">
            <v>0.94954036260972652</v>
          </cell>
          <cell r="I38">
            <v>0.97931054391458994</v>
          </cell>
          <cell r="J38">
            <v>0.99254173560564019</v>
          </cell>
          <cell r="K38">
            <v>0.99783421228206048</v>
          </cell>
          <cell r="L38">
            <v>0.99975874925530417</v>
          </cell>
          <cell r="M38">
            <v>1.0004002615797187</v>
          </cell>
          <cell r="N38">
            <v>1.0005976499872309</v>
          </cell>
          <cell r="O38">
            <v>1.0006540466750915</v>
          </cell>
          <cell r="P38">
            <v>1.0006690857918545</v>
          </cell>
          <cell r="Q38">
            <v>1.000672845571045</v>
          </cell>
          <cell r="R38">
            <v>1.0006737302249724</v>
          </cell>
          <cell r="S38">
            <v>1.0006739268147338</v>
          </cell>
          <cell r="T38">
            <v>1.0006739682020522</v>
          </cell>
          <cell r="U38">
            <v>1.0006739764795158</v>
          </cell>
          <cell r="V38">
            <v>1.0006739780561755</v>
          </cell>
          <cell r="W38">
            <v>1.0006739783428409</v>
          </cell>
        </row>
        <row r="39">
          <cell r="A39" t="str">
            <v>HVAC</v>
          </cell>
          <cell r="B39" t="str">
            <v>Commercial EM-New</v>
          </cell>
          <cell r="C39" t="str">
            <v>LO1Slow</v>
          </cell>
          <cell r="D39">
            <v>2.5643970768378654E-3</v>
          </cell>
          <cell r="E39">
            <v>7.6904586297764643E-3</v>
          </cell>
          <cell r="F39">
            <v>1.6792013047419844E-2</v>
          </cell>
          <cell r="G39">
            <v>3.15969387774655E-2</v>
          </cell>
          <cell r="H39">
            <v>5.406874819795171E-2</v>
          </cell>
          <cell r="I39">
            <v>8.6253181011834101E-2</v>
          </cell>
          <cell r="J39">
            <v>0.1300328481838382</v>
          </cell>
          <cell r="K39">
            <v>0.18678710893858319</v>
          </cell>
          <cell r="L39">
            <v>0.2569823480072907</v>
          </cell>
          <cell r="M39">
            <v>0.33975920985004748</v>
          </cell>
          <cell r="N39">
            <v>0.43262946935754232</v>
          </cell>
          <cell r="O39">
            <v>0.53142594003645804</v>
          </cell>
          <cell r="P39">
            <v>0.63063487292644704</v>
          </cell>
          <cell r="Q39">
            <v>0.7241560234206913</v>
          </cell>
          <cell r="R39">
            <v>0.80638203131755359</v>
          </cell>
          <cell r="S39">
            <v>0.87331559734491926</v>
          </cell>
          <cell r="T39">
            <v>0.92334516248836807</v>
          </cell>
          <cell r="U39">
            <v>0.95737002770730018</v>
          </cell>
          <cell r="V39">
            <v>0.97821608704807483</v>
          </cell>
          <cell r="W39">
            <v>0.98821608704807484</v>
          </cell>
        </row>
        <row r="40">
          <cell r="A40" t="str">
            <v>HVAC</v>
          </cell>
          <cell r="B40" t="str">
            <v>Commercial EM-NR</v>
          </cell>
          <cell r="C40" t="str">
            <v>LO12Med</v>
          </cell>
          <cell r="D40">
            <v>0.10937459468255628</v>
          </cell>
          <cell r="E40">
            <v>0.21874918936511256</v>
          </cell>
          <cell r="F40">
            <v>0.32812378404766884</v>
          </cell>
          <cell r="G40">
            <v>0.43749837873022512</v>
          </cell>
          <cell r="H40">
            <v>0.5468729734127814</v>
          </cell>
          <cell r="I40">
            <v>0.64531010862708205</v>
          </cell>
          <cell r="J40">
            <v>0.7240598167985226</v>
          </cell>
          <cell r="K40">
            <v>0.78705958333567505</v>
          </cell>
          <cell r="L40">
            <v>0.83745939656539703</v>
          </cell>
          <cell r="M40">
            <v>0.87777924714917455</v>
          </cell>
          <cell r="N40">
            <v>0.91003512761619654</v>
          </cell>
          <cell r="O40">
            <v>0.93583983198981413</v>
          </cell>
          <cell r="P40">
            <v>0.9564835954887082</v>
          </cell>
          <cell r="Q40">
            <v>0.97299860628782353</v>
          </cell>
          <cell r="R40">
            <v>0.9862106149271157</v>
          </cell>
          <cell r="S40">
            <v>0.99678022183854953</v>
          </cell>
          <cell r="T40">
            <v>0.99685231466234414</v>
          </cell>
          <cell r="U40">
            <v>0.99687806209941365</v>
          </cell>
          <cell r="V40">
            <v>0.99688683963477831</v>
          </cell>
          <cell r="W40">
            <v>0.99688970187457115</v>
          </cell>
        </row>
        <row r="41">
          <cell r="A41" t="str">
            <v>HVAC</v>
          </cell>
          <cell r="B41" t="str">
            <v>Commercial EM-Retro</v>
          </cell>
          <cell r="C41" t="str">
            <v>Retro12Med</v>
          </cell>
          <cell r="D41">
            <v>0.10937459468255628</v>
          </cell>
          <cell r="E41">
            <v>0.10937459468255628</v>
          </cell>
          <cell r="F41">
            <v>0.10937459468255628</v>
          </cell>
          <cell r="G41">
            <v>0.10937459468255628</v>
          </cell>
          <cell r="H41">
            <v>0.10937459468255628</v>
          </cell>
          <cell r="I41">
            <v>9.8437135214300656E-2</v>
          </cell>
          <cell r="J41">
            <v>7.874970817144053E-2</v>
          </cell>
          <cell r="K41">
            <v>6.2999766537152418E-2</v>
          </cell>
          <cell r="L41">
            <v>5.0399813229721938E-2</v>
          </cell>
          <cell r="M41">
            <v>4.0319850583777551E-2</v>
          </cell>
          <cell r="N41">
            <v>3.225588046702204E-2</v>
          </cell>
          <cell r="O41">
            <v>2.5804704373617631E-2</v>
          </cell>
          <cell r="P41">
            <v>2.0643763498894106E-2</v>
          </cell>
          <cell r="Q41">
            <v>1.6515010799115284E-2</v>
          </cell>
          <cell r="R41">
            <v>1.3212008639292228E-2</v>
          </cell>
          <cell r="S41">
            <v>1.0569606911433781E-2</v>
          </cell>
          <cell r="T41">
            <v>7.2092823794611682E-5</v>
          </cell>
          <cell r="U41">
            <v>2.5747437069512102E-5</v>
          </cell>
          <cell r="V41">
            <v>8.7775353646568632E-6</v>
          </cell>
          <cell r="W41">
            <v>2.8622397928446119E-6</v>
          </cell>
        </row>
        <row r="42">
          <cell r="A42" t="str">
            <v>HVAC</v>
          </cell>
          <cell r="B42" t="str">
            <v>Evaporative Assist Cooling-New</v>
          </cell>
          <cell r="C42" t="str">
            <v>LO1Slow</v>
          </cell>
          <cell r="D42">
            <v>2.5643970768378654E-3</v>
          </cell>
          <cell r="E42">
            <v>7.6904586297764643E-3</v>
          </cell>
          <cell r="F42">
            <v>1.6792013047419844E-2</v>
          </cell>
          <cell r="G42">
            <v>3.15969387774655E-2</v>
          </cell>
          <cell r="H42">
            <v>5.406874819795171E-2</v>
          </cell>
          <cell r="I42">
            <v>8.6253181011834101E-2</v>
          </cell>
          <cell r="J42">
            <v>0.1300328481838382</v>
          </cell>
          <cell r="K42">
            <v>0.18678710893858319</v>
          </cell>
          <cell r="L42">
            <v>0.2569823480072907</v>
          </cell>
          <cell r="M42">
            <v>0.33975920985004748</v>
          </cell>
          <cell r="N42">
            <v>0.43262946935754232</v>
          </cell>
          <cell r="O42">
            <v>0.53142594003645804</v>
          </cell>
          <cell r="P42">
            <v>0.63063487292644704</v>
          </cell>
          <cell r="Q42">
            <v>0.7241560234206913</v>
          </cell>
          <cell r="R42">
            <v>0.80638203131755359</v>
          </cell>
          <cell r="S42">
            <v>0.87331559734491926</v>
          </cell>
          <cell r="T42">
            <v>0.92334516248836807</v>
          </cell>
          <cell r="U42">
            <v>0.95737002770730018</v>
          </cell>
          <cell r="V42">
            <v>0.97821608704807483</v>
          </cell>
          <cell r="W42">
            <v>0.98821608704807484</v>
          </cell>
        </row>
        <row r="43">
          <cell r="A43" t="str">
            <v>HVAC</v>
          </cell>
          <cell r="B43" t="str">
            <v>Evaporative Assist Cooling-NR</v>
          </cell>
          <cell r="C43" t="str">
            <v>LO1Slow</v>
          </cell>
          <cell r="D43">
            <v>2.5643970768378654E-3</v>
          </cell>
          <cell r="E43">
            <v>7.6904586297764643E-3</v>
          </cell>
          <cell r="F43">
            <v>1.6792013047419844E-2</v>
          </cell>
          <cell r="G43">
            <v>3.15969387774655E-2</v>
          </cell>
          <cell r="H43">
            <v>5.406874819795171E-2</v>
          </cell>
          <cell r="I43">
            <v>8.6253181011834101E-2</v>
          </cell>
          <cell r="J43">
            <v>0.1300328481838382</v>
          </cell>
          <cell r="K43">
            <v>0.18678710893858319</v>
          </cell>
          <cell r="L43">
            <v>0.2569823480072907</v>
          </cell>
          <cell r="M43">
            <v>0.33975920985004748</v>
          </cell>
          <cell r="N43">
            <v>0.43262946935754232</v>
          </cell>
          <cell r="O43">
            <v>0.53142594003645804</v>
          </cell>
          <cell r="P43">
            <v>0.63063487292644704</v>
          </cell>
          <cell r="Q43">
            <v>0.7241560234206913</v>
          </cell>
          <cell r="R43">
            <v>0.80638203131755359</v>
          </cell>
          <cell r="S43">
            <v>0.87331559734491926</v>
          </cell>
          <cell r="T43">
            <v>0.92334516248836807</v>
          </cell>
          <cell r="U43">
            <v>0.95737002770730018</v>
          </cell>
          <cell r="V43">
            <v>0.97821608704807483</v>
          </cell>
          <cell r="W43">
            <v>0.98821608704807484</v>
          </cell>
        </row>
        <row r="44">
          <cell r="A44" t="str">
            <v>HVAC</v>
          </cell>
          <cell r="B44" t="str">
            <v>Economizer-Retro</v>
          </cell>
          <cell r="C44" t="str">
            <v>Retro12Med</v>
          </cell>
          <cell r="D44">
            <v>0.10937459468255628</v>
          </cell>
          <cell r="E44">
            <v>0.10937459468255628</v>
          </cell>
          <cell r="F44">
            <v>0.10937459468255628</v>
          </cell>
          <cell r="G44">
            <v>0.10937459468255628</v>
          </cell>
          <cell r="H44">
            <v>0.10937459468255628</v>
          </cell>
          <cell r="I44">
            <v>9.8437135214300656E-2</v>
          </cell>
          <cell r="J44">
            <v>7.874970817144053E-2</v>
          </cell>
          <cell r="K44">
            <v>6.2999766537152418E-2</v>
          </cell>
          <cell r="L44">
            <v>5.0399813229721938E-2</v>
          </cell>
          <cell r="M44">
            <v>4.0319850583777551E-2</v>
          </cell>
          <cell r="N44">
            <v>3.225588046702204E-2</v>
          </cell>
          <cell r="O44">
            <v>2.5804704373617631E-2</v>
          </cell>
          <cell r="P44">
            <v>2.0643763498894106E-2</v>
          </cell>
          <cell r="Q44">
            <v>1.6515010799115284E-2</v>
          </cell>
          <cell r="R44">
            <v>1.3212008639292228E-2</v>
          </cell>
          <cell r="S44">
            <v>1.0569606911433781E-2</v>
          </cell>
          <cell r="T44">
            <v>7.2092823794611682E-5</v>
          </cell>
          <cell r="U44">
            <v>2.5747437069512102E-5</v>
          </cell>
          <cell r="V44">
            <v>8.7775353646568632E-6</v>
          </cell>
          <cell r="W44">
            <v>2.8622397928446119E-6</v>
          </cell>
        </row>
        <row r="45">
          <cell r="A45" t="str">
            <v>HVAC</v>
          </cell>
          <cell r="B45" t="str">
            <v>Demand Control Ventilation-New</v>
          </cell>
          <cell r="C45" t="str">
            <v>LOEven20</v>
          </cell>
          <cell r="D45">
            <v>0.05</v>
          </cell>
          <cell r="E45">
            <v>0.1</v>
          </cell>
          <cell r="F45">
            <v>0.15000000000000002</v>
          </cell>
          <cell r="G45">
            <v>0.2</v>
          </cell>
          <cell r="H45">
            <v>0.25</v>
          </cell>
          <cell r="I45">
            <v>0.3</v>
          </cell>
          <cell r="J45">
            <v>0.35</v>
          </cell>
          <cell r="K45">
            <v>0.39999999999999997</v>
          </cell>
          <cell r="L45">
            <v>0.44999999999999996</v>
          </cell>
          <cell r="M45">
            <v>0.49999999999999994</v>
          </cell>
          <cell r="N45">
            <v>0.54999999999999993</v>
          </cell>
          <cell r="O45">
            <v>0.6</v>
          </cell>
          <cell r="P45">
            <v>0.65</v>
          </cell>
          <cell r="Q45">
            <v>0.70000000000000007</v>
          </cell>
          <cell r="R45">
            <v>0.75000000000000011</v>
          </cell>
          <cell r="S45">
            <v>0.80000000000000016</v>
          </cell>
          <cell r="T45">
            <v>0.8500000000000002</v>
          </cell>
          <cell r="U45">
            <v>0.90000000000000024</v>
          </cell>
          <cell r="V45">
            <v>0.95000000000000029</v>
          </cell>
          <cell r="W45">
            <v>1.0000000000000002</v>
          </cell>
        </row>
        <row r="46">
          <cell r="A46" t="str">
            <v>HVAC</v>
          </cell>
          <cell r="B46" t="str">
            <v>Demand Control Ventilation-NR</v>
          </cell>
          <cell r="C46" t="str">
            <v>LOEven20</v>
          </cell>
          <cell r="D46">
            <v>0.05</v>
          </cell>
          <cell r="E46">
            <v>0.1</v>
          </cell>
          <cell r="F46">
            <v>0.15000000000000002</v>
          </cell>
          <cell r="G46">
            <v>0.2</v>
          </cell>
          <cell r="H46">
            <v>0.25</v>
          </cell>
          <cell r="I46">
            <v>0.3</v>
          </cell>
          <cell r="J46">
            <v>0.35</v>
          </cell>
          <cell r="K46">
            <v>0.39999999999999997</v>
          </cell>
          <cell r="L46">
            <v>0.44999999999999996</v>
          </cell>
          <cell r="M46">
            <v>0.49999999999999994</v>
          </cell>
          <cell r="N46">
            <v>0.54999999999999993</v>
          </cell>
          <cell r="O46">
            <v>0.6</v>
          </cell>
          <cell r="P46">
            <v>0.65</v>
          </cell>
          <cell r="Q46">
            <v>0.70000000000000007</v>
          </cell>
          <cell r="R46">
            <v>0.75000000000000011</v>
          </cell>
          <cell r="S46">
            <v>0.80000000000000016</v>
          </cell>
          <cell r="T46">
            <v>0.8500000000000002</v>
          </cell>
          <cell r="U46">
            <v>0.90000000000000024</v>
          </cell>
          <cell r="V46">
            <v>0.95000000000000029</v>
          </cell>
          <cell r="W46">
            <v>1.0000000000000002</v>
          </cell>
        </row>
        <row r="47">
          <cell r="A47" t="str">
            <v>HVAC</v>
          </cell>
          <cell r="B47" t="str">
            <v>Demand Control Ventilation-Retro</v>
          </cell>
          <cell r="C47" t="str">
            <v>Retro12Med</v>
          </cell>
          <cell r="D47">
            <v>0.10937459468255628</v>
          </cell>
          <cell r="E47">
            <v>0.10937459468255628</v>
          </cell>
          <cell r="F47">
            <v>0.10937459468255628</v>
          </cell>
          <cell r="G47">
            <v>0.10937459468255628</v>
          </cell>
          <cell r="H47">
            <v>0.10937459468255628</v>
          </cell>
          <cell r="I47">
            <v>9.8437135214300656E-2</v>
          </cell>
          <cell r="J47">
            <v>7.874970817144053E-2</v>
          </cell>
          <cell r="K47">
            <v>6.2999766537152418E-2</v>
          </cell>
          <cell r="L47">
            <v>5.0399813229721938E-2</v>
          </cell>
          <cell r="M47">
            <v>4.0319850583777551E-2</v>
          </cell>
          <cell r="N47">
            <v>3.225588046702204E-2</v>
          </cell>
          <cell r="O47">
            <v>2.5804704373617631E-2</v>
          </cell>
          <cell r="P47">
            <v>2.0643763498894106E-2</v>
          </cell>
          <cell r="Q47">
            <v>1.6515010799115284E-2</v>
          </cell>
          <cell r="R47">
            <v>1.3212008639292228E-2</v>
          </cell>
          <cell r="S47">
            <v>1.0569606911433781E-2</v>
          </cell>
          <cell r="T47">
            <v>7.2092823794611682E-5</v>
          </cell>
          <cell r="U47">
            <v>2.5747437069512102E-5</v>
          </cell>
          <cell r="V47">
            <v>8.7775353646568632E-6</v>
          </cell>
          <cell r="W47">
            <v>2.8622397928446119E-6</v>
          </cell>
        </row>
        <row r="48">
          <cell r="A48" t="str">
            <v>HVAC</v>
          </cell>
          <cell r="B48" t="str">
            <v>Premium Fume Hood-NR</v>
          </cell>
          <cell r="C48" t="str">
            <v>LOEven20</v>
          </cell>
          <cell r="D48">
            <v>0.05</v>
          </cell>
          <cell r="E48">
            <v>0.1</v>
          </cell>
          <cell r="F48">
            <v>0.15000000000000002</v>
          </cell>
          <cell r="G48">
            <v>0.2</v>
          </cell>
          <cell r="H48">
            <v>0.25</v>
          </cell>
          <cell r="I48">
            <v>0.3</v>
          </cell>
          <cell r="J48">
            <v>0.35</v>
          </cell>
          <cell r="K48">
            <v>0.39999999999999997</v>
          </cell>
          <cell r="L48">
            <v>0.44999999999999996</v>
          </cell>
          <cell r="M48">
            <v>0.49999999999999994</v>
          </cell>
          <cell r="N48">
            <v>0.54999999999999993</v>
          </cell>
          <cell r="O48">
            <v>0.6</v>
          </cell>
          <cell r="P48">
            <v>0.65</v>
          </cell>
          <cell r="Q48">
            <v>0.70000000000000007</v>
          </cell>
          <cell r="R48">
            <v>0.75000000000000011</v>
          </cell>
          <cell r="S48">
            <v>0.80000000000000016</v>
          </cell>
          <cell r="T48">
            <v>0.8500000000000002</v>
          </cell>
          <cell r="U48">
            <v>0.90000000000000024</v>
          </cell>
          <cell r="V48">
            <v>0.95000000000000029</v>
          </cell>
          <cell r="W48">
            <v>1.0000000000000002</v>
          </cell>
        </row>
        <row r="49">
          <cell r="A49" t="str">
            <v>HVAC</v>
          </cell>
          <cell r="B49" t="str">
            <v>DCV Restaurant Hood-Retro</v>
          </cell>
          <cell r="C49" t="str">
            <v>Retro20Fast</v>
          </cell>
          <cell r="D49">
            <v>0.22119921692859512</v>
          </cell>
          <cell r="E49">
            <v>0.15504311102289431</v>
          </cell>
          <cell r="F49">
            <v>0.10733128557729499</v>
          </cell>
          <cell r="G49">
            <v>8.3589689255657879E-2</v>
          </cell>
          <cell r="H49">
            <v>7.3237179880126971E-2</v>
          </cell>
          <cell r="I49">
            <v>6.3374636711760357E-2</v>
          </cell>
          <cell r="J49">
            <v>5.4291838367783084E-2</v>
          </cell>
          <cell r="K49">
            <v>4.612639225659896E-2</v>
          </cell>
          <cell r="L49">
            <v>3.8916876277172864E-2</v>
          </cell>
          <cell r="M49">
            <v>3.2639916313151704E-2</v>
          </cell>
          <cell r="N49">
            <v>2.7235706125786907E-2</v>
          </cell>
          <cell r="O49">
            <v>2.1211189258265428E-2</v>
          </cell>
          <cell r="P49">
            <v>1.6519290804212883E-2</v>
          </cell>
          <cell r="Q49">
            <v>1.2865236614105324E-2</v>
          </cell>
          <cell r="R49">
            <v>1.0019456349464106E-2</v>
          </cell>
          <cell r="S49">
            <v>7.8031604509122832E-3</v>
          </cell>
          <cell r="T49">
            <v>6.077107469602494E-3</v>
          </cell>
          <cell r="U49">
            <v>4.7328560561354371E-3</v>
          </cell>
          <cell r="V49">
            <v>3.6859520026825132E-3</v>
          </cell>
          <cell r="W49">
            <v>2.8706223060526725E-3</v>
          </cell>
        </row>
        <row r="50">
          <cell r="A50" t="str">
            <v>HVAC</v>
          </cell>
          <cell r="B50" t="str">
            <v>DCV Parking Garage-Retro</v>
          </cell>
          <cell r="C50" t="str">
            <v>Retro12Med</v>
          </cell>
          <cell r="D50">
            <v>0.10937459468255628</v>
          </cell>
          <cell r="E50">
            <v>0.10937459468255628</v>
          </cell>
          <cell r="F50">
            <v>0.10937459468255628</v>
          </cell>
          <cell r="G50">
            <v>0.10937459468255628</v>
          </cell>
          <cell r="H50">
            <v>0.10937459468255628</v>
          </cell>
          <cell r="I50">
            <v>9.8437135214300656E-2</v>
          </cell>
          <cell r="J50">
            <v>7.874970817144053E-2</v>
          </cell>
          <cell r="K50">
            <v>6.2999766537152418E-2</v>
          </cell>
          <cell r="L50">
            <v>5.0399813229721938E-2</v>
          </cell>
          <cell r="M50">
            <v>4.0319850583777551E-2</v>
          </cell>
          <cell r="N50">
            <v>3.225588046702204E-2</v>
          </cell>
          <cell r="O50">
            <v>2.5804704373617631E-2</v>
          </cell>
          <cell r="P50">
            <v>2.0643763498894106E-2</v>
          </cell>
          <cell r="Q50">
            <v>1.6515010799115284E-2</v>
          </cell>
          <cell r="R50">
            <v>1.3212008639292228E-2</v>
          </cell>
          <cell r="S50">
            <v>1.0569606911433781E-2</v>
          </cell>
          <cell r="T50">
            <v>7.2092823794611682E-5</v>
          </cell>
          <cell r="U50">
            <v>2.5747437069512102E-5</v>
          </cell>
          <cell r="V50">
            <v>8.7775353646568632E-6</v>
          </cell>
          <cell r="W50">
            <v>2.8622397928446119E-6</v>
          </cell>
        </row>
        <row r="51">
          <cell r="A51" t="str">
            <v>HVAC</v>
          </cell>
          <cell r="B51" t="str">
            <v>Weatherization - School-Retro</v>
          </cell>
          <cell r="C51" t="str">
            <v>RetroEven20</v>
          </cell>
          <cell r="D51">
            <v>0.05</v>
          </cell>
          <cell r="E51">
            <v>0.05</v>
          </cell>
          <cell r="F51">
            <v>0.05</v>
          </cell>
          <cell r="G51">
            <v>0.05</v>
          </cell>
          <cell r="H51">
            <v>0.05</v>
          </cell>
          <cell r="I51">
            <v>0.05</v>
          </cell>
          <cell r="J51">
            <v>0.05</v>
          </cell>
          <cell r="K51">
            <v>0.05</v>
          </cell>
          <cell r="L51">
            <v>0.05</v>
          </cell>
          <cell r="M51">
            <v>0.05</v>
          </cell>
          <cell r="N51">
            <v>0.05</v>
          </cell>
          <cell r="O51">
            <v>0.05</v>
          </cell>
          <cell r="P51">
            <v>0.05</v>
          </cell>
          <cell r="Q51">
            <v>0.05</v>
          </cell>
          <cell r="R51">
            <v>0.05</v>
          </cell>
          <cell r="S51">
            <v>0.05</v>
          </cell>
          <cell r="T51">
            <v>0.05</v>
          </cell>
          <cell r="U51">
            <v>0.05</v>
          </cell>
          <cell r="V51">
            <v>0.05</v>
          </cell>
          <cell r="W51">
            <v>0.05</v>
          </cell>
        </row>
        <row r="52">
          <cell r="A52" t="str">
            <v>HVAC</v>
          </cell>
          <cell r="B52" t="str">
            <v>Energy Recovery Ventilator-NR</v>
          </cell>
          <cell r="C52" t="str">
            <v>LO5Med</v>
          </cell>
          <cell r="D52">
            <v>4.2999999999999997E-2</v>
          </cell>
          <cell r="E52">
            <v>9.5797142280278316E-2</v>
          </cell>
          <cell r="F52">
            <v>0.16040539374775648</v>
          </cell>
          <cell r="G52">
            <v>0.23540539374775649</v>
          </cell>
          <cell r="H52">
            <v>0.32095239121809005</v>
          </cell>
          <cell r="I52">
            <v>0.42096711425629652</v>
          </cell>
          <cell r="J52">
            <v>0.53068481860864725</v>
          </cell>
          <cell r="K52">
            <v>0.642769203728351</v>
          </cell>
          <cell r="L52">
            <v>0.74839528535557953</v>
          </cell>
          <cell r="M52">
            <v>0.83918984935345187</v>
          </cell>
          <cell r="N52">
            <v>0.90945051634530116</v>
          </cell>
          <cell r="O52">
            <v>0.9576688767502457</v>
          </cell>
          <cell r="P52">
            <v>0.9865231113648858</v>
          </cell>
          <cell r="Q52">
            <v>1.0012970762896924</v>
          </cell>
          <cell r="R52">
            <v>1.0076356106578106</v>
          </cell>
          <cell r="S52">
            <v>1.0098624683774413</v>
          </cell>
          <cell r="T52">
            <v>1.0104871783970797</v>
          </cell>
          <cell r="U52">
            <v>1.010623336815976</v>
          </cell>
          <cell r="V52">
            <v>1.0106457174525985</v>
          </cell>
          <cell r="W52">
            <v>1.0106484038909742</v>
          </cell>
        </row>
        <row r="53">
          <cell r="A53" t="str">
            <v>HVAC</v>
          </cell>
          <cell r="B53" t="str">
            <v>AC Heat Recovery for Water Heating-NR</v>
          </cell>
          <cell r="C53" t="str">
            <v>LO5Med</v>
          </cell>
          <cell r="D53">
            <v>4.2999999999999997E-2</v>
          </cell>
          <cell r="E53">
            <v>9.5797142280278316E-2</v>
          </cell>
          <cell r="F53">
            <v>0.16040539374775648</v>
          </cell>
          <cell r="G53">
            <v>0.23540539374775649</v>
          </cell>
          <cell r="H53">
            <v>0.32095239121809005</v>
          </cell>
          <cell r="I53">
            <v>0.42096711425629652</v>
          </cell>
          <cell r="J53">
            <v>0.53068481860864725</v>
          </cell>
          <cell r="K53">
            <v>0.642769203728351</v>
          </cell>
          <cell r="L53">
            <v>0.74839528535557953</v>
          </cell>
          <cell r="M53">
            <v>0.83918984935345187</v>
          </cell>
          <cell r="N53">
            <v>0.90945051634530116</v>
          </cell>
          <cell r="O53">
            <v>0.9576688767502457</v>
          </cell>
          <cell r="P53">
            <v>0.9865231113648858</v>
          </cell>
          <cell r="Q53">
            <v>1.0012970762896924</v>
          </cell>
          <cell r="R53">
            <v>1.0076356106578106</v>
          </cell>
          <cell r="S53">
            <v>1.0098624683774413</v>
          </cell>
          <cell r="T53">
            <v>1.0104871783970797</v>
          </cell>
          <cell r="U53">
            <v>1.010623336815976</v>
          </cell>
          <cell r="V53">
            <v>1.0106457174525985</v>
          </cell>
          <cell r="W53">
            <v>1.0106484038909742</v>
          </cell>
        </row>
        <row r="54">
          <cell r="A54" t="str">
            <v>HVAC</v>
          </cell>
          <cell r="B54" t="str">
            <v>Room Occupancy Sensors in Lodging-Retro</v>
          </cell>
          <cell r="C54" t="str">
            <v>LO5Med</v>
          </cell>
          <cell r="D54">
            <v>4.2999999999999997E-2</v>
          </cell>
          <cell r="E54">
            <v>9.5797142280278316E-2</v>
          </cell>
          <cell r="F54">
            <v>0.16040539374775648</v>
          </cell>
          <cell r="G54">
            <v>0.23540539374775649</v>
          </cell>
          <cell r="H54">
            <v>0.32095239121809005</v>
          </cell>
          <cell r="I54">
            <v>0.42096711425629652</v>
          </cell>
          <cell r="J54">
            <v>0.53068481860864725</v>
          </cell>
          <cell r="K54">
            <v>0.642769203728351</v>
          </cell>
          <cell r="L54">
            <v>0.74839528535557953</v>
          </cell>
          <cell r="M54">
            <v>0.83918984935345187</v>
          </cell>
          <cell r="N54">
            <v>0.90945051634530116</v>
          </cell>
          <cell r="O54">
            <v>0.9576688767502457</v>
          </cell>
          <cell r="P54">
            <v>0.9865231113648858</v>
          </cell>
          <cell r="Q54">
            <v>1.0012970762896924</v>
          </cell>
          <cell r="R54">
            <v>1.0076356106578106</v>
          </cell>
          <cell r="S54">
            <v>1.0098624683774413</v>
          </cell>
          <cell r="T54">
            <v>1.0104871783970797</v>
          </cell>
          <cell r="U54">
            <v>1.010623336815976</v>
          </cell>
          <cell r="V54">
            <v>1.0106457174525985</v>
          </cell>
          <cell r="W54">
            <v>1.0106484038909742</v>
          </cell>
        </row>
        <row r="55">
          <cell r="A55" t="str">
            <v>HVAC</v>
          </cell>
          <cell r="B55" t="str">
            <v>Chiller - chilled water retrofit-Retro</v>
          </cell>
          <cell r="C55" t="str">
            <v>Retro12Med</v>
          </cell>
          <cell r="D55">
            <v>0.10937459468255628</v>
          </cell>
          <cell r="E55">
            <v>0.10937459468255628</v>
          </cell>
          <cell r="F55">
            <v>0.10937459468255628</v>
          </cell>
          <cell r="G55">
            <v>0.10937459468255628</v>
          </cell>
          <cell r="H55">
            <v>0.10937459468255628</v>
          </cell>
          <cell r="I55">
            <v>9.8437135214300656E-2</v>
          </cell>
          <cell r="J55">
            <v>7.874970817144053E-2</v>
          </cell>
          <cell r="K55">
            <v>6.2999766537152418E-2</v>
          </cell>
          <cell r="L55">
            <v>5.0399813229721938E-2</v>
          </cell>
          <cell r="M55">
            <v>4.0319850583777551E-2</v>
          </cell>
          <cell r="N55">
            <v>3.225588046702204E-2</v>
          </cell>
          <cell r="O55">
            <v>2.5804704373617631E-2</v>
          </cell>
          <cell r="P55">
            <v>2.0643763498894106E-2</v>
          </cell>
          <cell r="Q55">
            <v>1.6515010799115284E-2</v>
          </cell>
          <cell r="R55">
            <v>1.3212008639292228E-2</v>
          </cell>
          <cell r="S55">
            <v>1.0569606911433781E-2</v>
          </cell>
          <cell r="T55">
            <v>7.2092823794611682E-5</v>
          </cell>
          <cell r="U55">
            <v>2.5747437069512102E-5</v>
          </cell>
          <cell r="V55">
            <v>8.7775353646568632E-6</v>
          </cell>
          <cell r="W55">
            <v>2.8622397928446119E-6</v>
          </cell>
        </row>
        <row r="56">
          <cell r="A56" t="str">
            <v>HVAC</v>
          </cell>
          <cell r="B56" t="str">
            <v>Chiller - equip retrofits-Retro</v>
          </cell>
          <cell r="C56" t="str">
            <v>Retro12Med</v>
          </cell>
          <cell r="D56">
            <v>0.10937459468255628</v>
          </cell>
          <cell r="E56">
            <v>0.10937459468255628</v>
          </cell>
          <cell r="F56">
            <v>0.10937459468255628</v>
          </cell>
          <cell r="G56">
            <v>0.10937459468255628</v>
          </cell>
          <cell r="H56">
            <v>0.10937459468255628</v>
          </cell>
          <cell r="I56">
            <v>9.8437135214300656E-2</v>
          </cell>
          <cell r="J56">
            <v>7.874970817144053E-2</v>
          </cell>
          <cell r="K56">
            <v>6.2999766537152418E-2</v>
          </cell>
          <cell r="L56">
            <v>5.0399813229721938E-2</v>
          </cell>
          <cell r="M56">
            <v>4.0319850583777551E-2</v>
          </cell>
          <cell r="N56">
            <v>3.225588046702204E-2</v>
          </cell>
          <cell r="O56">
            <v>2.5804704373617631E-2</v>
          </cell>
          <cell r="P56">
            <v>2.0643763498894106E-2</v>
          </cell>
          <cell r="Q56">
            <v>1.6515010799115284E-2</v>
          </cell>
          <cell r="R56">
            <v>1.3212008639292228E-2</v>
          </cell>
          <cell r="S56">
            <v>1.0569606911433781E-2</v>
          </cell>
          <cell r="T56">
            <v>7.2092823794611682E-5</v>
          </cell>
          <cell r="U56">
            <v>2.5747437069512102E-5</v>
          </cell>
          <cell r="V56">
            <v>8.7775353646568632E-6</v>
          </cell>
          <cell r="W56">
            <v>2.8622397928446119E-6</v>
          </cell>
        </row>
        <row r="57">
          <cell r="A57" t="str">
            <v>HVAC</v>
          </cell>
          <cell r="B57" t="str">
            <v>Pool Blankets-Retro</v>
          </cell>
          <cell r="C57" t="str">
            <v>Retro20Fast</v>
          </cell>
          <cell r="D57">
            <v>0.22119921692859512</v>
          </cell>
          <cell r="E57">
            <v>0.15504311102289431</v>
          </cell>
          <cell r="F57">
            <v>0.10733128557729499</v>
          </cell>
          <cell r="G57">
            <v>8.3589689255657879E-2</v>
          </cell>
          <cell r="H57">
            <v>7.3237179880126971E-2</v>
          </cell>
          <cell r="I57">
            <v>6.3374636711760357E-2</v>
          </cell>
          <cell r="J57">
            <v>5.4291838367783084E-2</v>
          </cell>
          <cell r="K57">
            <v>4.612639225659896E-2</v>
          </cell>
          <cell r="L57">
            <v>3.8916876277172864E-2</v>
          </cell>
          <cell r="M57">
            <v>3.2639916313151704E-2</v>
          </cell>
          <cell r="N57">
            <v>2.7235706125786907E-2</v>
          </cell>
          <cell r="O57">
            <v>2.1211189258265428E-2</v>
          </cell>
          <cell r="P57">
            <v>1.6519290804212883E-2</v>
          </cell>
          <cell r="Q57">
            <v>1.2865236614105324E-2</v>
          </cell>
          <cell r="R57">
            <v>1.0019456349464106E-2</v>
          </cell>
          <cell r="S57">
            <v>7.8031604509122832E-3</v>
          </cell>
          <cell r="T57">
            <v>6.077107469602494E-3</v>
          </cell>
          <cell r="U57">
            <v>4.7328560561354371E-3</v>
          </cell>
          <cell r="V57">
            <v>3.6859520026825132E-3</v>
          </cell>
          <cell r="W57">
            <v>2.8706223060526725E-3</v>
          </cell>
        </row>
        <row r="58">
          <cell r="A58" t="str">
            <v>HVAC</v>
          </cell>
          <cell r="B58" t="str">
            <v>Web-Enabled Thermostats-Retro</v>
          </cell>
          <cell r="C58" t="str">
            <v>Retro20Fast</v>
          </cell>
          <cell r="D58">
            <v>0.22119921692859512</v>
          </cell>
          <cell r="E58">
            <v>0.15504311102289431</v>
          </cell>
          <cell r="F58">
            <v>0.10733128557729499</v>
          </cell>
          <cell r="G58">
            <v>8.3589689255657879E-2</v>
          </cell>
          <cell r="H58">
            <v>7.3237179880126971E-2</v>
          </cell>
          <cell r="I58">
            <v>6.3374636711760357E-2</v>
          </cell>
          <cell r="J58">
            <v>5.4291838367783084E-2</v>
          </cell>
          <cell r="K58">
            <v>4.612639225659896E-2</v>
          </cell>
          <cell r="L58">
            <v>3.8916876277172864E-2</v>
          </cell>
          <cell r="M58">
            <v>3.2639916313151704E-2</v>
          </cell>
          <cell r="N58">
            <v>2.7235706125786907E-2</v>
          </cell>
          <cell r="O58">
            <v>2.1211189258265428E-2</v>
          </cell>
          <cell r="P58">
            <v>1.6519290804212883E-2</v>
          </cell>
          <cell r="Q58">
            <v>1.2865236614105324E-2</v>
          </cell>
          <cell r="R58">
            <v>1.0019456349464106E-2</v>
          </cell>
          <cell r="S58">
            <v>7.8031604509122832E-3</v>
          </cell>
          <cell r="T58">
            <v>6.077107469602494E-3</v>
          </cell>
          <cell r="U58">
            <v>4.7328560561354371E-3</v>
          </cell>
          <cell r="V58">
            <v>3.6859520026825132E-3</v>
          </cell>
          <cell r="W58">
            <v>2.8706223060526725E-3</v>
          </cell>
        </row>
        <row r="59">
          <cell r="A59" t="str">
            <v>HVAC</v>
          </cell>
          <cell r="B59" t="str">
            <v>Garage CO2 ventilation-Retro</v>
          </cell>
          <cell r="C59" t="str">
            <v>Retro20Fast</v>
          </cell>
          <cell r="D59">
            <v>0.22119921692859512</v>
          </cell>
          <cell r="E59">
            <v>0.15504311102289431</v>
          </cell>
          <cell r="F59">
            <v>0.10733128557729499</v>
          </cell>
          <cell r="G59">
            <v>8.3589689255657879E-2</v>
          </cell>
          <cell r="H59">
            <v>7.3237179880126971E-2</v>
          </cell>
          <cell r="I59">
            <v>6.3374636711760357E-2</v>
          </cell>
          <cell r="J59">
            <v>5.4291838367783084E-2</v>
          </cell>
          <cell r="K59">
            <v>4.612639225659896E-2</v>
          </cell>
          <cell r="L59">
            <v>3.8916876277172864E-2</v>
          </cell>
          <cell r="M59">
            <v>3.2639916313151704E-2</v>
          </cell>
          <cell r="N59">
            <v>2.7235706125786907E-2</v>
          </cell>
          <cell r="O59">
            <v>2.1211189258265428E-2</v>
          </cell>
          <cell r="P59">
            <v>1.6519290804212883E-2</v>
          </cell>
          <cell r="Q59">
            <v>1.2865236614105324E-2</v>
          </cell>
          <cell r="R59">
            <v>1.0019456349464106E-2</v>
          </cell>
          <cell r="S59">
            <v>7.8031604509122832E-3</v>
          </cell>
          <cell r="T59">
            <v>6.077107469602494E-3</v>
          </cell>
          <cell r="U59">
            <v>4.7328560561354371E-3</v>
          </cell>
          <cell r="V59">
            <v>3.6859520026825132E-3</v>
          </cell>
          <cell r="W59">
            <v>2.8706223060526725E-3</v>
          </cell>
        </row>
        <row r="60">
          <cell r="A60" t="str">
            <v>HVAC</v>
          </cell>
          <cell r="B60" t="str">
            <v>Circ Pump ECM and drive-Retro</v>
          </cell>
          <cell r="C60" t="str">
            <v>Retro20Fast</v>
          </cell>
          <cell r="D60">
            <v>0.22119921692859512</v>
          </cell>
          <cell r="E60">
            <v>0.15504311102289431</v>
          </cell>
          <cell r="F60">
            <v>0.10733128557729499</v>
          </cell>
          <cell r="G60">
            <v>8.3589689255657879E-2</v>
          </cell>
          <cell r="H60">
            <v>7.3237179880126971E-2</v>
          </cell>
          <cell r="I60">
            <v>6.3374636711760357E-2</v>
          </cell>
          <cell r="J60">
            <v>5.4291838367783084E-2</v>
          </cell>
          <cell r="K60">
            <v>4.612639225659896E-2</v>
          </cell>
          <cell r="L60">
            <v>3.8916876277172864E-2</v>
          </cell>
          <cell r="M60">
            <v>3.2639916313151704E-2</v>
          </cell>
          <cell r="N60">
            <v>2.7235706125786907E-2</v>
          </cell>
          <cell r="O60">
            <v>2.1211189258265428E-2</v>
          </cell>
          <cell r="P60">
            <v>1.6519290804212883E-2</v>
          </cell>
          <cell r="Q60">
            <v>1.2865236614105324E-2</v>
          </cell>
          <cell r="R60">
            <v>1.0019456349464106E-2</v>
          </cell>
          <cell r="S60">
            <v>7.8031604509122832E-3</v>
          </cell>
          <cell r="T60">
            <v>6.077107469602494E-3</v>
          </cell>
          <cell r="U60">
            <v>4.7328560561354371E-3</v>
          </cell>
          <cell r="V60">
            <v>3.6859520026825132E-3</v>
          </cell>
          <cell r="W60">
            <v>2.8706223060526725E-3</v>
          </cell>
        </row>
        <row r="61">
          <cell r="A61" t="str">
            <v>HVAC</v>
          </cell>
          <cell r="B61" t="str">
            <v>VRF-New</v>
          </cell>
          <cell r="C61" t="str">
            <v>LO1Slow</v>
          </cell>
          <cell r="D61">
            <v>2.5643970768378654E-3</v>
          </cell>
          <cell r="E61">
            <v>7.6904586297764643E-3</v>
          </cell>
          <cell r="F61">
            <v>1.6792013047419844E-2</v>
          </cell>
          <cell r="G61">
            <v>3.15969387774655E-2</v>
          </cell>
          <cell r="H61">
            <v>5.406874819795171E-2</v>
          </cell>
          <cell r="I61">
            <v>8.6253181011834101E-2</v>
          </cell>
          <cell r="J61">
            <v>0.1300328481838382</v>
          </cell>
          <cell r="K61">
            <v>0.18678710893858319</v>
          </cell>
          <cell r="L61">
            <v>0.2569823480072907</v>
          </cell>
          <cell r="M61">
            <v>0.33975920985004748</v>
          </cell>
          <cell r="N61">
            <v>0.43262946935754232</v>
          </cell>
          <cell r="O61">
            <v>0.53142594003645804</v>
          </cell>
          <cell r="P61">
            <v>0.63063487292644704</v>
          </cell>
          <cell r="Q61">
            <v>0.7241560234206913</v>
          </cell>
          <cell r="R61">
            <v>0.80638203131755359</v>
          </cell>
          <cell r="S61">
            <v>0.87331559734491926</v>
          </cell>
          <cell r="T61">
            <v>0.92334516248836807</v>
          </cell>
          <cell r="U61">
            <v>0.95737002770730018</v>
          </cell>
          <cell r="V61">
            <v>0.97821608704807483</v>
          </cell>
          <cell r="W61">
            <v>0.98821608704807484</v>
          </cell>
        </row>
        <row r="62">
          <cell r="A62" t="str">
            <v>HVAC</v>
          </cell>
          <cell r="B62" t="str">
            <v>VRF-Retro</v>
          </cell>
          <cell r="C62" t="str">
            <v>Retro3Slow</v>
          </cell>
          <cell r="D62">
            <v>5.5320496977002724E-3</v>
          </cell>
          <cell r="E62">
            <v>8.6958686465615706E-3</v>
          </cell>
          <cell r="F62">
            <v>1.7391737293123145E-2</v>
          </cell>
          <cell r="G62">
            <v>3.0435540262965514E-2</v>
          </cell>
          <cell r="H62">
            <v>4.7344173742390784E-2</v>
          </cell>
          <cell r="I62">
            <v>6.6281843239347063E-2</v>
          </cell>
          <cell r="J62">
            <v>8.4358709577350838E-2</v>
          </cell>
          <cell r="K62">
            <v>9.8418494506909315E-2</v>
          </cell>
          <cell r="L62">
            <v>0.10598914793051767</v>
          </cell>
          <cell r="M62">
            <v>0.10598914793051767</v>
          </cell>
          <cell r="N62">
            <v>9.8923204735149928E-2</v>
          </cell>
          <cell r="O62">
            <v>8.655780414325609E-2</v>
          </cell>
          <cell r="P62">
            <v>7.1282897529740263E-2</v>
          </cell>
          <cell r="Q62">
            <v>5.5442253634242489E-2</v>
          </cell>
          <cell r="R62">
            <v>4.0852186888389319E-2</v>
          </cell>
          <cell r="S62">
            <v>2.8596530821872412E-2</v>
          </cell>
          <cell r="T62">
            <v>1.9064353881248275E-2</v>
          </cell>
          <cell r="U62">
            <v>1.2131861560794377E-2</v>
          </cell>
          <cell r="V62">
            <v>7.3846113848314854E-3</v>
          </cell>
          <cell r="W62">
            <v>4.3076899744848296E-3</v>
          </cell>
        </row>
        <row r="63">
          <cell r="A63" t="str">
            <v>HVAC</v>
          </cell>
          <cell r="B63" t="str">
            <v>Evaporator Roof Top HVAC-Retro</v>
          </cell>
          <cell r="C63" t="str">
            <v>RetroEven20</v>
          </cell>
          <cell r="D63">
            <v>0.05</v>
          </cell>
          <cell r="E63">
            <v>0.05</v>
          </cell>
          <cell r="F63">
            <v>0.05</v>
          </cell>
          <cell r="G63">
            <v>0.05</v>
          </cell>
          <cell r="H63">
            <v>0.05</v>
          </cell>
          <cell r="I63">
            <v>0.05</v>
          </cell>
          <cell r="J63">
            <v>0.05</v>
          </cell>
          <cell r="K63">
            <v>0.05</v>
          </cell>
          <cell r="L63">
            <v>0.05</v>
          </cell>
          <cell r="M63">
            <v>0.05</v>
          </cell>
          <cell r="N63">
            <v>0.05</v>
          </cell>
          <cell r="O63">
            <v>0.05</v>
          </cell>
          <cell r="P63">
            <v>0.05</v>
          </cell>
          <cell r="Q63">
            <v>0.05</v>
          </cell>
          <cell r="R63">
            <v>0.05</v>
          </cell>
          <cell r="S63">
            <v>0.05</v>
          </cell>
          <cell r="T63">
            <v>0.05</v>
          </cell>
          <cell r="U63">
            <v>0.05</v>
          </cell>
          <cell r="V63">
            <v>0.05</v>
          </cell>
          <cell r="W63">
            <v>0.05</v>
          </cell>
        </row>
        <row r="64">
          <cell r="A64" t="str">
            <v>HVAC</v>
          </cell>
          <cell r="B64" t="str">
            <v>Secondary Glazing Systems-Retro</v>
          </cell>
          <cell r="C64" t="str">
            <v>Retro1Slow</v>
          </cell>
          <cell r="D64">
            <v>2.5643970768378654E-3</v>
          </cell>
          <cell r="E64">
            <v>5.1260615529385989E-3</v>
          </cell>
          <cell r="F64">
            <v>9.1015544176433795E-3</v>
          </cell>
          <cell r="G64">
            <v>1.4804925730045659E-2</v>
          </cell>
          <cell r="H64">
            <v>2.2471809420486211E-2</v>
          </cell>
          <cell r="I64">
            <v>3.2184432813882391E-2</v>
          </cell>
          <cell r="J64">
            <v>4.3779667172004086E-2</v>
          </cell>
          <cell r="K64">
            <v>5.675426075474499E-2</v>
          </cell>
          <cell r="L64">
            <v>7.0195239068707532E-2</v>
          </cell>
          <cell r="M64">
            <v>8.2776861842756788E-2</v>
          </cell>
          <cell r="N64">
            <v>9.2870259507494834E-2</v>
          </cell>
          <cell r="O64">
            <v>9.8796470678915727E-2</v>
          </cell>
          <cell r="P64">
            <v>9.9208932889988999E-2</v>
          </cell>
          <cell r="Q64">
            <v>9.3521150494244254E-2</v>
          </cell>
          <cell r="R64">
            <v>8.2226007896862296E-2</v>
          </cell>
          <cell r="S64">
            <v>6.6933566027365665E-2</v>
          </cell>
          <cell r="T64">
            <v>5.0029565143448806E-2</v>
          </cell>
          <cell r="U64">
            <v>3.402486521893211E-2</v>
          </cell>
          <cell r="V64">
            <v>2.0846059340774659E-2</v>
          </cell>
          <cell r="W64">
            <v>0.01</v>
          </cell>
        </row>
        <row r="65">
          <cell r="A65" t="str">
            <v>Lighting</v>
          </cell>
          <cell r="B65" t="str">
            <v>LPD Package-New</v>
          </cell>
          <cell r="C65" t="str">
            <v>LO20Fast</v>
          </cell>
          <cell r="D65">
            <v>0.22119921692859512</v>
          </cell>
          <cell r="E65">
            <v>0.37624232795148943</v>
          </cell>
          <cell r="F65">
            <v>0.48357361352878442</v>
          </cell>
          <cell r="G65">
            <v>0.56716330278444227</v>
          </cell>
          <cell r="H65">
            <v>0.64040048266456928</v>
          </cell>
          <cell r="I65">
            <v>0.70377511937632964</v>
          </cell>
          <cell r="J65">
            <v>0.7580669577441127</v>
          </cell>
          <cell r="K65">
            <v>0.80419335000071168</v>
          </cell>
          <cell r="L65">
            <v>0.84311022627788457</v>
          </cell>
          <cell r="M65">
            <v>0.87575014259103623</v>
          </cell>
          <cell r="N65">
            <v>0.90298584871682319</v>
          </cell>
          <cell r="O65">
            <v>0.92419703797508856</v>
          </cell>
          <cell r="P65">
            <v>0.94071632877930145</v>
          </cell>
          <cell r="Q65">
            <v>0.95358156539340677</v>
          </cell>
          <cell r="R65">
            <v>0.96360102174287088</v>
          </cell>
          <cell r="S65">
            <v>0.97140418219378311</v>
          </cell>
          <cell r="T65">
            <v>0.97748128966338554</v>
          </cell>
          <cell r="U65">
            <v>0.98221414571952104</v>
          </cell>
          <cell r="V65">
            <v>0.98590009772220355</v>
          </cell>
          <cell r="W65">
            <v>0.98877072002825628</v>
          </cell>
        </row>
        <row r="66">
          <cell r="A66" t="str">
            <v>Lighting</v>
          </cell>
          <cell r="B66" t="str">
            <v>LPD Package-NR</v>
          </cell>
          <cell r="C66" t="str">
            <v>LO20Fast</v>
          </cell>
          <cell r="D66">
            <v>0.22119921692859512</v>
          </cell>
          <cell r="E66">
            <v>0.37624232795148943</v>
          </cell>
          <cell r="F66">
            <v>0.48357361352878442</v>
          </cell>
          <cell r="G66">
            <v>0.56716330278444227</v>
          </cell>
          <cell r="H66">
            <v>0.64040048266456928</v>
          </cell>
          <cell r="I66">
            <v>0.70377511937632964</v>
          </cell>
          <cell r="J66">
            <v>0.7580669577441127</v>
          </cell>
          <cell r="K66">
            <v>0.80419335000071168</v>
          </cell>
          <cell r="L66">
            <v>0.84311022627788457</v>
          </cell>
          <cell r="M66">
            <v>0.87575014259103623</v>
          </cell>
          <cell r="N66">
            <v>0.90298584871682319</v>
          </cell>
          <cell r="O66">
            <v>0.92419703797508856</v>
          </cell>
          <cell r="P66">
            <v>0.94071632877930145</v>
          </cell>
          <cell r="Q66">
            <v>0.95358156539340677</v>
          </cell>
          <cell r="R66">
            <v>0.96360102174287088</v>
          </cell>
          <cell r="S66">
            <v>0.97140418219378311</v>
          </cell>
          <cell r="T66">
            <v>0.97748128966338554</v>
          </cell>
          <cell r="U66">
            <v>0.98221414571952104</v>
          </cell>
          <cell r="V66">
            <v>0.98590009772220355</v>
          </cell>
          <cell r="W66">
            <v>0.98877072002825628</v>
          </cell>
        </row>
        <row r="67">
          <cell r="A67" t="str">
            <v>Lighting</v>
          </cell>
          <cell r="B67" t="str">
            <v>LPD Package-Retro</v>
          </cell>
          <cell r="C67" t="str">
            <v>Retro12Med</v>
          </cell>
          <cell r="D67">
            <v>0.10937459468255628</v>
          </cell>
          <cell r="E67">
            <v>0.10937459468255628</v>
          </cell>
          <cell r="F67">
            <v>0.10937459468255628</v>
          </cell>
          <cell r="G67">
            <v>0.10937459468255628</v>
          </cell>
          <cell r="H67">
            <v>0.10937459468255628</v>
          </cell>
          <cell r="I67">
            <v>9.8437135214300656E-2</v>
          </cell>
          <cell r="J67">
            <v>7.874970817144053E-2</v>
          </cell>
          <cell r="K67">
            <v>6.2999766537152418E-2</v>
          </cell>
          <cell r="L67">
            <v>5.0399813229721938E-2</v>
          </cell>
          <cell r="M67">
            <v>4.0319850583777551E-2</v>
          </cell>
          <cell r="N67">
            <v>3.225588046702204E-2</v>
          </cell>
          <cell r="O67">
            <v>2.5804704373617631E-2</v>
          </cell>
          <cell r="P67">
            <v>2.0643763498894106E-2</v>
          </cell>
          <cell r="Q67">
            <v>1.6515010799115284E-2</v>
          </cell>
          <cell r="R67">
            <v>1.3212008639292228E-2</v>
          </cell>
          <cell r="S67">
            <v>1.0569606911433781E-2</v>
          </cell>
          <cell r="T67">
            <v>7.2092823794611682E-5</v>
          </cell>
          <cell r="U67">
            <v>2.5747437069512102E-5</v>
          </cell>
          <cell r="V67">
            <v>8.7775353646568632E-6</v>
          </cell>
          <cell r="W67">
            <v>2.8622397928446119E-6</v>
          </cell>
        </row>
        <row r="68">
          <cell r="A68" t="str">
            <v>Lighting</v>
          </cell>
          <cell r="B68" t="str">
            <v>Top Daylighting-New</v>
          </cell>
          <cell r="C68" t="str">
            <v>LO12Med</v>
          </cell>
          <cell r="D68">
            <v>0.10937459468255628</v>
          </cell>
          <cell r="E68">
            <v>0.21874918936511256</v>
          </cell>
          <cell r="F68">
            <v>0.32812378404766884</v>
          </cell>
          <cell r="G68">
            <v>0.43749837873022512</v>
          </cell>
          <cell r="H68">
            <v>0.5468729734127814</v>
          </cell>
          <cell r="I68">
            <v>0.64531010862708205</v>
          </cell>
          <cell r="J68">
            <v>0.7240598167985226</v>
          </cell>
          <cell r="K68">
            <v>0.78705958333567505</v>
          </cell>
          <cell r="L68">
            <v>0.83745939656539703</v>
          </cell>
          <cell r="M68">
            <v>0.87777924714917455</v>
          </cell>
          <cell r="N68">
            <v>0.91003512761619654</v>
          </cell>
          <cell r="O68">
            <v>0.93583983198981413</v>
          </cell>
          <cell r="P68">
            <v>0.9564835954887082</v>
          </cell>
          <cell r="Q68">
            <v>0.97299860628782353</v>
          </cell>
          <cell r="R68">
            <v>0.9862106149271157</v>
          </cell>
          <cell r="S68">
            <v>0.99678022183854953</v>
          </cell>
          <cell r="T68">
            <v>0.99685231466234414</v>
          </cell>
          <cell r="U68">
            <v>0.99687806209941365</v>
          </cell>
          <cell r="V68">
            <v>0.99688683963477831</v>
          </cell>
          <cell r="W68">
            <v>0.99688970187457115</v>
          </cell>
        </row>
        <row r="69">
          <cell r="A69" t="str">
            <v>Lighting</v>
          </cell>
          <cell r="B69" t="str">
            <v>Perimeter Daylighting Controls Advanced-New</v>
          </cell>
          <cell r="C69" t="str">
            <v>LO5Med</v>
          </cell>
          <cell r="D69">
            <v>4.2999999999999997E-2</v>
          </cell>
          <cell r="E69">
            <v>9.5797142280278316E-2</v>
          </cell>
          <cell r="F69">
            <v>0.16040539374775648</v>
          </cell>
          <cell r="G69">
            <v>0.23540539374775649</v>
          </cell>
          <cell r="H69">
            <v>0.32095239121809005</v>
          </cell>
          <cell r="I69">
            <v>0.42096711425629652</v>
          </cell>
          <cell r="J69">
            <v>0.53068481860864725</v>
          </cell>
          <cell r="K69">
            <v>0.642769203728351</v>
          </cell>
          <cell r="L69">
            <v>0.74839528535557953</v>
          </cell>
          <cell r="M69">
            <v>0.83918984935345187</v>
          </cell>
          <cell r="N69">
            <v>0.90945051634530116</v>
          </cell>
          <cell r="O69">
            <v>0.9576688767502457</v>
          </cell>
          <cell r="P69">
            <v>0.9865231113648858</v>
          </cell>
          <cell r="Q69">
            <v>1.0012970762896924</v>
          </cell>
          <cell r="R69">
            <v>1.0076356106578106</v>
          </cell>
          <cell r="S69">
            <v>1.0098624683774413</v>
          </cell>
          <cell r="T69">
            <v>1.0104871783970797</v>
          </cell>
          <cell r="U69">
            <v>1.010623336815976</v>
          </cell>
          <cell r="V69">
            <v>1.0106457174525985</v>
          </cell>
          <cell r="W69">
            <v>1.0106484038909742</v>
          </cell>
        </row>
        <row r="70">
          <cell r="A70" t="str">
            <v>Lighting</v>
          </cell>
          <cell r="B70" t="str">
            <v>Perimeter Daylighting Controls Advanced-NR</v>
          </cell>
          <cell r="C70" t="str">
            <v>LO5Med</v>
          </cell>
          <cell r="D70">
            <v>4.2999999999999997E-2</v>
          </cell>
          <cell r="E70">
            <v>9.5797142280278316E-2</v>
          </cell>
          <cell r="F70">
            <v>0.16040539374775648</v>
          </cell>
          <cell r="G70">
            <v>0.23540539374775649</v>
          </cell>
          <cell r="H70">
            <v>0.32095239121809005</v>
          </cell>
          <cell r="I70">
            <v>0.42096711425629652</v>
          </cell>
          <cell r="J70">
            <v>0.53068481860864725</v>
          </cell>
          <cell r="K70">
            <v>0.642769203728351</v>
          </cell>
          <cell r="L70">
            <v>0.74839528535557953</v>
          </cell>
          <cell r="M70">
            <v>0.83918984935345187</v>
          </cell>
          <cell r="N70">
            <v>0.90945051634530116</v>
          </cell>
          <cell r="O70">
            <v>0.9576688767502457</v>
          </cell>
          <cell r="P70">
            <v>0.9865231113648858</v>
          </cell>
          <cell r="Q70">
            <v>1.0012970762896924</v>
          </cell>
          <cell r="R70">
            <v>1.0076356106578106</v>
          </cell>
          <cell r="S70">
            <v>1.0098624683774413</v>
          </cell>
          <cell r="T70">
            <v>1.0104871783970797</v>
          </cell>
          <cell r="U70">
            <v>1.010623336815976</v>
          </cell>
          <cell r="V70">
            <v>1.0106457174525985</v>
          </cell>
          <cell r="W70">
            <v>1.0106484038909742</v>
          </cell>
        </row>
        <row r="71">
          <cell r="A71" t="str">
            <v>Lighting</v>
          </cell>
          <cell r="B71" t="str">
            <v>Lighting Controls Interior-New</v>
          </cell>
          <cell r="C71" t="str">
            <v>LO20Fast</v>
          </cell>
          <cell r="D71">
            <v>0.22119921692859512</v>
          </cell>
          <cell r="E71">
            <v>0.37624232795148943</v>
          </cell>
          <cell r="F71">
            <v>0.48357361352878442</v>
          </cell>
          <cell r="G71">
            <v>0.56716330278444227</v>
          </cell>
          <cell r="H71">
            <v>0.64040048266456928</v>
          </cell>
          <cell r="I71">
            <v>0.70377511937632964</v>
          </cell>
          <cell r="J71">
            <v>0.7580669577441127</v>
          </cell>
          <cell r="K71">
            <v>0.80419335000071168</v>
          </cell>
          <cell r="L71">
            <v>0.84311022627788457</v>
          </cell>
          <cell r="M71">
            <v>0.87575014259103623</v>
          </cell>
          <cell r="N71">
            <v>0.90298584871682319</v>
          </cell>
          <cell r="O71">
            <v>0.92419703797508856</v>
          </cell>
          <cell r="P71">
            <v>0.94071632877930145</v>
          </cell>
          <cell r="Q71">
            <v>0.95358156539340677</v>
          </cell>
          <cell r="R71">
            <v>0.96360102174287088</v>
          </cell>
          <cell r="S71">
            <v>0.97140418219378311</v>
          </cell>
          <cell r="T71">
            <v>0.97748128966338554</v>
          </cell>
          <cell r="U71">
            <v>0.98221414571952104</v>
          </cell>
          <cell r="V71">
            <v>0.98590009772220355</v>
          </cell>
          <cell r="W71">
            <v>0.98877072002825628</v>
          </cell>
        </row>
        <row r="72">
          <cell r="A72" t="str">
            <v>Lighting</v>
          </cell>
          <cell r="B72" t="str">
            <v>Lighting Controls Interior-NR</v>
          </cell>
          <cell r="C72" t="str">
            <v>LO20Fast</v>
          </cell>
          <cell r="D72">
            <v>0.22119921692859512</v>
          </cell>
          <cell r="E72">
            <v>0.37624232795148943</v>
          </cell>
          <cell r="F72">
            <v>0.48357361352878442</v>
          </cell>
          <cell r="G72">
            <v>0.56716330278444227</v>
          </cell>
          <cell r="H72">
            <v>0.64040048266456928</v>
          </cell>
          <cell r="I72">
            <v>0.70377511937632964</v>
          </cell>
          <cell r="J72">
            <v>0.7580669577441127</v>
          </cell>
          <cell r="K72">
            <v>0.80419335000071168</v>
          </cell>
          <cell r="L72">
            <v>0.84311022627788457</v>
          </cell>
          <cell r="M72">
            <v>0.87575014259103623</v>
          </cell>
          <cell r="N72">
            <v>0.90298584871682319</v>
          </cell>
          <cell r="O72">
            <v>0.92419703797508856</v>
          </cell>
          <cell r="P72">
            <v>0.94071632877930145</v>
          </cell>
          <cell r="Q72">
            <v>0.95358156539340677</v>
          </cell>
          <cell r="R72">
            <v>0.96360102174287088</v>
          </cell>
          <cell r="S72">
            <v>0.97140418219378311</v>
          </cell>
          <cell r="T72">
            <v>0.97748128966338554</v>
          </cell>
          <cell r="U72">
            <v>0.98221414571952104</v>
          </cell>
          <cell r="V72">
            <v>0.98590009772220355</v>
          </cell>
          <cell r="W72">
            <v>0.98877072002825628</v>
          </cell>
        </row>
        <row r="73">
          <cell r="A73" t="str">
            <v>Lighting</v>
          </cell>
          <cell r="B73" t="str">
            <v>Exterior Building Lighting-New</v>
          </cell>
          <cell r="C73" t="str">
            <v>LO20Fast</v>
          </cell>
          <cell r="D73">
            <v>0.22119921692859512</v>
          </cell>
          <cell r="E73">
            <v>0.37624232795148943</v>
          </cell>
          <cell r="F73">
            <v>0.48357361352878442</v>
          </cell>
          <cell r="G73">
            <v>0.56716330278444227</v>
          </cell>
          <cell r="H73">
            <v>0.64040048266456928</v>
          </cell>
          <cell r="I73">
            <v>0.70377511937632964</v>
          </cell>
          <cell r="J73">
            <v>0.7580669577441127</v>
          </cell>
          <cell r="K73">
            <v>0.80419335000071168</v>
          </cell>
          <cell r="L73">
            <v>0.84311022627788457</v>
          </cell>
          <cell r="M73">
            <v>0.87575014259103623</v>
          </cell>
          <cell r="N73">
            <v>0.90298584871682319</v>
          </cell>
          <cell r="O73">
            <v>0.92419703797508856</v>
          </cell>
          <cell r="P73">
            <v>0.94071632877930145</v>
          </cell>
          <cell r="Q73">
            <v>0.95358156539340677</v>
          </cell>
          <cell r="R73">
            <v>0.96360102174287088</v>
          </cell>
          <cell r="S73">
            <v>0.97140418219378311</v>
          </cell>
          <cell r="T73">
            <v>0.97748128966338554</v>
          </cell>
          <cell r="U73">
            <v>0.98221414571952104</v>
          </cell>
          <cell r="V73">
            <v>0.98590009772220355</v>
          </cell>
          <cell r="W73">
            <v>0.98877072002825628</v>
          </cell>
        </row>
        <row r="74">
          <cell r="A74" t="str">
            <v>Lighting</v>
          </cell>
          <cell r="B74" t="str">
            <v>Exterior Building Lighting-NR</v>
          </cell>
          <cell r="C74" t="str">
            <v>LO20Fast</v>
          </cell>
          <cell r="D74">
            <v>0.22119921692859512</v>
          </cell>
          <cell r="E74">
            <v>0.37624232795148943</v>
          </cell>
          <cell r="F74">
            <v>0.48357361352878442</v>
          </cell>
          <cell r="G74">
            <v>0.56716330278444227</v>
          </cell>
          <cell r="H74">
            <v>0.64040048266456928</v>
          </cell>
          <cell r="I74">
            <v>0.70377511937632964</v>
          </cell>
          <cell r="J74">
            <v>0.7580669577441127</v>
          </cell>
          <cell r="K74">
            <v>0.80419335000071168</v>
          </cell>
          <cell r="L74">
            <v>0.84311022627788457</v>
          </cell>
          <cell r="M74">
            <v>0.87575014259103623</v>
          </cell>
          <cell r="N74">
            <v>0.90298584871682319</v>
          </cell>
          <cell r="O74">
            <v>0.92419703797508856</v>
          </cell>
          <cell r="P74">
            <v>0.94071632877930145</v>
          </cell>
          <cell r="Q74">
            <v>0.95358156539340677</v>
          </cell>
          <cell r="R74">
            <v>0.96360102174287088</v>
          </cell>
          <cell r="S74">
            <v>0.97140418219378311</v>
          </cell>
          <cell r="T74">
            <v>0.97748128966338554</v>
          </cell>
          <cell r="U74">
            <v>0.98221414571952104</v>
          </cell>
          <cell r="V74">
            <v>0.98590009772220355</v>
          </cell>
          <cell r="W74">
            <v>0.98877072002825628</v>
          </cell>
        </row>
        <row r="75">
          <cell r="A75" t="str">
            <v>Lighting</v>
          </cell>
          <cell r="B75" t="str">
            <v>Street and Roadway Lighting-New</v>
          </cell>
          <cell r="C75" t="str">
            <v>LO50Fast</v>
          </cell>
          <cell r="D75">
            <v>0.45</v>
          </cell>
          <cell r="E75">
            <v>0.66</v>
          </cell>
          <cell r="F75">
            <v>0.8</v>
          </cell>
          <cell r="G75">
            <v>0.89</v>
          </cell>
          <cell r="H75">
            <v>0.94954036260972652</v>
          </cell>
          <cell r="I75">
            <v>0.97931054391458994</v>
          </cell>
          <cell r="J75">
            <v>0.99254173560564019</v>
          </cell>
          <cell r="K75">
            <v>0.99783421228206048</v>
          </cell>
          <cell r="L75">
            <v>0.99975874925530417</v>
          </cell>
          <cell r="M75">
            <v>1.0004002615797187</v>
          </cell>
          <cell r="N75">
            <v>1.0005976499872309</v>
          </cell>
          <cell r="O75">
            <v>1.0006540466750915</v>
          </cell>
          <cell r="P75">
            <v>1.0006690857918545</v>
          </cell>
          <cell r="Q75">
            <v>1.000672845571045</v>
          </cell>
          <cell r="R75">
            <v>1.0006737302249724</v>
          </cell>
          <cell r="S75">
            <v>1.0006739268147338</v>
          </cell>
          <cell r="T75">
            <v>1.0006739682020522</v>
          </cell>
          <cell r="U75">
            <v>1.0006739764795158</v>
          </cell>
          <cell r="V75">
            <v>1.0006739780561755</v>
          </cell>
          <cell r="W75">
            <v>1.0006739783428409</v>
          </cell>
        </row>
        <row r="76">
          <cell r="A76" t="str">
            <v>Lighting</v>
          </cell>
          <cell r="B76" t="str">
            <v>Street and Roadway Lighting-NR</v>
          </cell>
          <cell r="C76" t="str">
            <v>LO50Fast</v>
          </cell>
          <cell r="D76">
            <v>0.45</v>
          </cell>
          <cell r="E76">
            <v>0.66</v>
          </cell>
          <cell r="F76">
            <v>0.8</v>
          </cell>
          <cell r="G76">
            <v>0.89</v>
          </cell>
          <cell r="H76">
            <v>0.94954036260972652</v>
          </cell>
          <cell r="I76">
            <v>0.97931054391458994</v>
          </cell>
          <cell r="J76">
            <v>0.99254173560564019</v>
          </cell>
          <cell r="K76">
            <v>0.99783421228206048</v>
          </cell>
          <cell r="L76">
            <v>0.99975874925530417</v>
          </cell>
          <cell r="M76">
            <v>1.0004002615797187</v>
          </cell>
          <cell r="N76">
            <v>1.0005976499872309</v>
          </cell>
          <cell r="O76">
            <v>1.0006540466750915</v>
          </cell>
          <cell r="P76">
            <v>1.0006690857918545</v>
          </cell>
          <cell r="Q76">
            <v>1.000672845571045</v>
          </cell>
          <cell r="R76">
            <v>1.0006737302249724</v>
          </cell>
          <cell r="S76">
            <v>1.0006739268147338</v>
          </cell>
          <cell r="T76">
            <v>1.0006739682020522</v>
          </cell>
          <cell r="U76">
            <v>1.0006739764795158</v>
          </cell>
          <cell r="V76">
            <v>1.0006739780561755</v>
          </cell>
          <cell r="W76">
            <v>1.0006739783428409</v>
          </cell>
        </row>
        <row r="77">
          <cell r="A77" t="str">
            <v>Lighting</v>
          </cell>
          <cell r="B77" t="str">
            <v>Parking Lighting-New</v>
          </cell>
          <cell r="C77" t="str">
            <v>LO50Fast</v>
          </cell>
          <cell r="D77">
            <v>0.45</v>
          </cell>
          <cell r="E77">
            <v>0.66</v>
          </cell>
          <cell r="F77">
            <v>0.8</v>
          </cell>
          <cell r="G77">
            <v>0.89</v>
          </cell>
          <cell r="H77">
            <v>0.94954036260972652</v>
          </cell>
          <cell r="I77">
            <v>0.97931054391458994</v>
          </cell>
          <cell r="J77">
            <v>0.99254173560564019</v>
          </cell>
          <cell r="K77">
            <v>0.99783421228206048</v>
          </cell>
          <cell r="L77">
            <v>0.99975874925530417</v>
          </cell>
          <cell r="M77">
            <v>1.0004002615797187</v>
          </cell>
          <cell r="N77">
            <v>1.0005976499872309</v>
          </cell>
          <cell r="O77">
            <v>1.0006540466750915</v>
          </cell>
          <cell r="P77">
            <v>1.0006690857918545</v>
          </cell>
          <cell r="Q77">
            <v>1.000672845571045</v>
          </cell>
          <cell r="R77">
            <v>1.0006737302249724</v>
          </cell>
          <cell r="S77">
            <v>1.0006739268147338</v>
          </cell>
          <cell r="T77">
            <v>1.0006739682020522</v>
          </cell>
          <cell r="U77">
            <v>1.0006739764795158</v>
          </cell>
          <cell r="V77">
            <v>1.0006739780561755</v>
          </cell>
          <cell r="W77">
            <v>1.0006739783428409</v>
          </cell>
        </row>
        <row r="78">
          <cell r="A78" t="str">
            <v>Lighting</v>
          </cell>
          <cell r="B78" t="str">
            <v>Parking Lighting-NR</v>
          </cell>
          <cell r="C78" t="str">
            <v>LO12Med</v>
          </cell>
          <cell r="D78">
            <v>0.10937459468255628</v>
          </cell>
          <cell r="E78">
            <v>0.21874918936511256</v>
          </cell>
          <cell r="F78">
            <v>0.32812378404766884</v>
          </cell>
          <cell r="G78">
            <v>0.43749837873022512</v>
          </cell>
          <cell r="H78">
            <v>0.5468729734127814</v>
          </cell>
          <cell r="I78">
            <v>0.64531010862708205</v>
          </cell>
          <cell r="J78">
            <v>0.7240598167985226</v>
          </cell>
          <cell r="K78">
            <v>0.78705958333567505</v>
          </cell>
          <cell r="L78">
            <v>0.83745939656539703</v>
          </cell>
          <cell r="M78">
            <v>0.87777924714917455</v>
          </cell>
          <cell r="N78">
            <v>0.91003512761619654</v>
          </cell>
          <cell r="O78">
            <v>0.93583983198981413</v>
          </cell>
          <cell r="P78">
            <v>0.9564835954887082</v>
          </cell>
          <cell r="Q78">
            <v>0.97299860628782353</v>
          </cell>
          <cell r="R78">
            <v>0.9862106149271157</v>
          </cell>
          <cell r="S78">
            <v>0.99678022183854953</v>
          </cell>
          <cell r="T78">
            <v>0.99685231466234414</v>
          </cell>
          <cell r="U78">
            <v>0.99687806209941365</v>
          </cell>
          <cell r="V78">
            <v>0.99688683963477831</v>
          </cell>
          <cell r="W78">
            <v>0.99688970187457115</v>
          </cell>
        </row>
        <row r="79">
          <cell r="A79" t="str">
            <v>Lighting</v>
          </cell>
          <cell r="B79" t="str">
            <v>Bi-Level Stairwell Lighting-NR</v>
          </cell>
          <cell r="C79" t="str">
            <v>LO12Med</v>
          </cell>
          <cell r="D79">
            <v>0.10937459468255628</v>
          </cell>
          <cell r="E79">
            <v>0.21874918936511256</v>
          </cell>
          <cell r="F79">
            <v>0.32812378404766884</v>
          </cell>
          <cell r="G79">
            <v>0.43749837873022512</v>
          </cell>
          <cell r="H79">
            <v>0.5468729734127814</v>
          </cell>
          <cell r="I79">
            <v>0.64531010862708205</v>
          </cell>
          <cell r="J79">
            <v>0.7240598167985226</v>
          </cell>
          <cell r="K79">
            <v>0.78705958333567505</v>
          </cell>
          <cell r="L79">
            <v>0.83745939656539703</v>
          </cell>
          <cell r="M79">
            <v>0.87777924714917455</v>
          </cell>
          <cell r="N79">
            <v>0.91003512761619654</v>
          </cell>
          <cell r="O79">
            <v>0.93583983198981413</v>
          </cell>
          <cell r="P79">
            <v>0.9564835954887082</v>
          </cell>
          <cell r="Q79">
            <v>0.97299860628782353</v>
          </cell>
          <cell r="R79">
            <v>0.9862106149271157</v>
          </cell>
          <cell r="S79">
            <v>0.99678022183854953</v>
          </cell>
          <cell r="T79">
            <v>0.99685231466234414</v>
          </cell>
          <cell r="U79">
            <v>0.99687806209941365</v>
          </cell>
          <cell r="V79">
            <v>0.99688683963477831</v>
          </cell>
          <cell r="W79">
            <v>0.99688970187457115</v>
          </cell>
        </row>
        <row r="80">
          <cell r="A80" t="str">
            <v>Motors/Drives</v>
          </cell>
          <cell r="B80" t="str">
            <v>ECM-VAV-New</v>
          </cell>
          <cell r="C80" t="str">
            <v>LO12Med</v>
          </cell>
          <cell r="D80">
            <v>0.10937459468255628</v>
          </cell>
          <cell r="E80">
            <v>0.21874918936511256</v>
          </cell>
          <cell r="F80">
            <v>0.32812378404766884</v>
          </cell>
          <cell r="G80">
            <v>0.43749837873022512</v>
          </cell>
          <cell r="H80">
            <v>0.5468729734127814</v>
          </cell>
          <cell r="I80">
            <v>0.64531010862708205</v>
          </cell>
          <cell r="J80">
            <v>0.7240598167985226</v>
          </cell>
          <cell r="K80">
            <v>0.78705958333567505</v>
          </cell>
          <cell r="L80">
            <v>0.83745939656539703</v>
          </cell>
          <cell r="M80">
            <v>0.87777924714917455</v>
          </cell>
          <cell r="N80">
            <v>0.91003512761619654</v>
          </cell>
          <cell r="O80">
            <v>0.93583983198981413</v>
          </cell>
          <cell r="P80">
            <v>0.9564835954887082</v>
          </cell>
          <cell r="Q80">
            <v>0.97299860628782353</v>
          </cell>
          <cell r="R80">
            <v>0.9862106149271157</v>
          </cell>
          <cell r="S80">
            <v>0.99678022183854953</v>
          </cell>
          <cell r="T80">
            <v>0.99685231466234414</v>
          </cell>
          <cell r="U80">
            <v>0.99687806209941365</v>
          </cell>
          <cell r="V80">
            <v>0.99688683963477831</v>
          </cell>
          <cell r="W80">
            <v>0.99688970187457115</v>
          </cell>
        </row>
        <row r="81">
          <cell r="A81" t="str">
            <v>Motors/Drives</v>
          </cell>
          <cell r="B81" t="str">
            <v>ECM-VAV-NR</v>
          </cell>
          <cell r="C81" t="str">
            <v>LO12Med</v>
          </cell>
          <cell r="D81">
            <v>0.10937459468255628</v>
          </cell>
          <cell r="E81">
            <v>0.21874918936511256</v>
          </cell>
          <cell r="F81">
            <v>0.32812378404766884</v>
          </cell>
          <cell r="G81">
            <v>0.43749837873022512</v>
          </cell>
          <cell r="H81">
            <v>0.5468729734127814</v>
          </cell>
          <cell r="I81">
            <v>0.64531010862708205</v>
          </cell>
          <cell r="J81">
            <v>0.7240598167985226</v>
          </cell>
          <cell r="K81">
            <v>0.78705958333567505</v>
          </cell>
          <cell r="L81">
            <v>0.83745939656539703</v>
          </cell>
          <cell r="M81">
            <v>0.87777924714917455</v>
          </cell>
          <cell r="N81">
            <v>0.91003512761619654</v>
          </cell>
          <cell r="O81">
            <v>0.93583983198981413</v>
          </cell>
          <cell r="P81">
            <v>0.9564835954887082</v>
          </cell>
          <cell r="Q81">
            <v>0.97299860628782353</v>
          </cell>
          <cell r="R81">
            <v>0.9862106149271157</v>
          </cell>
          <cell r="S81">
            <v>0.99678022183854953</v>
          </cell>
          <cell r="T81">
            <v>0.99685231466234414</v>
          </cell>
          <cell r="U81">
            <v>0.99687806209941365</v>
          </cell>
          <cell r="V81">
            <v>0.99688683963477831</v>
          </cell>
          <cell r="W81">
            <v>0.99688970187457115</v>
          </cell>
        </row>
        <row r="82">
          <cell r="A82" t="str">
            <v>Motors/Drives</v>
          </cell>
          <cell r="B82" t="str">
            <v>Pool pumps-Retro</v>
          </cell>
          <cell r="C82" t="str">
            <v>Retro20Fast</v>
          </cell>
          <cell r="D82">
            <v>0.22119921692859512</v>
          </cell>
          <cell r="E82">
            <v>0.15504311102289431</v>
          </cell>
          <cell r="F82">
            <v>0.10733128557729499</v>
          </cell>
          <cell r="G82">
            <v>8.3589689255657879E-2</v>
          </cell>
          <cell r="H82">
            <v>7.3237179880126971E-2</v>
          </cell>
          <cell r="I82">
            <v>6.3374636711760357E-2</v>
          </cell>
          <cell r="J82">
            <v>5.4291838367783084E-2</v>
          </cell>
          <cell r="K82">
            <v>4.612639225659896E-2</v>
          </cell>
          <cell r="L82">
            <v>3.8916876277172864E-2</v>
          </cell>
          <cell r="M82">
            <v>3.2639916313151704E-2</v>
          </cell>
          <cell r="N82">
            <v>2.7235706125786907E-2</v>
          </cell>
          <cell r="O82">
            <v>2.1211189258265428E-2</v>
          </cell>
          <cell r="P82">
            <v>1.6519290804212883E-2</v>
          </cell>
          <cell r="Q82">
            <v>1.2865236614105324E-2</v>
          </cell>
          <cell r="R82">
            <v>1.0019456349464106E-2</v>
          </cell>
          <cell r="S82">
            <v>7.8031604509122832E-3</v>
          </cell>
          <cell r="T82">
            <v>6.077107469602494E-3</v>
          </cell>
          <cell r="U82">
            <v>4.7328560561354371E-3</v>
          </cell>
          <cell r="V82">
            <v>3.6859520026825132E-3</v>
          </cell>
          <cell r="W82">
            <v>2.8706223060526725E-3</v>
          </cell>
        </row>
        <row r="83">
          <cell r="A83" t="str">
            <v>Motors/Drives</v>
          </cell>
          <cell r="B83" t="str">
            <v>MotorsRewind-New</v>
          </cell>
          <cell r="C83" t="str">
            <v>LO12Med</v>
          </cell>
          <cell r="D83">
            <v>0.10937459468255628</v>
          </cell>
          <cell r="E83">
            <v>0.21874918936511256</v>
          </cell>
          <cell r="F83">
            <v>0.32812378404766884</v>
          </cell>
          <cell r="G83">
            <v>0.43749837873022512</v>
          </cell>
          <cell r="H83">
            <v>0.5468729734127814</v>
          </cell>
          <cell r="I83">
            <v>0.64531010862708205</v>
          </cell>
          <cell r="J83">
            <v>0.7240598167985226</v>
          </cell>
          <cell r="K83">
            <v>0.78705958333567505</v>
          </cell>
          <cell r="L83">
            <v>0.83745939656539703</v>
          </cell>
          <cell r="M83">
            <v>0.87777924714917455</v>
          </cell>
          <cell r="N83">
            <v>0.91003512761619654</v>
          </cell>
          <cell r="O83">
            <v>0.93583983198981413</v>
          </cell>
          <cell r="P83">
            <v>0.9564835954887082</v>
          </cell>
          <cell r="Q83">
            <v>0.97299860628782353</v>
          </cell>
          <cell r="R83">
            <v>0.9862106149271157</v>
          </cell>
          <cell r="S83">
            <v>0.99678022183854953</v>
          </cell>
          <cell r="T83">
            <v>0.99685231466234414</v>
          </cell>
          <cell r="U83">
            <v>0.99687806209941365</v>
          </cell>
          <cell r="V83">
            <v>0.99688683963477831</v>
          </cell>
          <cell r="W83">
            <v>0.99688970187457115</v>
          </cell>
        </row>
        <row r="84">
          <cell r="A84" t="str">
            <v>Motors/Drives</v>
          </cell>
          <cell r="B84" t="str">
            <v>MotorsRewind-NR</v>
          </cell>
          <cell r="C84" t="str">
            <v>LO12Med</v>
          </cell>
          <cell r="D84">
            <v>0.10937459468255628</v>
          </cell>
          <cell r="E84">
            <v>0.21874918936511256</v>
          </cell>
          <cell r="F84">
            <v>0.32812378404766884</v>
          </cell>
          <cell r="G84">
            <v>0.43749837873022512</v>
          </cell>
          <cell r="H84">
            <v>0.5468729734127814</v>
          </cell>
          <cell r="I84">
            <v>0.64531010862708205</v>
          </cell>
          <cell r="J84">
            <v>0.7240598167985226</v>
          </cell>
          <cell r="K84">
            <v>0.78705958333567505</v>
          </cell>
          <cell r="L84">
            <v>0.83745939656539703</v>
          </cell>
          <cell r="M84">
            <v>0.87777924714917455</v>
          </cell>
          <cell r="N84">
            <v>0.91003512761619654</v>
          </cell>
          <cell r="O84">
            <v>0.93583983198981413</v>
          </cell>
          <cell r="P84">
            <v>0.9564835954887082</v>
          </cell>
          <cell r="Q84">
            <v>0.97299860628782353</v>
          </cell>
          <cell r="R84">
            <v>0.9862106149271157</v>
          </cell>
          <cell r="S84">
            <v>0.99678022183854953</v>
          </cell>
          <cell r="T84">
            <v>0.99685231466234414</v>
          </cell>
          <cell r="U84">
            <v>0.99687806209941365</v>
          </cell>
          <cell r="V84">
            <v>0.99688683963477831</v>
          </cell>
          <cell r="W84">
            <v>0.99688970187457115</v>
          </cell>
        </row>
        <row r="85">
          <cell r="A85" t="str">
            <v>Process Loads</v>
          </cell>
          <cell r="B85" t="str">
            <v>Municipal Sewage Treatment-Retro</v>
          </cell>
          <cell r="C85" t="str">
            <v>Retro5Med</v>
          </cell>
          <cell r="D85">
            <v>4.2999999999999997E-2</v>
          </cell>
          <cell r="E85">
            <v>5.279714228027832E-2</v>
          </cell>
          <cell r="F85">
            <v>6.4608251467478173E-2</v>
          </cell>
          <cell r="G85">
            <v>7.4999999999999997E-2</v>
          </cell>
          <cell r="H85">
            <v>8.5546997470333563E-2</v>
          </cell>
          <cell r="I85">
            <v>0.10001472303820647</v>
          </cell>
          <cell r="J85">
            <v>0.10971770435235073</v>
          </cell>
          <cell r="K85">
            <v>0.11208438511970376</v>
          </cell>
          <cell r="L85">
            <v>0.10562608162722853</v>
          </cell>
          <cell r="M85">
            <v>9.0794563997872335E-2</v>
          </cell>
          <cell r="N85">
            <v>7.0260666991849297E-2</v>
          </cell>
          <cell r="O85">
            <v>4.8218360404944538E-2</v>
          </cell>
          <cell r="P85">
            <v>2.8854234614640095E-2</v>
          </cell>
          <cell r="Q85">
            <v>1.4773964924806759E-2</v>
          </cell>
          <cell r="R85">
            <v>6.3385343681182649E-3</v>
          </cell>
          <cell r="S85">
            <v>2.2268577196306039E-3</v>
          </cell>
          <cell r="T85">
            <v>6.2471001963848583E-4</v>
          </cell>
          <cell r="U85">
            <v>1.3615841889635938E-4</v>
          </cell>
          <cell r="V85">
            <v>2.2380636622298944E-5</v>
          </cell>
          <cell r="W85">
            <v>2.68643837586513E-6</v>
          </cell>
        </row>
        <row r="86">
          <cell r="A86" t="str">
            <v>Process Loads</v>
          </cell>
          <cell r="B86" t="str">
            <v>Municipal Water Supply-Retro</v>
          </cell>
          <cell r="C86" t="str">
            <v>Retro5Med</v>
          </cell>
          <cell r="D86">
            <v>4.2999999999999997E-2</v>
          </cell>
          <cell r="E86">
            <v>5.279714228027832E-2</v>
          </cell>
          <cell r="F86">
            <v>6.4608251467478173E-2</v>
          </cell>
          <cell r="G86">
            <v>7.4999999999999997E-2</v>
          </cell>
          <cell r="H86">
            <v>8.5546997470333563E-2</v>
          </cell>
          <cell r="I86">
            <v>0.10001472303820647</v>
          </cell>
          <cell r="J86">
            <v>0.10971770435235073</v>
          </cell>
          <cell r="K86">
            <v>0.11208438511970376</v>
          </cell>
          <cell r="L86">
            <v>0.10562608162722853</v>
          </cell>
          <cell r="M86">
            <v>9.0794563997872335E-2</v>
          </cell>
          <cell r="N86">
            <v>7.0260666991849297E-2</v>
          </cell>
          <cell r="O86">
            <v>4.8218360404944538E-2</v>
          </cell>
          <cell r="P86">
            <v>2.8854234614640095E-2</v>
          </cell>
          <cell r="Q86">
            <v>1.4773964924806759E-2</v>
          </cell>
          <cell r="R86">
            <v>6.3385343681182649E-3</v>
          </cell>
          <cell r="S86">
            <v>2.2268577196306039E-3</v>
          </cell>
          <cell r="T86">
            <v>6.2471001963848583E-4</v>
          </cell>
          <cell r="U86">
            <v>1.3615841889635938E-4</v>
          </cell>
          <cell r="V86">
            <v>2.2380636622298944E-5</v>
          </cell>
          <cell r="W86">
            <v>2.68643837586513E-6</v>
          </cell>
        </row>
        <row r="87">
          <cell r="A87" t="str">
            <v>Process Loads</v>
          </cell>
          <cell r="B87" t="str">
            <v>Engine Generator Block Heaters-Retro</v>
          </cell>
          <cell r="C87" t="str">
            <v>Retro20Fast</v>
          </cell>
          <cell r="D87">
            <v>0.22119921692859512</v>
          </cell>
          <cell r="E87">
            <v>0.15504311102289431</v>
          </cell>
          <cell r="F87">
            <v>0.10733128557729499</v>
          </cell>
          <cell r="G87">
            <v>8.3589689255657879E-2</v>
          </cell>
          <cell r="H87">
            <v>7.3237179880126971E-2</v>
          </cell>
          <cell r="I87">
            <v>6.3374636711760357E-2</v>
          </cell>
          <cell r="J87">
            <v>5.4291838367783084E-2</v>
          </cell>
          <cell r="K87">
            <v>4.612639225659896E-2</v>
          </cell>
          <cell r="L87">
            <v>3.8916876277172864E-2</v>
          </cell>
          <cell r="M87">
            <v>3.2639916313151704E-2</v>
          </cell>
          <cell r="N87">
            <v>2.7235706125786907E-2</v>
          </cell>
          <cell r="O87">
            <v>2.1211189258265428E-2</v>
          </cell>
          <cell r="P87">
            <v>1.6519290804212883E-2</v>
          </cell>
          <cell r="Q87">
            <v>1.2865236614105324E-2</v>
          </cell>
          <cell r="R87">
            <v>1.0019456349464106E-2</v>
          </cell>
          <cell r="S87">
            <v>7.8031604509122832E-3</v>
          </cell>
          <cell r="T87">
            <v>6.077107469602494E-3</v>
          </cell>
          <cell r="U87">
            <v>4.7328560561354371E-3</v>
          </cell>
          <cell r="V87">
            <v>3.6859520026825132E-3</v>
          </cell>
          <cell r="W87">
            <v>2.8706223060526725E-3</v>
          </cell>
        </row>
        <row r="88">
          <cell r="A88" t="str">
            <v>Refrigeration</v>
          </cell>
          <cell r="B88" t="str">
            <v>Grocery Refrigeration Bundle-Retro</v>
          </cell>
          <cell r="C88" t="str">
            <v>Retro12Med</v>
          </cell>
          <cell r="D88">
            <v>0.10937459468255628</v>
          </cell>
          <cell r="E88">
            <v>0.10937459468255628</v>
          </cell>
          <cell r="F88">
            <v>0.10937459468255628</v>
          </cell>
          <cell r="G88">
            <v>0.10937459468255628</v>
          </cell>
          <cell r="H88">
            <v>0.10937459468255628</v>
          </cell>
          <cell r="I88">
            <v>9.8437135214300656E-2</v>
          </cell>
          <cell r="J88">
            <v>7.874970817144053E-2</v>
          </cell>
          <cell r="K88">
            <v>6.2999766537152418E-2</v>
          </cell>
          <cell r="L88">
            <v>5.0399813229721938E-2</v>
          </cell>
          <cell r="M88">
            <v>4.0319850583777551E-2</v>
          </cell>
          <cell r="N88">
            <v>3.225588046702204E-2</v>
          </cell>
          <cell r="O88">
            <v>2.5804704373617631E-2</v>
          </cell>
          <cell r="P88">
            <v>2.0643763498894106E-2</v>
          </cell>
          <cell r="Q88">
            <v>1.6515010799115284E-2</v>
          </cell>
          <cell r="R88">
            <v>1.3212008639292228E-2</v>
          </cell>
          <cell r="S88">
            <v>1.0569606911433781E-2</v>
          </cell>
          <cell r="T88">
            <v>7.2092823794611682E-5</v>
          </cell>
          <cell r="U88">
            <v>2.5747437069512102E-5</v>
          </cell>
          <cell r="V88">
            <v>8.7775353646568632E-6</v>
          </cell>
          <cell r="W88">
            <v>2.8622397928446119E-6</v>
          </cell>
        </row>
        <row r="89">
          <cell r="A89" t="str">
            <v>Refrigeration</v>
          </cell>
          <cell r="B89" t="str">
            <v>Packaged Refrigeration Equipment-New</v>
          </cell>
          <cell r="C89" t="str">
            <v>LOEven20</v>
          </cell>
          <cell r="D89">
            <v>0.05</v>
          </cell>
          <cell r="E89">
            <v>0.1</v>
          </cell>
          <cell r="F89">
            <v>0.15000000000000002</v>
          </cell>
          <cell r="G89">
            <v>0.2</v>
          </cell>
          <cell r="H89">
            <v>0.25</v>
          </cell>
          <cell r="I89">
            <v>0.3</v>
          </cell>
          <cell r="J89">
            <v>0.35</v>
          </cell>
          <cell r="K89">
            <v>0.39999999999999997</v>
          </cell>
          <cell r="L89">
            <v>0.44999999999999996</v>
          </cell>
          <cell r="M89">
            <v>0.49999999999999994</v>
          </cell>
          <cell r="N89">
            <v>0.54999999999999993</v>
          </cell>
          <cell r="O89">
            <v>0.6</v>
          </cell>
          <cell r="P89">
            <v>0.65</v>
          </cell>
          <cell r="Q89">
            <v>0.70000000000000007</v>
          </cell>
          <cell r="R89">
            <v>0.75000000000000011</v>
          </cell>
          <cell r="S89">
            <v>0.80000000000000016</v>
          </cell>
          <cell r="T89">
            <v>0.8500000000000002</v>
          </cell>
          <cell r="U89">
            <v>0.90000000000000024</v>
          </cell>
          <cell r="V89">
            <v>0.95000000000000029</v>
          </cell>
          <cell r="W89">
            <v>1.0000000000000002</v>
          </cell>
        </row>
        <row r="90">
          <cell r="A90" t="str">
            <v>Refrigeration</v>
          </cell>
          <cell r="B90" t="str">
            <v>Appliances - Freezers-NR</v>
          </cell>
          <cell r="C90" t="str">
            <v>LO5Med</v>
          </cell>
          <cell r="D90">
            <v>4.2999999999999997E-2</v>
          </cell>
          <cell r="E90">
            <v>9.5797142280278316E-2</v>
          </cell>
          <cell r="F90">
            <v>0.16040539374775648</v>
          </cell>
          <cell r="G90">
            <v>0.23540539374775649</v>
          </cell>
          <cell r="H90">
            <v>0.32095239121809005</v>
          </cell>
          <cell r="I90">
            <v>0.42096711425629652</v>
          </cell>
          <cell r="J90">
            <v>0.53068481860864725</v>
          </cell>
          <cell r="K90">
            <v>0.642769203728351</v>
          </cell>
          <cell r="L90">
            <v>0.74839528535557953</v>
          </cell>
          <cell r="M90">
            <v>0.83918984935345187</v>
          </cell>
          <cell r="N90">
            <v>0.90945051634530116</v>
          </cell>
          <cell r="O90">
            <v>0.9576688767502457</v>
          </cell>
          <cell r="P90">
            <v>0.9865231113648858</v>
          </cell>
          <cell r="Q90">
            <v>1.0012970762896924</v>
          </cell>
          <cell r="R90">
            <v>1.0076356106578106</v>
          </cell>
          <cell r="S90">
            <v>1.0098624683774413</v>
          </cell>
          <cell r="T90">
            <v>1.0104871783970797</v>
          </cell>
          <cell r="U90">
            <v>1.010623336815976</v>
          </cell>
          <cell r="V90">
            <v>1.0106457174525985</v>
          </cell>
          <cell r="W90">
            <v>1.0106484038909742</v>
          </cell>
        </row>
        <row r="91">
          <cell r="A91" t="str">
            <v>Refrigeration</v>
          </cell>
          <cell r="B91" t="str">
            <v>Appliances - Refrigerators-NR</v>
          </cell>
          <cell r="C91" t="str">
            <v>LO5Med</v>
          </cell>
          <cell r="D91">
            <v>4.2999999999999997E-2</v>
          </cell>
          <cell r="E91">
            <v>9.5797142280278316E-2</v>
          </cell>
          <cell r="F91">
            <v>0.16040539374775648</v>
          </cell>
          <cell r="G91">
            <v>0.23540539374775649</v>
          </cell>
          <cell r="H91">
            <v>0.32095239121809005</v>
          </cell>
          <cell r="I91">
            <v>0.42096711425629652</v>
          </cell>
          <cell r="J91">
            <v>0.53068481860864725</v>
          </cell>
          <cell r="K91">
            <v>0.642769203728351</v>
          </cell>
          <cell r="L91">
            <v>0.74839528535557953</v>
          </cell>
          <cell r="M91">
            <v>0.83918984935345187</v>
          </cell>
          <cell r="N91">
            <v>0.90945051634530116</v>
          </cell>
          <cell r="O91">
            <v>0.9576688767502457</v>
          </cell>
          <cell r="P91">
            <v>0.9865231113648858</v>
          </cell>
          <cell r="Q91">
            <v>1.0012970762896924</v>
          </cell>
          <cell r="R91">
            <v>1.0076356106578106</v>
          </cell>
          <cell r="S91">
            <v>1.0098624683774413</v>
          </cell>
          <cell r="T91">
            <v>1.0104871783970797</v>
          </cell>
          <cell r="U91">
            <v>1.010623336815976</v>
          </cell>
          <cell r="V91">
            <v>1.0106457174525985</v>
          </cell>
          <cell r="W91">
            <v>1.0106484038909742</v>
          </cell>
        </row>
        <row r="92">
          <cell r="A92" t="str">
            <v>Refrigeration</v>
          </cell>
          <cell r="B92" t="str">
            <v>Water Cooler Controls-NR</v>
          </cell>
          <cell r="C92" t="str">
            <v>LO5Med</v>
          </cell>
          <cell r="D92">
            <v>4.2999999999999997E-2</v>
          </cell>
          <cell r="E92">
            <v>9.5797142280278316E-2</v>
          </cell>
          <cell r="F92">
            <v>0.16040539374775648</v>
          </cell>
          <cell r="G92">
            <v>0.23540539374775649</v>
          </cell>
          <cell r="H92">
            <v>0.32095239121809005</v>
          </cell>
          <cell r="I92">
            <v>0.42096711425629652</v>
          </cell>
          <cell r="J92">
            <v>0.53068481860864725</v>
          </cell>
          <cell r="K92">
            <v>0.642769203728351</v>
          </cell>
          <cell r="L92">
            <v>0.74839528535557953</v>
          </cell>
          <cell r="M92">
            <v>0.83918984935345187</v>
          </cell>
          <cell r="N92">
            <v>0.90945051634530116</v>
          </cell>
          <cell r="O92">
            <v>0.9576688767502457</v>
          </cell>
          <cell r="P92">
            <v>0.9865231113648858</v>
          </cell>
          <cell r="Q92">
            <v>1.0012970762896924</v>
          </cell>
          <cell r="R92">
            <v>1.0076356106578106</v>
          </cell>
          <cell r="S92">
            <v>1.0098624683774413</v>
          </cell>
          <cell r="T92">
            <v>1.0104871783970797</v>
          </cell>
          <cell r="U92">
            <v>1.010623336815976</v>
          </cell>
          <cell r="V92">
            <v>1.0106457174525985</v>
          </cell>
          <cell r="W92">
            <v>1.0106484038909742</v>
          </cell>
        </row>
        <row r="93">
          <cell r="A93" t="str">
            <v>Water Heating</v>
          </cell>
          <cell r="B93" t="str">
            <v>WHTanks-New</v>
          </cell>
          <cell r="C93" t="str">
            <v>LO12Med</v>
          </cell>
          <cell r="D93">
            <v>0.10937459468255628</v>
          </cell>
          <cell r="E93">
            <v>0.21874918936511256</v>
          </cell>
          <cell r="F93">
            <v>0.32812378404766884</v>
          </cell>
          <cell r="G93">
            <v>0.43749837873022512</v>
          </cell>
          <cell r="H93">
            <v>0.5468729734127814</v>
          </cell>
          <cell r="I93">
            <v>0.64531010862708205</v>
          </cell>
          <cell r="J93">
            <v>0.7240598167985226</v>
          </cell>
          <cell r="K93">
            <v>0.78705958333567505</v>
          </cell>
          <cell r="L93">
            <v>0.83745939656539703</v>
          </cell>
          <cell r="M93">
            <v>0.87777924714917455</v>
          </cell>
          <cell r="N93">
            <v>0.91003512761619654</v>
          </cell>
          <cell r="O93">
            <v>0.93583983198981413</v>
          </cell>
          <cell r="P93">
            <v>0.9564835954887082</v>
          </cell>
          <cell r="Q93">
            <v>0.97299860628782353</v>
          </cell>
          <cell r="R93">
            <v>0.9862106149271157</v>
          </cell>
          <cell r="S93">
            <v>0.99678022183854953</v>
          </cell>
          <cell r="T93">
            <v>0.99685231466234414</v>
          </cell>
          <cell r="U93">
            <v>0.99687806209941365</v>
          </cell>
          <cell r="V93">
            <v>0.99688683963477831</v>
          </cell>
          <cell r="W93">
            <v>0.99688970187457115</v>
          </cell>
        </row>
        <row r="94">
          <cell r="A94" t="str">
            <v>Water Heating</v>
          </cell>
          <cell r="B94" t="str">
            <v>WHTanks-NR</v>
          </cell>
          <cell r="C94" t="str">
            <v>LO12Med</v>
          </cell>
          <cell r="D94">
            <v>0.10937459468255628</v>
          </cell>
          <cell r="E94">
            <v>0.21874918936511256</v>
          </cell>
          <cell r="F94">
            <v>0.32812378404766884</v>
          </cell>
          <cell r="G94">
            <v>0.43749837873022512</v>
          </cell>
          <cell r="H94">
            <v>0.5468729734127814</v>
          </cell>
          <cell r="I94">
            <v>0.64531010862708205</v>
          </cell>
          <cell r="J94">
            <v>0.7240598167985226</v>
          </cell>
          <cell r="K94">
            <v>0.78705958333567505</v>
          </cell>
          <cell r="L94">
            <v>0.83745939656539703</v>
          </cell>
          <cell r="M94">
            <v>0.87777924714917455</v>
          </cell>
          <cell r="N94">
            <v>0.91003512761619654</v>
          </cell>
          <cell r="O94">
            <v>0.93583983198981413</v>
          </cell>
          <cell r="P94">
            <v>0.9564835954887082</v>
          </cell>
          <cell r="Q94">
            <v>0.97299860628782353</v>
          </cell>
          <cell r="R94">
            <v>0.9862106149271157</v>
          </cell>
          <cell r="S94">
            <v>0.99678022183854953</v>
          </cell>
          <cell r="T94">
            <v>0.99685231466234414</v>
          </cell>
          <cell r="U94">
            <v>0.99687806209941365</v>
          </cell>
          <cell r="V94">
            <v>0.99688683963477831</v>
          </cell>
          <cell r="W94">
            <v>0.99688970187457115</v>
          </cell>
        </row>
        <row r="95">
          <cell r="A95" t="str">
            <v>Water Heating</v>
          </cell>
          <cell r="B95" t="str">
            <v>Appliances - Clothes Washers-NR</v>
          </cell>
          <cell r="C95" t="str">
            <v>Retro20Fast</v>
          </cell>
          <cell r="D95">
            <v>0.22119921692859512</v>
          </cell>
          <cell r="E95">
            <v>0.15504311102289431</v>
          </cell>
          <cell r="F95">
            <v>0.10733128557729499</v>
          </cell>
          <cell r="G95">
            <v>8.3589689255657879E-2</v>
          </cell>
          <cell r="H95">
            <v>7.3237179880126971E-2</v>
          </cell>
          <cell r="I95">
            <v>6.3374636711760357E-2</v>
          </cell>
          <cell r="J95">
            <v>5.4291838367783084E-2</v>
          </cell>
          <cell r="K95">
            <v>4.612639225659896E-2</v>
          </cell>
          <cell r="L95">
            <v>3.8916876277172864E-2</v>
          </cell>
          <cell r="M95">
            <v>3.2639916313151704E-2</v>
          </cell>
          <cell r="N95">
            <v>2.7235706125786907E-2</v>
          </cell>
          <cell r="O95">
            <v>2.1211189258265428E-2</v>
          </cell>
          <cell r="P95">
            <v>1.6519290804212883E-2</v>
          </cell>
          <cell r="Q95">
            <v>1.2865236614105324E-2</v>
          </cell>
          <cell r="R95">
            <v>1.0019456349464106E-2</v>
          </cell>
          <cell r="S95">
            <v>7.8031604509122832E-3</v>
          </cell>
          <cell r="T95">
            <v>6.077107469602494E-3</v>
          </cell>
          <cell r="U95">
            <v>4.7328560561354371E-3</v>
          </cell>
          <cell r="V95">
            <v>3.6859520026825132E-3</v>
          </cell>
          <cell r="W95">
            <v>2.8706223060526725E-3</v>
          </cell>
        </row>
        <row r="96">
          <cell r="A96" t="str">
            <v>Water Heating</v>
          </cell>
          <cell r="B96" t="str">
            <v>Showerheads-Retro</v>
          </cell>
          <cell r="C96" t="str">
            <v>Retro20Fast</v>
          </cell>
          <cell r="D96">
            <v>0.22119921692859512</v>
          </cell>
          <cell r="E96">
            <v>0.15504311102289431</v>
          </cell>
          <cell r="F96">
            <v>0.10733128557729499</v>
          </cell>
          <cell r="G96">
            <v>8.3589689255657879E-2</v>
          </cell>
          <cell r="H96">
            <v>7.3237179880126971E-2</v>
          </cell>
          <cell r="I96">
            <v>6.3374636711760357E-2</v>
          </cell>
          <cell r="J96">
            <v>5.4291838367783084E-2</v>
          </cell>
          <cell r="K96">
            <v>4.612639225659896E-2</v>
          </cell>
          <cell r="L96">
            <v>3.8916876277172864E-2</v>
          </cell>
          <cell r="M96">
            <v>3.2639916313151704E-2</v>
          </cell>
          <cell r="N96">
            <v>2.7235706125786907E-2</v>
          </cell>
          <cell r="O96">
            <v>2.1211189258265428E-2</v>
          </cell>
          <cell r="P96">
            <v>1.6519290804212883E-2</v>
          </cell>
          <cell r="Q96">
            <v>1.2865236614105324E-2</v>
          </cell>
          <cell r="R96">
            <v>1.0019456349464106E-2</v>
          </cell>
          <cell r="S96">
            <v>7.8031604509122832E-3</v>
          </cell>
          <cell r="T96">
            <v>6.077107469602494E-3</v>
          </cell>
          <cell r="U96">
            <v>4.7328560561354371E-3</v>
          </cell>
          <cell r="V96">
            <v>3.6859520026825132E-3</v>
          </cell>
          <cell r="W96">
            <v>2.8706223060526725E-3</v>
          </cell>
        </row>
        <row r="97">
          <cell r="A97" t="str">
            <v>Water Heating</v>
          </cell>
          <cell r="B97" t="str">
            <v>Water Heating - GFHX-New</v>
          </cell>
          <cell r="C97" t="str">
            <v>Retro20Fast</v>
          </cell>
          <cell r="D97">
            <v>0.22119921692859512</v>
          </cell>
          <cell r="E97">
            <v>0.15504311102289431</v>
          </cell>
          <cell r="F97">
            <v>0.10733128557729499</v>
          </cell>
          <cell r="G97">
            <v>8.3589689255657879E-2</v>
          </cell>
          <cell r="H97">
            <v>7.3237179880126971E-2</v>
          </cell>
          <cell r="I97">
            <v>6.3374636711760357E-2</v>
          </cell>
          <cell r="J97">
            <v>5.4291838367783084E-2</v>
          </cell>
          <cell r="K97">
            <v>4.612639225659896E-2</v>
          </cell>
          <cell r="L97">
            <v>3.8916876277172864E-2</v>
          </cell>
          <cell r="M97">
            <v>3.2639916313151704E-2</v>
          </cell>
          <cell r="N97">
            <v>2.7235706125786907E-2</v>
          </cell>
          <cell r="O97">
            <v>2.1211189258265428E-2</v>
          </cell>
          <cell r="P97">
            <v>1.6519290804212883E-2</v>
          </cell>
          <cell r="Q97">
            <v>1.2865236614105324E-2</v>
          </cell>
          <cell r="R97">
            <v>1.0019456349464106E-2</v>
          </cell>
          <cell r="S97">
            <v>7.8031604509122832E-3</v>
          </cell>
          <cell r="T97">
            <v>6.077107469602494E-3</v>
          </cell>
          <cell r="U97">
            <v>4.7328560561354371E-3</v>
          </cell>
          <cell r="V97">
            <v>3.6859520026825132E-3</v>
          </cell>
          <cell r="W97">
            <v>2.8706223060526725E-3</v>
          </cell>
        </row>
        <row r="98">
          <cell r="A98" t="str">
            <v>Water Heating</v>
          </cell>
          <cell r="B98" t="str">
            <v>Demand Control Circulating system DHW-Retro</v>
          </cell>
          <cell r="C98" t="str">
            <v>RetroEven20</v>
          </cell>
          <cell r="D98">
            <v>0.05</v>
          </cell>
          <cell r="E98">
            <v>0.05</v>
          </cell>
          <cell r="F98">
            <v>0.05</v>
          </cell>
          <cell r="G98">
            <v>0.05</v>
          </cell>
          <cell r="H98">
            <v>0.05</v>
          </cell>
          <cell r="I98">
            <v>0.05</v>
          </cell>
          <cell r="J98">
            <v>0.05</v>
          </cell>
          <cell r="K98">
            <v>0.05</v>
          </cell>
          <cell r="L98">
            <v>0.05</v>
          </cell>
          <cell r="M98">
            <v>0.05</v>
          </cell>
          <cell r="N98">
            <v>0.05</v>
          </cell>
          <cell r="O98">
            <v>0.05</v>
          </cell>
          <cell r="P98">
            <v>0.05</v>
          </cell>
          <cell r="Q98">
            <v>0.05</v>
          </cell>
          <cell r="R98">
            <v>0.05</v>
          </cell>
          <cell r="S98">
            <v>0.05</v>
          </cell>
          <cell r="T98">
            <v>0.05</v>
          </cell>
          <cell r="U98">
            <v>0.05</v>
          </cell>
          <cell r="V98">
            <v>0.05</v>
          </cell>
          <cell r="W98">
            <v>0.05</v>
          </cell>
        </row>
        <row r="99">
          <cell r="A99" t="str">
            <v>Water Heating</v>
          </cell>
          <cell r="B99" t="str">
            <v>Central HPWH MF-Retro</v>
          </cell>
          <cell r="C99" t="str">
            <v>Retro20Fast</v>
          </cell>
          <cell r="D99">
            <v>0.22119921692859512</v>
          </cell>
          <cell r="E99">
            <v>0.15504311102289431</v>
          </cell>
          <cell r="F99">
            <v>0.10733128557729499</v>
          </cell>
          <cell r="G99">
            <v>8.3589689255657879E-2</v>
          </cell>
          <cell r="H99">
            <v>7.3237179880126971E-2</v>
          </cell>
          <cell r="I99">
            <v>6.3374636711760357E-2</v>
          </cell>
          <cell r="J99">
            <v>5.4291838367783084E-2</v>
          </cell>
          <cell r="K99">
            <v>4.612639225659896E-2</v>
          </cell>
          <cell r="L99">
            <v>3.8916876277172864E-2</v>
          </cell>
          <cell r="M99">
            <v>3.2639916313151704E-2</v>
          </cell>
          <cell r="N99">
            <v>2.7235706125786907E-2</v>
          </cell>
          <cell r="O99">
            <v>2.1211189258265428E-2</v>
          </cell>
          <cell r="P99">
            <v>1.6519290804212883E-2</v>
          </cell>
          <cell r="Q99">
            <v>1.2865236614105324E-2</v>
          </cell>
          <cell r="R99">
            <v>1.0019456349464106E-2</v>
          </cell>
          <cell r="S99">
            <v>7.8031604509122832E-3</v>
          </cell>
          <cell r="T99">
            <v>6.077107469602494E-3</v>
          </cell>
          <cell r="U99">
            <v>4.7328560561354371E-3</v>
          </cell>
          <cell r="V99">
            <v>3.6859520026825132E-3</v>
          </cell>
          <cell r="W99">
            <v>2.8706223060526725E-3</v>
          </cell>
        </row>
        <row r="100">
          <cell r="A100" t="str">
            <v>Whole Bldg/Meter Level</v>
          </cell>
          <cell r="B100" t="str">
            <v>Ultra Low Energy Building-New</v>
          </cell>
          <cell r="C100" t="str">
            <v>LO1Slow</v>
          </cell>
          <cell r="D100">
            <v>2.5643970768378654E-3</v>
          </cell>
          <cell r="E100">
            <v>7.6904586297764643E-3</v>
          </cell>
          <cell r="F100">
            <v>1.6792013047419844E-2</v>
          </cell>
          <cell r="G100">
            <v>3.15969387774655E-2</v>
          </cell>
          <cell r="H100">
            <v>5.406874819795171E-2</v>
          </cell>
          <cell r="I100">
            <v>8.6253181011834101E-2</v>
          </cell>
          <cell r="J100">
            <v>0.1300328481838382</v>
          </cell>
          <cell r="K100">
            <v>0.18678710893858319</v>
          </cell>
          <cell r="L100">
            <v>0.2569823480072907</v>
          </cell>
          <cell r="M100">
            <v>0.33975920985004748</v>
          </cell>
          <cell r="N100">
            <v>0.43262946935754232</v>
          </cell>
          <cell r="O100">
            <v>0.53142594003645804</v>
          </cell>
          <cell r="P100">
            <v>0.63063487292644704</v>
          </cell>
          <cell r="Q100">
            <v>0.7241560234206913</v>
          </cell>
          <cell r="R100">
            <v>0.80638203131755359</v>
          </cell>
          <cell r="S100">
            <v>0.87331559734491926</v>
          </cell>
          <cell r="T100">
            <v>0.92334516248836807</v>
          </cell>
          <cell r="U100">
            <v>0.95737002770730018</v>
          </cell>
          <cell r="V100">
            <v>0.97821608704807483</v>
          </cell>
          <cell r="W100">
            <v>0.98821608704807484</v>
          </cell>
        </row>
        <row r="101">
          <cell r="B101" t="str">
            <v>Low Power LF Lamps-NR</v>
          </cell>
          <cell r="C101" t="str">
            <v>LO20Fast</v>
          </cell>
          <cell r="D101">
            <v>0.22119921692859512</v>
          </cell>
          <cell r="E101">
            <v>0.37624232795148943</v>
          </cell>
          <cell r="F101">
            <v>0.48357361352878442</v>
          </cell>
          <cell r="G101">
            <v>0.56716330278444227</v>
          </cell>
          <cell r="H101">
            <v>0.64040048266456928</v>
          </cell>
          <cell r="I101">
            <v>0.70377511937632964</v>
          </cell>
          <cell r="J101">
            <v>0.7580669577441127</v>
          </cell>
          <cell r="K101">
            <v>0.80419335000071168</v>
          </cell>
          <cell r="L101">
            <v>0.84311022627788457</v>
          </cell>
          <cell r="M101">
            <v>0.87575014259103623</v>
          </cell>
          <cell r="N101">
            <v>0.90298584871682319</v>
          </cell>
          <cell r="O101">
            <v>0.92419703797508856</v>
          </cell>
          <cell r="P101">
            <v>0.94071632877930145</v>
          </cell>
          <cell r="Q101">
            <v>0.95358156539340677</v>
          </cell>
          <cell r="R101">
            <v>0.96360102174287088</v>
          </cell>
          <cell r="S101">
            <v>0.97140418219378311</v>
          </cell>
          <cell r="T101">
            <v>0.97748128966338554</v>
          </cell>
          <cell r="U101">
            <v>0.98221414571952104</v>
          </cell>
          <cell r="V101">
            <v>0.98590009772220355</v>
          </cell>
          <cell r="W101">
            <v>0.98877072002825628</v>
          </cell>
        </row>
        <row r="102">
          <cell r="D102" t="str">
            <v/>
          </cell>
          <cell r="E102" t="str">
            <v/>
          </cell>
          <cell r="F102" t="str">
            <v/>
          </cell>
          <cell r="G102" t="str">
            <v/>
          </cell>
          <cell r="H102" t="str">
            <v/>
          </cell>
          <cell r="I102" t="str">
            <v/>
          </cell>
          <cell r="J102" t="str">
            <v/>
          </cell>
          <cell r="K102" t="str">
            <v/>
          </cell>
          <cell r="L102" t="str">
            <v/>
          </cell>
          <cell r="M102" t="str">
            <v/>
          </cell>
          <cell r="N102" t="str">
            <v/>
          </cell>
          <cell r="O102" t="str">
            <v/>
          </cell>
          <cell r="P102" t="str">
            <v/>
          </cell>
          <cell r="Q102" t="str">
            <v/>
          </cell>
          <cell r="R102" t="str">
            <v/>
          </cell>
          <cell r="S102" t="str">
            <v/>
          </cell>
          <cell r="T102" t="str">
            <v/>
          </cell>
          <cell r="U102" t="str">
            <v/>
          </cell>
          <cell r="V102" t="str">
            <v/>
          </cell>
          <cell r="W102" t="str">
            <v/>
          </cell>
        </row>
        <row r="103">
          <cell r="D103" t="str">
            <v/>
          </cell>
          <cell r="E103" t="str">
            <v/>
          </cell>
          <cell r="F103" t="str">
            <v/>
          </cell>
          <cell r="G103" t="str">
            <v/>
          </cell>
          <cell r="H103" t="str">
            <v/>
          </cell>
          <cell r="I103" t="str">
            <v/>
          </cell>
          <cell r="J103" t="str">
            <v/>
          </cell>
          <cell r="K103" t="str">
            <v/>
          </cell>
          <cell r="L103" t="str">
            <v/>
          </cell>
          <cell r="M103" t="str">
            <v/>
          </cell>
          <cell r="N103" t="str">
            <v/>
          </cell>
          <cell r="O103" t="str">
            <v/>
          </cell>
          <cell r="P103" t="str">
            <v/>
          </cell>
          <cell r="Q103" t="str">
            <v/>
          </cell>
          <cell r="R103" t="str">
            <v/>
          </cell>
          <cell r="S103" t="str">
            <v/>
          </cell>
          <cell r="T103" t="str">
            <v/>
          </cell>
          <cell r="U103" t="str">
            <v/>
          </cell>
          <cell r="V103" t="str">
            <v/>
          </cell>
          <cell r="W103" t="str">
            <v/>
          </cell>
        </row>
        <row r="104">
          <cell r="D104" t="str">
            <v/>
          </cell>
          <cell r="E104" t="str">
            <v/>
          </cell>
          <cell r="F104" t="str">
            <v/>
          </cell>
          <cell r="G104" t="str">
            <v/>
          </cell>
          <cell r="H104" t="str">
            <v/>
          </cell>
          <cell r="I104" t="str">
            <v/>
          </cell>
          <cell r="J104" t="str">
            <v/>
          </cell>
          <cell r="K104" t="str">
            <v/>
          </cell>
          <cell r="L104" t="str">
            <v/>
          </cell>
          <cell r="M104" t="str">
            <v/>
          </cell>
          <cell r="N104" t="str">
            <v/>
          </cell>
          <cell r="O104" t="str">
            <v/>
          </cell>
          <cell r="P104" t="str">
            <v/>
          </cell>
          <cell r="Q104" t="str">
            <v/>
          </cell>
          <cell r="R104" t="str">
            <v/>
          </cell>
          <cell r="S104" t="str">
            <v/>
          </cell>
          <cell r="T104" t="str">
            <v/>
          </cell>
          <cell r="U104" t="str">
            <v/>
          </cell>
          <cell r="V104" t="str">
            <v/>
          </cell>
          <cell r="W104" t="str">
            <v/>
          </cell>
        </row>
        <row r="105">
          <cell r="D105" t="str">
            <v/>
          </cell>
          <cell r="E105" t="str">
            <v/>
          </cell>
          <cell r="F105" t="str">
            <v/>
          </cell>
          <cell r="G105" t="str">
            <v/>
          </cell>
          <cell r="H105" t="str">
            <v/>
          </cell>
          <cell r="I105" t="str">
            <v/>
          </cell>
          <cell r="J105" t="str">
            <v/>
          </cell>
          <cell r="K105" t="str">
            <v/>
          </cell>
          <cell r="L105" t="str">
            <v/>
          </cell>
          <cell r="M105" t="str">
            <v/>
          </cell>
          <cell r="N105" t="str">
            <v/>
          </cell>
          <cell r="O105" t="str">
            <v/>
          </cell>
          <cell r="P105" t="str">
            <v/>
          </cell>
          <cell r="Q105" t="str">
            <v/>
          </cell>
          <cell r="R105" t="str">
            <v/>
          </cell>
          <cell r="S105" t="str">
            <v/>
          </cell>
          <cell r="T105" t="str">
            <v/>
          </cell>
          <cell r="U105" t="str">
            <v/>
          </cell>
          <cell r="V105" t="str">
            <v/>
          </cell>
          <cell r="W105" t="str">
            <v/>
          </cell>
        </row>
        <row r="106">
          <cell r="D106" t="str">
            <v/>
          </cell>
          <cell r="E106" t="str">
            <v/>
          </cell>
          <cell r="F106" t="str">
            <v/>
          </cell>
          <cell r="G106" t="str">
            <v/>
          </cell>
          <cell r="H106" t="str">
            <v/>
          </cell>
          <cell r="I106" t="str">
            <v/>
          </cell>
          <cell r="J106" t="str">
            <v/>
          </cell>
          <cell r="K106" t="str">
            <v/>
          </cell>
          <cell r="L106" t="str">
            <v/>
          </cell>
          <cell r="M106" t="str">
            <v/>
          </cell>
          <cell r="N106" t="str">
            <v/>
          </cell>
          <cell r="O106" t="str">
            <v/>
          </cell>
          <cell r="P106" t="str">
            <v/>
          </cell>
          <cell r="Q106" t="str">
            <v/>
          </cell>
          <cell r="R106" t="str">
            <v/>
          </cell>
          <cell r="S106" t="str">
            <v/>
          </cell>
          <cell r="T106" t="str">
            <v/>
          </cell>
          <cell r="U106" t="str">
            <v/>
          </cell>
          <cell r="V106" t="str">
            <v/>
          </cell>
          <cell r="W106" t="str">
            <v/>
          </cell>
        </row>
        <row r="107">
          <cell r="D107" t="str">
            <v/>
          </cell>
          <cell r="E107" t="str">
            <v/>
          </cell>
          <cell r="F107" t="str">
            <v/>
          </cell>
          <cell r="G107" t="str">
            <v/>
          </cell>
          <cell r="H107" t="str">
            <v/>
          </cell>
          <cell r="I107" t="str">
            <v/>
          </cell>
          <cell r="J107" t="str">
            <v/>
          </cell>
          <cell r="K107" t="str">
            <v/>
          </cell>
          <cell r="L107" t="str">
            <v/>
          </cell>
          <cell r="M107" t="str">
            <v/>
          </cell>
          <cell r="N107" t="str">
            <v/>
          </cell>
          <cell r="O107" t="str">
            <v/>
          </cell>
          <cell r="P107" t="str">
            <v/>
          </cell>
          <cell r="Q107" t="str">
            <v/>
          </cell>
          <cell r="R107" t="str">
            <v/>
          </cell>
          <cell r="S107" t="str">
            <v/>
          </cell>
          <cell r="T107" t="str">
            <v/>
          </cell>
          <cell r="U107" t="str">
            <v/>
          </cell>
          <cell r="V107" t="str">
            <v/>
          </cell>
          <cell r="W107" t="str">
            <v/>
          </cell>
        </row>
        <row r="108">
          <cell r="D108" t="str">
            <v/>
          </cell>
          <cell r="E108" t="str">
            <v/>
          </cell>
          <cell r="F108" t="str">
            <v/>
          </cell>
          <cell r="G108" t="str">
            <v/>
          </cell>
          <cell r="H108" t="str">
            <v/>
          </cell>
          <cell r="I108" t="str">
            <v/>
          </cell>
          <cell r="J108" t="str">
            <v/>
          </cell>
          <cell r="K108" t="str">
            <v/>
          </cell>
          <cell r="L108" t="str">
            <v/>
          </cell>
          <cell r="M108" t="str">
            <v/>
          </cell>
          <cell r="N108" t="str">
            <v/>
          </cell>
          <cell r="O108" t="str">
            <v/>
          </cell>
          <cell r="P108" t="str">
            <v/>
          </cell>
          <cell r="Q108" t="str">
            <v/>
          </cell>
          <cell r="R108" t="str">
            <v/>
          </cell>
          <cell r="S108" t="str">
            <v/>
          </cell>
          <cell r="T108" t="str">
            <v/>
          </cell>
          <cell r="U108" t="str">
            <v/>
          </cell>
          <cell r="V108" t="str">
            <v/>
          </cell>
          <cell r="W108" t="str">
            <v/>
          </cell>
        </row>
        <row r="109">
          <cell r="D109" t="str">
            <v/>
          </cell>
          <cell r="E109" t="str">
            <v/>
          </cell>
          <cell r="F109" t="str">
            <v/>
          </cell>
          <cell r="G109" t="str">
            <v/>
          </cell>
          <cell r="H109" t="str">
            <v/>
          </cell>
          <cell r="I109" t="str">
            <v/>
          </cell>
          <cell r="J109" t="str">
            <v/>
          </cell>
          <cell r="K109" t="str">
            <v/>
          </cell>
          <cell r="L109" t="str">
            <v/>
          </cell>
          <cell r="M109" t="str">
            <v/>
          </cell>
          <cell r="N109" t="str">
            <v/>
          </cell>
          <cell r="O109" t="str">
            <v/>
          </cell>
          <cell r="P109" t="str">
            <v/>
          </cell>
          <cell r="Q109" t="str">
            <v/>
          </cell>
          <cell r="R109" t="str">
            <v/>
          </cell>
          <cell r="S109" t="str">
            <v/>
          </cell>
          <cell r="T109" t="str">
            <v/>
          </cell>
          <cell r="U109" t="str">
            <v/>
          </cell>
          <cell r="V109" t="str">
            <v/>
          </cell>
          <cell r="W109" t="str">
            <v/>
          </cell>
        </row>
        <row r="110">
          <cell r="D110" t="str">
            <v/>
          </cell>
          <cell r="E110" t="str">
            <v/>
          </cell>
          <cell r="F110" t="str">
            <v/>
          </cell>
          <cell r="G110" t="str">
            <v/>
          </cell>
          <cell r="H110" t="str">
            <v/>
          </cell>
          <cell r="I110" t="str">
            <v/>
          </cell>
          <cell r="J110" t="str">
            <v/>
          </cell>
          <cell r="K110" t="str">
            <v/>
          </cell>
          <cell r="L110" t="str">
            <v/>
          </cell>
          <cell r="M110" t="str">
            <v/>
          </cell>
          <cell r="N110" t="str">
            <v/>
          </cell>
          <cell r="O110" t="str">
            <v/>
          </cell>
          <cell r="P110" t="str">
            <v/>
          </cell>
          <cell r="Q110" t="str">
            <v/>
          </cell>
          <cell r="R110" t="str">
            <v/>
          </cell>
          <cell r="S110" t="str">
            <v/>
          </cell>
          <cell r="T110" t="str">
            <v/>
          </cell>
          <cell r="U110" t="str">
            <v/>
          </cell>
          <cell r="V110" t="str">
            <v/>
          </cell>
          <cell r="W110" t="str">
            <v/>
          </cell>
        </row>
        <row r="111">
          <cell r="D111" t="str">
            <v/>
          </cell>
          <cell r="E111" t="str">
            <v/>
          </cell>
          <cell r="F111" t="str">
            <v/>
          </cell>
          <cell r="G111" t="str">
            <v/>
          </cell>
          <cell r="H111" t="str">
            <v/>
          </cell>
          <cell r="I111" t="str">
            <v/>
          </cell>
          <cell r="J111" t="str">
            <v/>
          </cell>
          <cell r="K111" t="str">
            <v/>
          </cell>
          <cell r="L111" t="str">
            <v/>
          </cell>
          <cell r="M111" t="str">
            <v/>
          </cell>
          <cell r="N111" t="str">
            <v/>
          </cell>
          <cell r="O111" t="str">
            <v/>
          </cell>
          <cell r="P111" t="str">
            <v/>
          </cell>
          <cell r="Q111" t="str">
            <v/>
          </cell>
          <cell r="R111" t="str">
            <v/>
          </cell>
          <cell r="S111" t="str">
            <v/>
          </cell>
          <cell r="T111" t="str">
            <v/>
          </cell>
          <cell r="U111" t="str">
            <v/>
          </cell>
          <cell r="V111" t="str">
            <v/>
          </cell>
          <cell r="W111" t="str">
            <v/>
          </cell>
        </row>
        <row r="112">
          <cell r="D112" t="str">
            <v/>
          </cell>
          <cell r="E112" t="str">
            <v/>
          </cell>
          <cell r="F112" t="str">
            <v/>
          </cell>
          <cell r="G112" t="str">
            <v/>
          </cell>
          <cell r="H112" t="str">
            <v/>
          </cell>
          <cell r="I112" t="str">
            <v/>
          </cell>
          <cell r="J112" t="str">
            <v/>
          </cell>
          <cell r="K112" t="str">
            <v/>
          </cell>
          <cell r="L112" t="str">
            <v/>
          </cell>
          <cell r="M112" t="str">
            <v/>
          </cell>
          <cell r="N112" t="str">
            <v/>
          </cell>
          <cell r="O112" t="str">
            <v/>
          </cell>
          <cell r="P112" t="str">
            <v/>
          </cell>
          <cell r="Q112" t="str">
            <v/>
          </cell>
          <cell r="R112" t="str">
            <v/>
          </cell>
          <cell r="S112" t="str">
            <v/>
          </cell>
          <cell r="T112" t="str">
            <v/>
          </cell>
          <cell r="U112" t="str">
            <v/>
          </cell>
          <cell r="V112" t="str">
            <v/>
          </cell>
          <cell r="W112" t="str">
            <v/>
          </cell>
        </row>
        <row r="113">
          <cell r="D113" t="str">
            <v/>
          </cell>
          <cell r="E113" t="str">
            <v/>
          </cell>
          <cell r="F113" t="str">
            <v/>
          </cell>
          <cell r="G113" t="str">
            <v/>
          </cell>
          <cell r="H113" t="str">
            <v/>
          </cell>
          <cell r="I113" t="str">
            <v/>
          </cell>
          <cell r="J113" t="str">
            <v/>
          </cell>
          <cell r="K113" t="str">
            <v/>
          </cell>
          <cell r="L113" t="str">
            <v/>
          </cell>
          <cell r="M113" t="str">
            <v/>
          </cell>
          <cell r="N113" t="str">
            <v/>
          </cell>
          <cell r="O113" t="str">
            <v/>
          </cell>
          <cell r="P113" t="str">
            <v/>
          </cell>
          <cell r="Q113" t="str">
            <v/>
          </cell>
          <cell r="R113" t="str">
            <v/>
          </cell>
          <cell r="S113" t="str">
            <v/>
          </cell>
          <cell r="T113" t="str">
            <v/>
          </cell>
          <cell r="U113" t="str">
            <v/>
          </cell>
          <cell r="V113" t="str">
            <v/>
          </cell>
          <cell r="W113" t="str">
            <v/>
          </cell>
        </row>
        <row r="114">
          <cell r="D114" t="str">
            <v/>
          </cell>
          <cell r="E114" t="str">
            <v/>
          </cell>
          <cell r="F114" t="str">
            <v/>
          </cell>
          <cell r="G114" t="str">
            <v/>
          </cell>
          <cell r="H114" t="str">
            <v/>
          </cell>
          <cell r="I114" t="str">
            <v/>
          </cell>
          <cell r="J114" t="str">
            <v/>
          </cell>
          <cell r="K114" t="str">
            <v/>
          </cell>
          <cell r="L114" t="str">
            <v/>
          </cell>
          <cell r="M114" t="str">
            <v/>
          </cell>
          <cell r="N114" t="str">
            <v/>
          </cell>
          <cell r="O114" t="str">
            <v/>
          </cell>
          <cell r="P114" t="str">
            <v/>
          </cell>
          <cell r="Q114" t="str">
            <v/>
          </cell>
          <cell r="R114" t="str">
            <v/>
          </cell>
          <cell r="S114" t="str">
            <v/>
          </cell>
          <cell r="T114" t="str">
            <v/>
          </cell>
          <cell r="U114" t="str">
            <v/>
          </cell>
          <cell r="V114" t="str">
            <v/>
          </cell>
          <cell r="W114" t="str">
            <v/>
          </cell>
        </row>
        <row r="115">
          <cell r="D115" t="str">
            <v/>
          </cell>
          <cell r="E115" t="str">
            <v/>
          </cell>
          <cell r="F115" t="str">
            <v/>
          </cell>
          <cell r="G115" t="str">
            <v/>
          </cell>
          <cell r="H115" t="str">
            <v/>
          </cell>
          <cell r="I115" t="str">
            <v/>
          </cell>
          <cell r="J115" t="str">
            <v/>
          </cell>
          <cell r="K115" t="str">
            <v/>
          </cell>
          <cell r="L115" t="str">
            <v/>
          </cell>
          <cell r="M115" t="str">
            <v/>
          </cell>
          <cell r="N115" t="str">
            <v/>
          </cell>
          <cell r="O115" t="str">
            <v/>
          </cell>
          <cell r="P115" t="str">
            <v/>
          </cell>
          <cell r="Q115" t="str">
            <v/>
          </cell>
          <cell r="R115" t="str">
            <v/>
          </cell>
          <cell r="S115" t="str">
            <v/>
          </cell>
          <cell r="T115" t="str">
            <v/>
          </cell>
          <cell r="U115" t="str">
            <v/>
          </cell>
          <cell r="V115" t="str">
            <v/>
          </cell>
          <cell r="W115" t="str">
            <v/>
          </cell>
        </row>
        <row r="116">
          <cell r="D116" t="str">
            <v/>
          </cell>
          <cell r="E116" t="str">
            <v/>
          </cell>
          <cell r="F116" t="str">
            <v/>
          </cell>
          <cell r="G116" t="str">
            <v/>
          </cell>
          <cell r="H116" t="str">
            <v/>
          </cell>
          <cell r="I116" t="str">
            <v/>
          </cell>
          <cell r="J116" t="str">
            <v/>
          </cell>
          <cell r="K116" t="str">
            <v/>
          </cell>
          <cell r="L116" t="str">
            <v/>
          </cell>
          <cell r="M116" t="str">
            <v/>
          </cell>
          <cell r="N116" t="str">
            <v/>
          </cell>
          <cell r="O116" t="str">
            <v/>
          </cell>
          <cell r="P116" t="str">
            <v/>
          </cell>
          <cell r="Q116" t="str">
            <v/>
          </cell>
          <cell r="R116" t="str">
            <v/>
          </cell>
          <cell r="S116" t="str">
            <v/>
          </cell>
          <cell r="T116" t="str">
            <v/>
          </cell>
          <cell r="U116" t="str">
            <v/>
          </cell>
          <cell r="V116" t="str">
            <v/>
          </cell>
          <cell r="W116" t="str">
            <v/>
          </cell>
        </row>
      </sheetData>
      <sheetData sheetId="8">
        <row r="11">
          <cell r="B11" t="str">
            <v>Measure Index Name</v>
          </cell>
          <cell r="C11" t="str">
            <v>Large Off</v>
          </cell>
          <cell r="D11" t="str">
            <v>Medium Off</v>
          </cell>
          <cell r="E11" t="str">
            <v>Small Off</v>
          </cell>
          <cell r="F11" t="str">
            <v>Xlarge Ret</v>
          </cell>
          <cell r="G11" t="str">
            <v>Large Ret</v>
          </cell>
          <cell r="H11" t="str">
            <v>Medium Ret</v>
          </cell>
          <cell r="I11" t="str">
            <v>Small Ret</v>
          </cell>
          <cell r="J11" t="str">
            <v>School K-12</v>
          </cell>
          <cell r="K11" t="str">
            <v>University</v>
          </cell>
          <cell r="L11" t="str">
            <v>Warehouse</v>
          </cell>
          <cell r="M11" t="str">
            <v>Supermarket</v>
          </cell>
          <cell r="N11" t="str">
            <v>MiniMart</v>
          </cell>
          <cell r="O11" t="str">
            <v>Restaurant</v>
          </cell>
          <cell r="P11" t="str">
            <v>Lodging</v>
          </cell>
          <cell r="Q11" t="str">
            <v>Hospital</v>
          </cell>
          <cell r="R11" t="str">
            <v>Residential Care</v>
          </cell>
          <cell r="S11" t="str">
            <v>Assembly</v>
          </cell>
          <cell r="T11" t="str">
            <v>Other</v>
          </cell>
          <cell r="U11" t="str">
            <v>Non-Building Stock</v>
          </cell>
        </row>
        <row r="12">
          <cell r="B12" t="str">
            <v>Compressed Air-Retro</v>
          </cell>
        </row>
        <row r="13">
          <cell r="B13" t="str">
            <v>Compressed Air-NR</v>
          </cell>
        </row>
        <row r="14">
          <cell r="B14" t="str">
            <v>Network PC Power Management-Retro</v>
          </cell>
        </row>
        <row r="15">
          <cell r="B15" t="str">
            <v>Laptop-NR</v>
          </cell>
        </row>
        <row r="16">
          <cell r="B16" t="str">
            <v>Smart Plug Power Strips-Retro</v>
          </cell>
        </row>
        <row r="17">
          <cell r="B17" t="str">
            <v>Data Centers-NR</v>
          </cell>
        </row>
        <row r="18">
          <cell r="B18" t="str">
            <v>Monitor-NR</v>
          </cell>
        </row>
        <row r="19">
          <cell r="B19" t="str">
            <v>Desktop-NR</v>
          </cell>
        </row>
        <row r="20">
          <cell r="B20" t="str">
            <v>Pre-Rinse Spray Valve-Retro</v>
          </cell>
        </row>
        <row r="21">
          <cell r="B21" t="str">
            <v>Cooking Equipment-NR</v>
          </cell>
        </row>
        <row r="22">
          <cell r="B22" t="str">
            <v>Premium HVAC Equipment-New</v>
          </cell>
        </row>
        <row r="23">
          <cell r="B23" t="str">
            <v>Premium HVAC Equipment-NR</v>
          </cell>
        </row>
        <row r="24">
          <cell r="B24" t="str">
            <v>Glass-New</v>
          </cell>
        </row>
        <row r="25">
          <cell r="B25" t="str">
            <v>Glass-NR</v>
          </cell>
        </row>
        <row r="26">
          <cell r="B26" t="str">
            <v>Glass-Retro</v>
          </cell>
        </row>
        <row r="27">
          <cell r="B27" t="str">
            <v>Advanced Rooftop Controller-New</v>
          </cell>
        </row>
        <row r="28">
          <cell r="B28" t="str">
            <v>Advanced Rooftop Controller-NR</v>
          </cell>
        </row>
        <row r="29">
          <cell r="B29" t="str">
            <v>Advanced Rooftop Controller-Retro</v>
          </cell>
        </row>
        <row r="30">
          <cell r="B30" t="str">
            <v>Variable Speed Chiller-New</v>
          </cell>
        </row>
        <row r="31">
          <cell r="B31" t="str">
            <v>Variable Speed Chiller-NR</v>
          </cell>
        </row>
        <row r="32">
          <cell r="B32" t="str">
            <v>Commercial EM-New</v>
          </cell>
        </row>
        <row r="33">
          <cell r="B33" t="str">
            <v>Commercial EM-NR</v>
          </cell>
        </row>
        <row r="34">
          <cell r="B34" t="str">
            <v>Commercial EM-Retro</v>
          </cell>
        </row>
        <row r="35">
          <cell r="B35" t="str">
            <v>Evaporative Assist Cooling-New</v>
          </cell>
        </row>
        <row r="36">
          <cell r="B36" t="str">
            <v>Evaporative Assist Cooling-NR</v>
          </cell>
        </row>
        <row r="37">
          <cell r="B37" t="str">
            <v>Economizer-Retro</v>
          </cell>
        </row>
        <row r="38">
          <cell r="B38" t="str">
            <v>Demand Control Ventilation-New</v>
          </cell>
        </row>
        <row r="39">
          <cell r="B39" t="str">
            <v>Demand Control Ventilation-NR</v>
          </cell>
        </row>
        <row r="40">
          <cell r="B40" t="str">
            <v>Demand Control Ventilation-Retro</v>
          </cell>
        </row>
        <row r="41">
          <cell r="B41" t="str">
            <v>Premium Fume Hood-NR</v>
          </cell>
        </row>
        <row r="42">
          <cell r="B42" t="str">
            <v>DCV Restaurant Hood-Retro</v>
          </cell>
        </row>
        <row r="43">
          <cell r="B43" t="str">
            <v>DCV Parking Garage-Retro</v>
          </cell>
        </row>
        <row r="44">
          <cell r="B44" t="str">
            <v>Weatherization - School-Retro</v>
          </cell>
        </row>
        <row r="45">
          <cell r="B45" t="str">
            <v>Energy Recovery Ventilator-NR</v>
          </cell>
        </row>
        <row r="46">
          <cell r="B46" t="str">
            <v>AC Heat Recovery for Water Heating-NR</v>
          </cell>
        </row>
        <row r="47">
          <cell r="B47" t="str">
            <v>Room Occupancy Sensors in Lodging-Retro</v>
          </cell>
        </row>
        <row r="48">
          <cell r="B48" t="str">
            <v>Chiller - chilled water retrofit-Retro</v>
          </cell>
        </row>
        <row r="49">
          <cell r="B49" t="str">
            <v>Chiller - equip retrofits-Retro</v>
          </cell>
        </row>
        <row r="50">
          <cell r="B50" t="str">
            <v>Pool Blankets-Retro</v>
          </cell>
        </row>
        <row r="51">
          <cell r="B51" t="str">
            <v>Web-Enabled Thermostats-Retro</v>
          </cell>
        </row>
        <row r="52">
          <cell r="B52" t="str">
            <v>Garage CO2 ventilation-Retro</v>
          </cell>
        </row>
        <row r="53">
          <cell r="B53" t="str">
            <v>Circ Pump ECM and drive-Retro</v>
          </cell>
        </row>
        <row r="54">
          <cell r="B54" t="str">
            <v>VRF-New</v>
          </cell>
          <cell r="C54">
            <v>0.05</v>
          </cell>
          <cell r="D54">
            <v>0.8</v>
          </cell>
          <cell r="E54">
            <v>0.8</v>
          </cell>
          <cell r="F54">
            <v>0.25</v>
          </cell>
          <cell r="G54">
            <v>0.25</v>
          </cell>
          <cell r="H54">
            <v>0.25</v>
          </cell>
          <cell r="I54">
            <v>0.25</v>
          </cell>
          <cell r="J54">
            <v>0.8</v>
          </cell>
          <cell r="K54">
            <v>0.8</v>
          </cell>
          <cell r="L54">
            <v>0.01</v>
          </cell>
          <cell r="M54">
            <v>0.05</v>
          </cell>
          <cell r="N54">
            <v>0.05</v>
          </cell>
          <cell r="O54">
            <v>0.25</v>
          </cell>
          <cell r="P54">
            <v>0.7</v>
          </cell>
          <cell r="Q54">
            <v>0.05</v>
          </cell>
          <cell r="R54">
            <v>0.8</v>
          </cell>
          <cell r="S54">
            <v>0.25</v>
          </cell>
          <cell r="T54">
            <v>0.8</v>
          </cell>
        </row>
        <row r="55">
          <cell r="B55" t="str">
            <v>VRF-Retro</v>
          </cell>
          <cell r="C55">
            <v>4.9500000000000004E-3</v>
          </cell>
          <cell r="D55">
            <v>6.93E-2</v>
          </cell>
          <cell r="E55">
            <v>6.93E-2</v>
          </cell>
          <cell r="F55">
            <v>2.4750000000000001E-2</v>
          </cell>
          <cell r="G55">
            <v>2.4750000000000001E-2</v>
          </cell>
          <cell r="H55">
            <v>2.4750000000000001E-2</v>
          </cell>
          <cell r="I55">
            <v>2.4750000000000001E-2</v>
          </cell>
          <cell r="J55">
            <v>6.93E-2</v>
          </cell>
          <cell r="K55">
            <v>6.93E-2</v>
          </cell>
          <cell r="L55">
            <v>9.8999999999999999E-4</v>
          </cell>
          <cell r="M55">
            <v>4.9500000000000004E-3</v>
          </cell>
          <cell r="N55">
            <v>4.9500000000000004E-3</v>
          </cell>
          <cell r="O55">
            <v>2.4750000000000001E-2</v>
          </cell>
          <cell r="P55">
            <v>6.93E-2</v>
          </cell>
          <cell r="Q55">
            <v>4.9500000000000004E-3</v>
          </cell>
          <cell r="R55">
            <v>6.93E-2</v>
          </cell>
          <cell r="S55">
            <v>2.4750000000000001E-2</v>
          </cell>
          <cell r="T55">
            <v>6.93E-2</v>
          </cell>
        </row>
        <row r="56">
          <cell r="B56" t="str">
            <v>Evaporator Roof Top HVAC-Retro</v>
          </cell>
        </row>
        <row r="57">
          <cell r="B57" t="str">
            <v>Secondary Glazing Systems-Retro</v>
          </cell>
        </row>
        <row r="58">
          <cell r="B58" t="str">
            <v>LPD Package-New</v>
          </cell>
          <cell r="V58" t="str">
            <v>Feas in Lighting Workbook due to multiple measures</v>
          </cell>
        </row>
        <row r="59">
          <cell r="B59" t="str">
            <v>LPD Package-NR</v>
          </cell>
          <cell r="V59" t="str">
            <v>Feas in Lighting Workbook due to multiple measures</v>
          </cell>
        </row>
        <row r="60">
          <cell r="B60" t="str">
            <v>LPD Package-Retro</v>
          </cell>
          <cell r="V60" t="str">
            <v>Feas in Lighting Workbook due to multiple measures</v>
          </cell>
        </row>
        <row r="61">
          <cell r="B61" t="str">
            <v>Top Daylighting-New</v>
          </cell>
        </row>
        <row r="62">
          <cell r="B62" t="str">
            <v>Perimeter Daylighting Controls Advanced-New</v>
          </cell>
        </row>
        <row r="63">
          <cell r="B63" t="str">
            <v>Perimeter Daylighting Controls Advanced-NR</v>
          </cell>
        </row>
        <row r="64">
          <cell r="B64" t="str">
            <v>Lighting Controls Interior-New</v>
          </cell>
        </row>
        <row r="65">
          <cell r="B65" t="str">
            <v>Lighting Controls Interior-NR</v>
          </cell>
        </row>
        <row r="66">
          <cell r="B66" t="str">
            <v>Exterior Building Lighting-New</v>
          </cell>
        </row>
        <row r="67">
          <cell r="B67" t="str">
            <v>Exterior Building Lighting-NR</v>
          </cell>
        </row>
        <row r="68">
          <cell r="B68" t="str">
            <v>Street and Roadway Lighting-New</v>
          </cell>
        </row>
        <row r="69">
          <cell r="B69" t="str">
            <v>Street and Roadway Lighting-NR</v>
          </cell>
        </row>
        <row r="70">
          <cell r="B70" t="str">
            <v>Parking Lighting-New</v>
          </cell>
        </row>
        <row r="71">
          <cell r="B71" t="str">
            <v>Parking Lighting-NR</v>
          </cell>
        </row>
        <row r="72">
          <cell r="B72" t="str">
            <v>Bi-Level Stairwell Lighting-NR</v>
          </cell>
        </row>
        <row r="73">
          <cell r="B73" t="str">
            <v>ECM-VAV-New</v>
          </cell>
        </row>
        <row r="74">
          <cell r="B74" t="str">
            <v>ECM-VAV-NR</v>
          </cell>
        </row>
        <row r="75">
          <cell r="B75" t="str">
            <v>Pool pumps-Retro</v>
          </cell>
        </row>
        <row r="76">
          <cell r="B76" t="str">
            <v>MotorsRewind-New</v>
          </cell>
        </row>
        <row r="77">
          <cell r="B77" t="str">
            <v>MotorsRewind-NR</v>
          </cell>
        </row>
        <row r="78">
          <cell r="B78" t="str">
            <v>Municipal Sewage Treatment-Retro</v>
          </cell>
        </row>
        <row r="79">
          <cell r="B79" t="str">
            <v>Municipal Water Supply-Retro</v>
          </cell>
        </row>
        <row r="80">
          <cell r="B80" t="str">
            <v>Engine Generator Block Heaters-Retro</v>
          </cell>
        </row>
        <row r="81">
          <cell r="B81" t="str">
            <v>Grocery Refrigeration Bundle-Retro</v>
          </cell>
        </row>
        <row r="82">
          <cell r="B82" t="str">
            <v>Packaged Refrigeration Equipment-New</v>
          </cell>
        </row>
        <row r="83">
          <cell r="B83" t="str">
            <v>Appliances - Freezers-NR</v>
          </cell>
        </row>
        <row r="84">
          <cell r="B84" t="str">
            <v>Appliances - Refrigerators-NR</v>
          </cell>
        </row>
        <row r="85">
          <cell r="B85" t="str">
            <v>Water Cooler Controls-NR</v>
          </cell>
        </row>
        <row r="86">
          <cell r="B86" t="str">
            <v>WHTanks-New</v>
          </cell>
        </row>
        <row r="87">
          <cell r="B87" t="str">
            <v>WHTanks-NR</v>
          </cell>
        </row>
        <row r="88">
          <cell r="B88" t="str">
            <v>Appliances - Clothes Washers-NR</v>
          </cell>
        </row>
        <row r="89">
          <cell r="B89" t="str">
            <v>Showerheads-Retro</v>
          </cell>
        </row>
        <row r="90">
          <cell r="B90" t="str">
            <v>Water Heating - GFHX-New</v>
          </cell>
        </row>
        <row r="91">
          <cell r="B91" t="str">
            <v>Demand Control Circulating system DHW-Retro</v>
          </cell>
        </row>
        <row r="92">
          <cell r="B92" t="str">
            <v>Central HPWH MF-Retro</v>
          </cell>
        </row>
        <row r="93">
          <cell r="B93" t="str">
            <v>Ultra Low Energy Building-New</v>
          </cell>
          <cell r="C93">
            <v>0.95</v>
          </cell>
          <cell r="D93">
            <v>0.19999999999999996</v>
          </cell>
          <cell r="E93">
            <v>0.19999999999999996</v>
          </cell>
          <cell r="F93">
            <v>0.75</v>
          </cell>
          <cell r="G93">
            <v>0.75</v>
          </cell>
          <cell r="H93">
            <v>0.75</v>
          </cell>
          <cell r="I93">
            <v>0.75</v>
          </cell>
          <cell r="J93">
            <v>0.19999999999999996</v>
          </cell>
          <cell r="K93">
            <v>0.19999999999999996</v>
          </cell>
          <cell r="L93">
            <v>0.99</v>
          </cell>
          <cell r="M93">
            <v>0.95</v>
          </cell>
          <cell r="N93">
            <v>0.95</v>
          </cell>
          <cell r="O93">
            <v>0.75</v>
          </cell>
          <cell r="P93">
            <v>0.30000000000000004</v>
          </cell>
          <cell r="Q93">
            <v>0.95</v>
          </cell>
          <cell r="R93">
            <v>0.19999999999999996</v>
          </cell>
          <cell r="S93">
            <v>0.75</v>
          </cell>
          <cell r="T93">
            <v>0.19999999999999996</v>
          </cell>
        </row>
        <row r="94">
          <cell r="B94" t="str">
            <v>Low Power LF Lamps-NR</v>
          </cell>
        </row>
      </sheetData>
      <sheetData sheetId="9">
        <row r="11">
          <cell r="B11" t="str">
            <v>LO12Med</v>
          </cell>
          <cell r="C11">
            <v>0.10937459468255628</v>
          </cell>
          <cell r="D11">
            <v>0.21874918936511256</v>
          </cell>
          <cell r="E11">
            <v>0.32812378404766884</v>
          </cell>
          <cell r="F11">
            <v>0.43749837873022512</v>
          </cell>
          <cell r="G11">
            <v>0.5468729734127814</v>
          </cell>
          <cell r="H11">
            <v>0.64531010862708205</v>
          </cell>
          <cell r="I11">
            <v>0.7240598167985226</v>
          </cell>
          <cell r="J11">
            <v>0.78705958333567505</v>
          </cell>
          <cell r="K11">
            <v>0.83745939656539703</v>
          </cell>
          <cell r="L11">
            <v>0.87777924714917455</v>
          </cell>
          <cell r="M11">
            <v>0.91003512761619654</v>
          </cell>
          <cell r="N11">
            <v>0.93583983198981413</v>
          </cell>
          <cell r="O11">
            <v>0.9564835954887082</v>
          </cell>
          <cell r="P11">
            <v>0.97299860628782353</v>
          </cell>
          <cell r="Q11">
            <v>0.9862106149271157</v>
          </cell>
          <cell r="R11">
            <v>0.99678022183854953</v>
          </cell>
          <cell r="S11">
            <v>0.99685231466234414</v>
          </cell>
          <cell r="T11">
            <v>0.99687806209941365</v>
          </cell>
          <cell r="U11">
            <v>0.99688683963477831</v>
          </cell>
        </row>
        <row r="12">
          <cell r="B12" t="str">
            <v>LO5Med</v>
          </cell>
          <cell r="C12">
            <v>4.2999999999999997E-2</v>
          </cell>
          <cell r="D12">
            <v>9.5797142280278316E-2</v>
          </cell>
          <cell r="E12">
            <v>0.16040539374775648</v>
          </cell>
          <cell r="F12">
            <v>0.23540539374775649</v>
          </cell>
          <cell r="G12">
            <v>0.32095239121809005</v>
          </cell>
          <cell r="H12">
            <v>0.42096711425629652</v>
          </cell>
          <cell r="I12">
            <v>0.53068481860864725</v>
          </cell>
          <cell r="J12">
            <v>0.642769203728351</v>
          </cell>
          <cell r="K12">
            <v>0.74839528535557953</v>
          </cell>
          <cell r="L12">
            <v>0.83918984935345187</v>
          </cell>
          <cell r="M12">
            <v>0.90945051634530116</v>
          </cell>
          <cell r="N12">
            <v>0.9576688767502457</v>
          </cell>
          <cell r="O12">
            <v>0.9865231113648858</v>
          </cell>
          <cell r="P12">
            <v>1.0012970762896924</v>
          </cell>
          <cell r="Q12">
            <v>1.0076356106578106</v>
          </cell>
          <cell r="R12">
            <v>1.0098624683774413</v>
          </cell>
          <cell r="S12">
            <v>1.0104871783970797</v>
          </cell>
          <cell r="T12">
            <v>1.010623336815976</v>
          </cell>
          <cell r="U12">
            <v>1.0106457174525985</v>
          </cell>
        </row>
        <row r="13">
          <cell r="B13" t="str">
            <v>LO1Slow</v>
          </cell>
          <cell r="C13">
            <v>2.5643970768378654E-3</v>
          </cell>
          <cell r="D13">
            <v>7.6904586297764643E-3</v>
          </cell>
          <cell r="E13">
            <v>1.6792013047419844E-2</v>
          </cell>
          <cell r="F13">
            <v>3.15969387774655E-2</v>
          </cell>
          <cell r="G13">
            <v>5.406874819795171E-2</v>
          </cell>
          <cell r="H13">
            <v>8.6253181011834101E-2</v>
          </cell>
          <cell r="I13">
            <v>0.1300328481838382</v>
          </cell>
          <cell r="J13">
            <v>0.18678710893858319</v>
          </cell>
          <cell r="K13">
            <v>0.2569823480072907</v>
          </cell>
          <cell r="L13">
            <v>0.33975920985004748</v>
          </cell>
          <cell r="M13">
            <v>0.43262946935754232</v>
          </cell>
          <cell r="N13">
            <v>0.53142594003645804</v>
          </cell>
          <cell r="O13">
            <v>0.63063487292644704</v>
          </cell>
          <cell r="P13">
            <v>0.7241560234206913</v>
          </cell>
          <cell r="Q13">
            <v>0.80638203131755359</v>
          </cell>
          <cell r="R13">
            <v>0.87331559734491926</v>
          </cell>
          <cell r="S13">
            <v>0.92334516248836807</v>
          </cell>
          <cell r="T13">
            <v>0.95737002770730018</v>
          </cell>
          <cell r="U13">
            <v>0.97821608704807483</v>
          </cell>
        </row>
        <row r="14">
          <cell r="B14" t="str">
            <v>LO50Fast</v>
          </cell>
          <cell r="C14">
            <v>0.45</v>
          </cell>
          <cell r="D14">
            <v>0.66</v>
          </cell>
          <cell r="E14">
            <v>0.8</v>
          </cell>
          <cell r="F14">
            <v>0.89</v>
          </cell>
          <cell r="G14">
            <v>0.94954036260972652</v>
          </cell>
          <cell r="H14">
            <v>0.97931054391458994</v>
          </cell>
          <cell r="I14">
            <v>0.99254173560564019</v>
          </cell>
          <cell r="J14">
            <v>0.99783421228206048</v>
          </cell>
          <cell r="K14">
            <v>0.99975874925530417</v>
          </cell>
          <cell r="L14">
            <v>1.0004002615797187</v>
          </cell>
          <cell r="M14">
            <v>1.0005976499872309</v>
          </cell>
          <cell r="N14">
            <v>1.0006540466750915</v>
          </cell>
          <cell r="O14">
            <v>1.0006690857918545</v>
          </cell>
          <cell r="P14">
            <v>1.000672845571045</v>
          </cell>
          <cell r="Q14">
            <v>1.0006737302249724</v>
          </cell>
          <cell r="R14">
            <v>1.0006739268147338</v>
          </cell>
          <cell r="S14">
            <v>1.0006739682020522</v>
          </cell>
          <cell r="T14">
            <v>1.0006739764795158</v>
          </cell>
          <cell r="U14">
            <v>1.0006739780561755</v>
          </cell>
        </row>
        <row r="15">
          <cell r="B15" t="str">
            <v>LO20Fast</v>
          </cell>
          <cell r="C15">
            <v>0.22119921692859512</v>
          </cell>
          <cell r="D15">
            <v>0.37624232795148943</v>
          </cell>
          <cell r="E15">
            <v>0.48357361352878442</v>
          </cell>
          <cell r="F15">
            <v>0.56716330278444227</v>
          </cell>
          <cell r="G15">
            <v>0.64040048266456928</v>
          </cell>
          <cell r="H15">
            <v>0.70377511937632964</v>
          </cell>
          <cell r="I15">
            <v>0.7580669577441127</v>
          </cell>
          <cell r="J15">
            <v>0.80419335000071168</v>
          </cell>
          <cell r="K15">
            <v>0.84311022627788457</v>
          </cell>
          <cell r="L15">
            <v>0.87575014259103623</v>
          </cell>
          <cell r="M15">
            <v>0.90298584871682319</v>
          </cell>
          <cell r="N15">
            <v>0.92419703797508856</v>
          </cell>
          <cell r="O15">
            <v>0.94071632877930145</v>
          </cell>
          <cell r="P15">
            <v>0.95358156539340677</v>
          </cell>
          <cell r="Q15">
            <v>0.96360102174287088</v>
          </cell>
          <cell r="R15">
            <v>0.97140418219378311</v>
          </cell>
          <cell r="S15">
            <v>0.97748128966338554</v>
          </cell>
          <cell r="T15">
            <v>0.98221414571952104</v>
          </cell>
          <cell r="U15">
            <v>0.98590009772220355</v>
          </cell>
        </row>
        <row r="16">
          <cell r="B16" t="str">
            <v>LOEven20</v>
          </cell>
          <cell r="C16">
            <v>0.05</v>
          </cell>
          <cell r="D16">
            <v>0.1</v>
          </cell>
          <cell r="E16">
            <v>0.15000000000000002</v>
          </cell>
          <cell r="F16">
            <v>0.2</v>
          </cell>
          <cell r="G16">
            <v>0.25</v>
          </cell>
          <cell r="H16">
            <v>0.3</v>
          </cell>
          <cell r="I16">
            <v>0.35</v>
          </cell>
          <cell r="J16">
            <v>0.39999999999999997</v>
          </cell>
          <cell r="K16">
            <v>0.44999999999999996</v>
          </cell>
          <cell r="L16">
            <v>0.49999999999999994</v>
          </cell>
          <cell r="M16">
            <v>0.54999999999999993</v>
          </cell>
          <cell r="N16">
            <v>0.6</v>
          </cell>
          <cell r="O16">
            <v>0.65</v>
          </cell>
          <cell r="P16">
            <v>0.70000000000000007</v>
          </cell>
          <cell r="Q16">
            <v>0.75000000000000011</v>
          </cell>
          <cell r="R16">
            <v>0.80000000000000016</v>
          </cell>
          <cell r="S16">
            <v>0.8500000000000002</v>
          </cell>
          <cell r="T16">
            <v>0.90000000000000024</v>
          </cell>
          <cell r="U16">
            <v>0.95000000000000029</v>
          </cell>
        </row>
        <row r="17">
          <cell r="B17" t="str">
            <v>LOMax60</v>
          </cell>
          <cell r="C17">
            <v>0.01</v>
          </cell>
          <cell r="D17">
            <v>2.98E-2</v>
          </cell>
          <cell r="E17">
            <v>5.8906E-2</v>
          </cell>
          <cell r="F17">
            <v>9.6549759999999998E-2</v>
          </cell>
          <cell r="G17">
            <v>0.14172227199999998</v>
          </cell>
          <cell r="H17">
            <v>0.19035800991999999</v>
          </cell>
          <cell r="I17">
            <v>0.2362377226912</v>
          </cell>
          <cell r="J17">
            <v>0.279517585072032</v>
          </cell>
          <cell r="K17">
            <v>0.32034492191795017</v>
          </cell>
          <cell r="L17">
            <v>0.35885870967593297</v>
          </cell>
          <cell r="M17">
            <v>0.39519004946096342</v>
          </cell>
          <cell r="N17">
            <v>0.42946261332484215</v>
          </cell>
          <cell r="O17">
            <v>0.46179306523643443</v>
          </cell>
          <cell r="P17">
            <v>0.49229145820636983</v>
          </cell>
          <cell r="Q17">
            <v>0.5210616089080089</v>
          </cell>
          <cell r="R17">
            <v>0.54820145106988838</v>
          </cell>
          <cell r="S17">
            <v>0.57380336884259475</v>
          </cell>
          <cell r="T17">
            <v>0.59795451127484767</v>
          </cell>
          <cell r="U17">
            <v>0.62073708896927293</v>
          </cell>
        </row>
        <row r="18">
          <cell r="B18" t="str">
            <v>LO3Slow</v>
          </cell>
          <cell r="C18">
            <v>5.5320496977002724E-3</v>
          </cell>
          <cell r="D18">
            <v>1.4227918344261844E-2</v>
          </cell>
          <cell r="E18">
            <v>3.1619655637384989E-2</v>
          </cell>
          <cell r="F18">
            <v>6.2055195900350503E-2</v>
          </cell>
          <cell r="G18">
            <v>0.10939936964274129</v>
          </cell>
          <cell r="H18">
            <v>0.17568121288208835</v>
          </cell>
          <cell r="I18">
            <v>0.26003992245943919</v>
          </cell>
          <cell r="J18">
            <v>0.3584584169663485</v>
          </cell>
          <cell r="K18">
            <v>0.46444756489686617</v>
          </cell>
          <cell r="L18">
            <v>0.57043671282738384</v>
          </cell>
          <cell r="M18">
            <v>0.66935991756253377</v>
          </cell>
          <cell r="N18">
            <v>0.75591772170578986</v>
          </cell>
          <cell r="O18">
            <v>0.82720061923553012</v>
          </cell>
          <cell r="P18">
            <v>0.88264287286977261</v>
          </cell>
          <cell r="Q18">
            <v>0.92349505975816193</v>
          </cell>
          <cell r="R18">
            <v>0.95209159058003434</v>
          </cell>
          <cell r="S18">
            <v>0.97115594446128262</v>
          </cell>
          <cell r="T18">
            <v>0.98328780602207699</v>
          </cell>
          <cell r="U18">
            <v>0.99067241740690848</v>
          </cell>
        </row>
      </sheetData>
      <sheetData sheetId="10">
        <row r="11">
          <cell r="B11" t="str">
            <v>Compressed Air-NR</v>
          </cell>
          <cell r="C11" t="str">
            <v>LPD baseline to minimum of code or 1995-2001 practice.</v>
          </cell>
        </row>
        <row r="12">
          <cell r="B12" t="str">
            <v>Network PC Power Management-Retro</v>
          </cell>
          <cell r="C12" t="str">
            <v>LPD baseline to minimum of code or 1995-2001 practice</v>
          </cell>
          <cell r="F12" t="str">
            <v>OR FloorA%REG</v>
          </cell>
          <cell r="G12">
            <v>0.22</v>
          </cell>
          <cell r="H12">
            <v>0.22</v>
          </cell>
          <cell r="I12">
            <v>0.22</v>
          </cell>
          <cell r="J12">
            <v>0.33</v>
          </cell>
          <cell r="K12">
            <v>0.33</v>
          </cell>
          <cell r="L12">
            <v>0.33</v>
          </cell>
          <cell r="M12">
            <v>0.33</v>
          </cell>
          <cell r="N12">
            <v>0.15</v>
          </cell>
          <cell r="O12">
            <v>0.15</v>
          </cell>
          <cell r="P12">
            <v>0.42</v>
          </cell>
          <cell r="Q12">
            <v>0.17</v>
          </cell>
          <cell r="R12">
            <v>0.17</v>
          </cell>
          <cell r="S12">
            <v>0.35</v>
          </cell>
          <cell r="T12">
            <v>0.38</v>
          </cell>
          <cell r="U12">
            <v>0.25</v>
          </cell>
        </row>
        <row r="13">
          <cell r="B13" t="str">
            <v>Laptop-NR</v>
          </cell>
          <cell r="C13" t="str">
            <v>Assume code ballasts in baseline retrofit</v>
          </cell>
          <cell r="F13" t="str">
            <v>Frac Floor w &gt;30% ww ratio</v>
          </cell>
          <cell r="G13">
            <v>0.5</v>
          </cell>
          <cell r="H13">
            <v>0.5</v>
          </cell>
          <cell r="I13">
            <v>0.5</v>
          </cell>
          <cell r="J13">
            <v>0</v>
          </cell>
          <cell r="K13">
            <v>0</v>
          </cell>
          <cell r="L13">
            <v>0.5</v>
          </cell>
          <cell r="M13">
            <v>0</v>
          </cell>
          <cell r="N13">
            <v>0.4</v>
          </cell>
          <cell r="O13">
            <v>0.4</v>
          </cell>
          <cell r="P13">
            <v>0</v>
          </cell>
          <cell r="Q13">
            <v>0.05</v>
          </cell>
          <cell r="R13">
            <v>0</v>
          </cell>
          <cell r="S13">
            <v>0.5</v>
          </cell>
          <cell r="T13">
            <v>0.5</v>
          </cell>
          <cell r="U13">
            <v>0.5</v>
          </cell>
        </row>
        <row r="14">
          <cell r="B14" t="str">
            <v>Smart Plug Power Strips-Retro</v>
          </cell>
          <cell r="F14" t="str">
            <v>OR FloorA Exceed Code</v>
          </cell>
          <cell r="G14">
            <v>0.11</v>
          </cell>
          <cell r="H14">
            <v>0.11</v>
          </cell>
          <cell r="I14">
            <v>0.11</v>
          </cell>
          <cell r="J14">
            <v>0.33</v>
          </cell>
          <cell r="K14">
            <v>0.33</v>
          </cell>
          <cell r="L14">
            <v>0.16500000000000001</v>
          </cell>
          <cell r="M14">
            <v>0.33</v>
          </cell>
          <cell r="N14">
            <v>0.09</v>
          </cell>
          <cell r="O14">
            <v>0.09</v>
          </cell>
          <cell r="P14">
            <v>0.42</v>
          </cell>
          <cell r="Q14">
            <v>0.1615</v>
          </cell>
          <cell r="R14">
            <v>0.17</v>
          </cell>
          <cell r="S14">
            <v>0.17499999999999999</v>
          </cell>
          <cell r="T14">
            <v>0.19</v>
          </cell>
          <cell r="U14">
            <v>0.125</v>
          </cell>
        </row>
        <row r="15">
          <cell r="B15" t="e">
            <v>#REF!</v>
          </cell>
          <cell r="C15" t="str">
            <v>Account for smoke hatch in baseline</v>
          </cell>
        </row>
        <row r="16">
          <cell r="B16" t="e">
            <v>#REF!</v>
          </cell>
          <cell r="F16" t="str">
            <v>WA FloorA%REG</v>
          </cell>
          <cell r="G16">
            <v>0.72</v>
          </cell>
          <cell r="H16">
            <v>0.72</v>
          </cell>
          <cell r="I16">
            <v>0.72</v>
          </cell>
          <cell r="J16">
            <v>0.61</v>
          </cell>
          <cell r="K16">
            <v>0.61</v>
          </cell>
          <cell r="L16">
            <v>0.61</v>
          </cell>
          <cell r="M16">
            <v>0.61</v>
          </cell>
          <cell r="N16">
            <v>0.68</v>
          </cell>
          <cell r="O16">
            <v>0.68</v>
          </cell>
          <cell r="P16">
            <v>0.49</v>
          </cell>
          <cell r="Q16">
            <v>0.62</v>
          </cell>
          <cell r="R16">
            <v>0.62</v>
          </cell>
          <cell r="S16">
            <v>0.56000000000000005</v>
          </cell>
          <cell r="T16">
            <v>0.49</v>
          </cell>
          <cell r="U16">
            <v>0.56000000000000005</v>
          </cell>
        </row>
        <row r="17">
          <cell r="B17" t="str">
            <v>Data Centers-NR</v>
          </cell>
          <cell r="C17" t="str">
            <v>Only fraction beyond switching in code baseline OR</v>
          </cell>
          <cell r="F17" t="str">
            <v>Fraction with ElecHt</v>
          </cell>
          <cell r="G17">
            <v>9.379008321141083E-2</v>
          </cell>
          <cell r="H17">
            <v>5.7141018201974592E-2</v>
          </cell>
          <cell r="I17">
            <v>6.3540893141458221E-2</v>
          </cell>
          <cell r="J17">
            <v>0.52114684573848291</v>
          </cell>
          <cell r="K17">
            <v>0.64094486042254439</v>
          </cell>
          <cell r="L17">
            <v>0.56159710090996928</v>
          </cell>
          <cell r="M17">
            <v>0.19952525247533903</v>
          </cell>
          <cell r="N17">
            <v>0.22286467137317267</v>
          </cell>
          <cell r="O17">
            <v>0.15885643507420852</v>
          </cell>
          <cell r="P17">
            <v>0.52114684573848291</v>
          </cell>
          <cell r="Q17">
            <v>1.5377816133020691E-2</v>
          </cell>
          <cell r="R17">
            <v>0</v>
          </cell>
          <cell r="S17">
            <v>5.5212362541074519E-2</v>
          </cell>
          <cell r="T17">
            <v>0.34342063041492848</v>
          </cell>
          <cell r="U17">
            <v>0.10311447532768504</v>
          </cell>
        </row>
        <row r="18">
          <cell r="B18" t="str">
            <v>Monitor-NR</v>
          </cell>
          <cell r="C18" t="str">
            <v>Only fraction beyond switching in code baseline OR</v>
          </cell>
          <cell r="F18" t="str">
            <v>Frac Meet Elec Ht Code</v>
          </cell>
          <cell r="G18">
            <v>0.5</v>
          </cell>
          <cell r="H18">
            <v>0.5</v>
          </cell>
          <cell r="I18">
            <v>0.5</v>
          </cell>
          <cell r="J18">
            <v>0.9</v>
          </cell>
          <cell r="K18">
            <v>0.9</v>
          </cell>
          <cell r="L18">
            <v>0.9</v>
          </cell>
          <cell r="M18">
            <v>0.5</v>
          </cell>
          <cell r="N18">
            <v>0.5</v>
          </cell>
          <cell r="O18">
            <v>0.5</v>
          </cell>
          <cell r="P18">
            <v>0.9</v>
          </cell>
          <cell r="Q18">
            <v>0.9</v>
          </cell>
          <cell r="R18">
            <v>0.9</v>
          </cell>
          <cell r="S18">
            <v>0.9</v>
          </cell>
          <cell r="T18">
            <v>0.9</v>
          </cell>
          <cell r="U18">
            <v>0.5</v>
          </cell>
        </row>
        <row r="19">
          <cell r="B19" t="e">
            <v>#REF!</v>
          </cell>
          <cell r="F19" t="str">
            <v>WA Floor A Exceed Code</v>
          </cell>
          <cell r="G19">
            <v>3.37644299561079E-2</v>
          </cell>
          <cell r="H19">
            <v>2.0570766552710854E-2</v>
          </cell>
          <cell r="I19">
            <v>2.2874721530924957E-2</v>
          </cell>
          <cell r="J19">
            <v>3.1789957590047449E-2</v>
          </cell>
          <cell r="K19">
            <v>3.9097636485775196E-2</v>
          </cell>
          <cell r="L19">
            <v>3.4257423155508122E-2</v>
          </cell>
          <cell r="M19">
            <v>6.0855202004978404E-2</v>
          </cell>
          <cell r="N19">
            <v>7.5773988266878714E-2</v>
          </cell>
          <cell r="O19">
            <v>5.4011187925230901E-2</v>
          </cell>
          <cell r="P19">
            <v>2.5536195441185655E-2</v>
          </cell>
          <cell r="Q19">
            <v>9.5342460024728268E-4</v>
          </cell>
          <cell r="R19">
            <v>0</v>
          </cell>
          <cell r="S19">
            <v>3.0918923023001725E-3</v>
          </cell>
          <cell r="T19">
            <v>1.6827610890331492E-2</v>
          </cell>
          <cell r="U19">
            <v>2.8872053091751816E-2</v>
          </cell>
          <cell r="V19">
            <v>1.6544666073850544E-3</v>
          </cell>
          <cell r="W19">
            <v>1.6825084142898859E-3</v>
          </cell>
          <cell r="X19">
            <v>1.6100798084913201E-2</v>
          </cell>
        </row>
        <row r="20">
          <cell r="B20" t="str">
            <v>Desktop-NR</v>
          </cell>
        </row>
        <row r="21">
          <cell r="B21" t="str">
            <v>Pre-Rinse Spray Valve-Retro</v>
          </cell>
          <cell r="F21" t="str">
            <v>Region Wide Frac Exceed Target</v>
          </cell>
          <cell r="G21">
            <v>0.05</v>
          </cell>
          <cell r="H21">
            <v>0.05</v>
          </cell>
          <cell r="I21">
            <v>0.05</v>
          </cell>
          <cell r="J21">
            <v>0.05</v>
          </cell>
          <cell r="K21">
            <v>0.05</v>
          </cell>
          <cell r="L21">
            <v>0.05</v>
          </cell>
          <cell r="M21">
            <v>0.05</v>
          </cell>
          <cell r="N21">
            <v>0.05</v>
          </cell>
          <cell r="O21">
            <v>0.05</v>
          </cell>
          <cell r="P21">
            <v>0.05</v>
          </cell>
          <cell r="Q21">
            <v>0.05</v>
          </cell>
          <cell r="R21">
            <v>0.05</v>
          </cell>
          <cell r="S21">
            <v>0.05</v>
          </cell>
          <cell r="T21">
            <v>0.05</v>
          </cell>
          <cell r="U21">
            <v>0.05</v>
          </cell>
          <cell r="V21">
            <v>0.05</v>
          </cell>
          <cell r="W21">
            <v>0.05</v>
          </cell>
          <cell r="X21">
            <v>0.05</v>
          </cell>
        </row>
        <row r="22">
          <cell r="B22" t="e">
            <v>#REF!</v>
          </cell>
        </row>
        <row r="23">
          <cell r="B23" t="str">
            <v>Cooking Equipment-NR</v>
          </cell>
          <cell r="C23" t="str">
            <v>Not applicable in Seattle due to code requirement</v>
          </cell>
        </row>
        <row r="24">
          <cell r="B24" t="str">
            <v>Premium HVAC Equipment-New</v>
          </cell>
          <cell r="C24" t="str">
            <v>Not applicable in Seattle due to code requirement</v>
          </cell>
          <cell r="F24" t="str">
            <v>Baseline Exceed Code New</v>
          </cell>
          <cell r="G24">
            <v>0.19376442995610788</v>
          </cell>
          <cell r="H24">
            <v>0.18057076655271087</v>
          </cell>
          <cell r="I24">
            <v>0.18287472153092493</v>
          </cell>
          <cell r="J24">
            <v>0.41178995759004744</v>
          </cell>
          <cell r="K24">
            <v>0.41909763648577519</v>
          </cell>
          <cell r="L24">
            <v>0.24925742315550814</v>
          </cell>
          <cell r="M24">
            <v>0.44085520200497841</v>
          </cell>
          <cell r="N24">
            <v>0.21577398826687871</v>
          </cell>
          <cell r="O24">
            <v>0.19401118792523092</v>
          </cell>
          <cell r="P24">
            <v>0.4955361954411856</v>
          </cell>
          <cell r="Q24">
            <v>0.2124534246002473</v>
          </cell>
          <cell r="R24">
            <v>0.22000000000000003</v>
          </cell>
          <cell r="S24">
            <v>0.22809189230230015</v>
          </cell>
          <cell r="T24">
            <v>0.25682761089033151</v>
          </cell>
          <cell r="U24">
            <v>0.20387205309175183</v>
          </cell>
          <cell r="V24">
            <v>0.17165446660738504</v>
          </cell>
          <cell r="W24">
            <v>0.17168250841428989</v>
          </cell>
          <cell r="X24">
            <v>0.23410079808491319</v>
          </cell>
        </row>
        <row r="25">
          <cell r="B25" t="e">
            <v>#REF!</v>
          </cell>
        </row>
        <row r="26">
          <cell r="B26" t="str">
            <v>Premium HVAC Equipment-NR</v>
          </cell>
          <cell r="C26" t="str">
            <v>Baseline adjusted to reflect codes</v>
          </cell>
          <cell r="F26" t="str">
            <v>Fract Excced Target CBSA New 2002-2004</v>
          </cell>
          <cell r="G26">
            <v>0.45</v>
          </cell>
          <cell r="H26">
            <v>0.45</v>
          </cell>
          <cell r="I26">
            <v>0.45</v>
          </cell>
          <cell r="J26">
            <v>0.2</v>
          </cell>
          <cell r="K26">
            <v>0.2</v>
          </cell>
          <cell r="L26">
            <v>0.2</v>
          </cell>
          <cell r="M26">
            <v>0.2</v>
          </cell>
          <cell r="N26">
            <v>0.45</v>
          </cell>
          <cell r="O26">
            <v>0.9</v>
          </cell>
          <cell r="P26">
            <v>0.2</v>
          </cell>
          <cell r="Q26">
            <v>0.1</v>
          </cell>
          <cell r="R26">
            <v>0.1</v>
          </cell>
          <cell r="S26">
            <v>0.25</v>
          </cell>
          <cell r="T26">
            <v>0.5</v>
          </cell>
          <cell r="U26">
            <v>0.75</v>
          </cell>
          <cell r="V26">
            <v>0.25</v>
          </cell>
          <cell r="W26">
            <v>0.2</v>
          </cell>
          <cell r="X26">
            <v>0.3</v>
          </cell>
        </row>
        <row r="27">
          <cell r="B27" t="str">
            <v>Glass-New</v>
          </cell>
          <cell r="C27" t="str">
            <v>Baseline adjusted to reflect codes</v>
          </cell>
        </row>
        <row r="28">
          <cell r="B28" t="e">
            <v>#REF!</v>
          </cell>
        </row>
        <row r="29">
          <cell r="B29" t="str">
            <v>Glass-NR</v>
          </cell>
          <cell r="C29" t="str">
            <v>Baseline adjusted to reflect codes.  Measure baseline excludes 50% of WA=ElecHt, OR&gt;30%glass.</v>
          </cell>
        </row>
        <row r="30">
          <cell r="B30" t="str">
            <v>Glass-Retro</v>
          </cell>
          <cell r="C30" t="str">
            <v>Baseline adjusted to reflect codes</v>
          </cell>
        </row>
        <row r="31">
          <cell r="B31" t="str">
            <v>Advanced Rooftop Controller-New</v>
          </cell>
          <cell r="C31" t="str">
            <v>Single Glazed Fraction from CBSA</v>
          </cell>
        </row>
        <row r="32">
          <cell r="B32" t="str">
            <v>Advanced Rooftop Controller-NR</v>
          </cell>
        </row>
        <row r="33">
          <cell r="B33" t="str">
            <v>Advanced Rooftop Controller-Retro</v>
          </cell>
        </row>
        <row r="34">
          <cell r="B34" t="str">
            <v>Variable Speed Chiller-New</v>
          </cell>
          <cell r="C34" t="str">
            <v>Assumes marginally-effective economizer in baseline</v>
          </cell>
        </row>
        <row r="35">
          <cell r="B35" t="str">
            <v>Variable Speed Chiller-NR</v>
          </cell>
          <cell r="C35" t="str">
            <v>Baseline assumes historic mix of chiller types and modular chiller control</v>
          </cell>
        </row>
        <row r="36">
          <cell r="B36" t="str">
            <v>Commercial EM-New</v>
          </cell>
          <cell r="C36" t="str">
            <v>Baseline assumes historic mix of chiller types and modular chiller control</v>
          </cell>
        </row>
        <row r="37">
          <cell r="B37" t="e">
            <v>#REF!</v>
          </cell>
          <cell r="C37" t="str">
            <v>Baseline at code and modular deployment</v>
          </cell>
        </row>
        <row r="38">
          <cell r="B38" t="str">
            <v>Commercial EM-NR</v>
          </cell>
          <cell r="C38" t="str">
            <v>Baseline assume partial penetration of measure</v>
          </cell>
        </row>
        <row r="39">
          <cell r="B39" t="str">
            <v>Commercial EM-Retro</v>
          </cell>
        </row>
        <row r="40">
          <cell r="B40" t="str">
            <v>Evaporative Assist Cooling-New</v>
          </cell>
        </row>
        <row r="41">
          <cell r="B41" t="str">
            <v>Evaporative Assist Cooling-NR</v>
          </cell>
          <cell r="C41" t="str">
            <v>Assumes marginally-effective economizer in baseline</v>
          </cell>
        </row>
        <row r="42">
          <cell r="B42" t="str">
            <v>Economizer-Retro</v>
          </cell>
          <cell r="C42" t="str">
            <v>Assumes marginally-effective economizer in baseline</v>
          </cell>
        </row>
        <row r="43">
          <cell r="B43" t="e">
            <v>#REF!</v>
          </cell>
        </row>
        <row r="44">
          <cell r="B44" t="str">
            <v>Demand Control Ventilation-New</v>
          </cell>
          <cell r="C44" t="str">
            <v>Measure not in any code baseline</v>
          </cell>
        </row>
        <row r="45">
          <cell r="B45" t="e">
            <v>#REF!</v>
          </cell>
          <cell r="C45" t="str">
            <v>Measure not in any code baseline</v>
          </cell>
        </row>
        <row r="46">
          <cell r="B46" t="e">
            <v>#REF!</v>
          </cell>
        </row>
        <row r="47">
          <cell r="B47" t="str">
            <v>Demand Control Ventilation-NR</v>
          </cell>
          <cell r="C47" t="str">
            <v>Measure dropped due to code</v>
          </cell>
        </row>
        <row r="48">
          <cell r="B48" t="str">
            <v>Demand Control Ventilation-Retro</v>
          </cell>
          <cell r="C48" t="str">
            <v>Measure dropped due to code</v>
          </cell>
        </row>
        <row r="49">
          <cell r="B49" t="str">
            <v>Premium Fume Hood-NR</v>
          </cell>
        </row>
        <row r="50">
          <cell r="B50" t="e">
            <v>#REF!</v>
          </cell>
        </row>
        <row r="51">
          <cell r="B51" t="e">
            <v>#REF!</v>
          </cell>
        </row>
        <row r="52">
          <cell r="B52" t="e">
            <v>#REF!</v>
          </cell>
        </row>
        <row r="53">
          <cell r="B53" t="e">
            <v>#REF!</v>
          </cell>
        </row>
        <row r="54">
          <cell r="B54" t="e">
            <v>#REF!</v>
          </cell>
        </row>
        <row r="55">
          <cell r="B55" t="e">
            <v>#REF!</v>
          </cell>
        </row>
        <row r="56">
          <cell r="B56" t="e">
            <v>#REF!</v>
          </cell>
        </row>
        <row r="57">
          <cell r="B57" t="e">
            <v>#REF!</v>
          </cell>
        </row>
        <row r="58">
          <cell r="B58" t="e">
            <v>#REF!</v>
          </cell>
        </row>
        <row r="59">
          <cell r="B59" t="e">
            <v>#REF!</v>
          </cell>
        </row>
        <row r="60">
          <cell r="B60" t="e">
            <v>#REF!</v>
          </cell>
        </row>
        <row r="61">
          <cell r="B61" t="str">
            <v>DCV Restaurant Hood-Retro</v>
          </cell>
        </row>
        <row r="62">
          <cell r="B62" t="e">
            <v>#REF!</v>
          </cell>
        </row>
        <row r="63">
          <cell r="B63" t="e">
            <v>#REF!</v>
          </cell>
        </row>
        <row r="64">
          <cell r="B64" t="e">
            <v>#REF!</v>
          </cell>
        </row>
        <row r="65">
          <cell r="B65" t="e">
            <v>#REF!</v>
          </cell>
        </row>
        <row r="66">
          <cell r="B66" t="e">
            <v>#REF!</v>
          </cell>
        </row>
        <row r="67">
          <cell r="B67" t="e">
            <v>#REF!</v>
          </cell>
        </row>
        <row r="68">
          <cell r="B68" t="e">
            <v>#REF!</v>
          </cell>
        </row>
        <row r="69">
          <cell r="B69" t="e">
            <v>#REF!</v>
          </cell>
        </row>
        <row r="70">
          <cell r="B70" t="e">
            <v>#REF!</v>
          </cell>
        </row>
        <row r="71">
          <cell r="B71" t="e">
            <v>#REF!</v>
          </cell>
        </row>
        <row r="72">
          <cell r="B72" t="str">
            <v>DCV Parking Garage-Retro</v>
          </cell>
        </row>
        <row r="73">
          <cell r="B73" t="str">
            <v>Weatherization - School-Retro</v>
          </cell>
        </row>
        <row r="74">
          <cell r="B74" t="e">
            <v>#REF!</v>
          </cell>
        </row>
        <row r="75">
          <cell r="B75" t="str">
            <v>Energy Recovery Ventilator-NR</v>
          </cell>
        </row>
        <row r="76">
          <cell r="B76" t="str">
            <v>AC Heat Recovery for Water Heating-NR</v>
          </cell>
        </row>
        <row r="77">
          <cell r="B77" t="str">
            <v>Room Occupancy Sensors in Lodging-Retro</v>
          </cell>
        </row>
        <row r="78">
          <cell r="B78" t="str">
            <v>Chiller - chilled water retrofit-Retro</v>
          </cell>
        </row>
        <row r="79">
          <cell r="B79" t="str">
            <v>Office Equipment</v>
          </cell>
          <cell r="C79" t="str">
            <v>New</v>
          </cell>
        </row>
        <row r="80">
          <cell r="B80" t="str">
            <v>Computer Servers and IT</v>
          </cell>
          <cell r="C80" t="str">
            <v>New</v>
          </cell>
        </row>
        <row r="81">
          <cell r="B81" t="e">
            <v>#REF!</v>
          </cell>
        </row>
        <row r="82">
          <cell r="B82" t="str">
            <v>Pool Blankets-Retro</v>
          </cell>
        </row>
        <row r="83">
          <cell r="B83" t="e">
            <v>#REF!</v>
          </cell>
        </row>
        <row r="84">
          <cell r="B84" t="e">
            <v>#REF!</v>
          </cell>
        </row>
        <row r="85">
          <cell r="B85" t="str">
            <v>Web-Enabled Thermostats-Retro</v>
          </cell>
        </row>
        <row r="86">
          <cell r="B86" t="e">
            <v>#REF!</v>
          </cell>
        </row>
        <row r="87">
          <cell r="B87" t="e">
            <v>#REF!</v>
          </cell>
        </row>
        <row r="88">
          <cell r="B88" t="str">
            <v>Garage CO2 ventilation-Retro</v>
          </cell>
        </row>
        <row r="89">
          <cell r="B89" t="e">
            <v>#REF!</v>
          </cell>
        </row>
        <row r="90">
          <cell r="B90" t="e">
            <v>#REF!</v>
          </cell>
        </row>
        <row r="91">
          <cell r="B91" t="e">
            <v>#REF!</v>
          </cell>
        </row>
        <row r="92">
          <cell r="B92" t="e">
            <v>#REF!</v>
          </cell>
        </row>
        <row r="93">
          <cell r="B93" t="e">
            <v>#REF!</v>
          </cell>
        </row>
        <row r="94">
          <cell r="B94" t="str">
            <v>Circ Pump ECM and drive-Retro</v>
          </cell>
        </row>
        <row r="95">
          <cell r="B95" t="str">
            <v>VRF-New</v>
          </cell>
        </row>
        <row r="96">
          <cell r="B96">
            <v>0</v>
          </cell>
        </row>
        <row r="97">
          <cell r="B97">
            <v>0</v>
          </cell>
        </row>
        <row r="98">
          <cell r="B98">
            <v>0</v>
          </cell>
        </row>
        <row r="99">
          <cell r="B99">
            <v>0</v>
          </cell>
        </row>
        <row r="100">
          <cell r="B100">
            <v>0</v>
          </cell>
        </row>
        <row r="101">
          <cell r="B101">
            <v>0</v>
          </cell>
        </row>
        <row r="102">
          <cell r="B102">
            <v>0</v>
          </cell>
        </row>
        <row r="103">
          <cell r="B103">
            <v>0</v>
          </cell>
        </row>
        <row r="104">
          <cell r="B104">
            <v>0</v>
          </cell>
        </row>
        <row r="105">
          <cell r="B105">
            <v>0</v>
          </cell>
        </row>
      </sheetData>
      <sheetData sheetId="11">
        <row r="13">
          <cell r="B13" t="str">
            <v>FORECAST</v>
          </cell>
        </row>
        <row r="14">
          <cell r="B14" t="str">
            <v>POST2013</v>
          </cell>
          <cell r="C14" t="str">
            <v>Office</v>
          </cell>
          <cell r="F14" t="str">
            <v>Retail</v>
          </cell>
          <cell r="J14" t="str">
            <v>School</v>
          </cell>
          <cell r="L14" t="str">
            <v>Warehouse</v>
          </cell>
          <cell r="M14" t="str">
            <v>Grocery</v>
          </cell>
          <cell r="O14" t="str">
            <v>Restaurant</v>
          </cell>
          <cell r="P14" t="str">
            <v>Lodging</v>
          </cell>
          <cell r="Q14" t="str">
            <v>Health</v>
          </cell>
          <cell r="S14" t="str">
            <v>Assembly</v>
          </cell>
          <cell r="T14" t="str">
            <v>Other</v>
          </cell>
        </row>
        <row r="15">
          <cell r="B15" t="str">
            <v>FloorA%ACT</v>
          </cell>
          <cell r="C15">
            <v>0.23374291413554329</v>
          </cell>
          <cell r="F15">
            <v>0.16379453573805774</v>
          </cell>
          <cell r="J15">
            <v>8.8639553331737689E-2</v>
          </cell>
          <cell r="L15">
            <v>9.6266945662747766E-2</v>
          </cell>
          <cell r="M15">
            <v>2.0434554153352484E-2</v>
          </cell>
          <cell r="O15">
            <v>1.255060122823257E-2</v>
          </cell>
          <cell r="P15">
            <v>5.5794347273117245E-2</v>
          </cell>
          <cell r="Q15">
            <v>7.398534349162611E-2</v>
          </cell>
          <cell r="S15">
            <v>0.12949316922883081</v>
          </cell>
          <cell r="T15">
            <v>0.12270755891365608</v>
          </cell>
        </row>
        <row r="16">
          <cell r="B16" t="str">
            <v>POST2013</v>
          </cell>
          <cell r="C16" t="str">
            <v>Large Off</v>
          </cell>
          <cell r="D16" t="str">
            <v>Medium Off</v>
          </cell>
          <cell r="E16" t="str">
            <v>Small Off</v>
          </cell>
          <cell r="F16" t="str">
            <v>Xlarge Ret</v>
          </cell>
          <cell r="G16" t="str">
            <v>Large Ret</v>
          </cell>
          <cell r="H16" t="str">
            <v>Medium Ret</v>
          </cell>
          <cell r="I16" t="str">
            <v>Small Ret</v>
          </cell>
          <cell r="J16" t="str">
            <v>School K-12</v>
          </cell>
          <cell r="K16" t="str">
            <v>University</v>
          </cell>
          <cell r="L16" t="str">
            <v>Warehouse</v>
          </cell>
          <cell r="M16" t="str">
            <v>Supermarket</v>
          </cell>
          <cell r="N16" t="str">
            <v>MiniMart</v>
          </cell>
          <cell r="O16" t="str">
            <v>Restaurant</v>
          </cell>
          <cell r="P16" t="str">
            <v>Lodging</v>
          </cell>
          <cell r="Q16" t="str">
            <v>Hospital</v>
          </cell>
          <cell r="R16" t="str">
            <v>Residential Care</v>
          </cell>
          <cell r="S16" t="str">
            <v>Assembly</v>
          </cell>
          <cell r="T16" t="str">
            <v>Other</v>
          </cell>
        </row>
        <row r="17">
          <cell r="B17" t="str">
            <v>FloorA%TYP</v>
          </cell>
          <cell r="C17">
            <v>0.49844828664156315</v>
          </cell>
          <cell r="D17">
            <v>0.39725857197361958</v>
          </cell>
          <cell r="E17">
            <v>0.10429314138481716</v>
          </cell>
          <cell r="F17">
            <v>0.29289805028089561</v>
          </cell>
          <cell r="G17">
            <v>0.11837446567671327</v>
          </cell>
          <cell r="H17">
            <v>0.44658380004081855</v>
          </cell>
          <cell r="I17">
            <v>0.14214368400157257</v>
          </cell>
          <cell r="J17">
            <v>0.58044164275770982</v>
          </cell>
          <cell r="K17">
            <v>0.41955835724229024</v>
          </cell>
          <cell r="L17">
            <v>1</v>
          </cell>
          <cell r="M17">
            <v>0.70766579331774959</v>
          </cell>
          <cell r="N17">
            <v>0.29233420668225041</v>
          </cell>
          <cell r="O17">
            <v>1</v>
          </cell>
          <cell r="P17">
            <v>1</v>
          </cell>
          <cell r="Q17">
            <v>1</v>
          </cell>
          <cell r="R17">
            <v>1</v>
          </cell>
          <cell r="S17">
            <v>1</v>
          </cell>
          <cell r="T17">
            <v>1</v>
          </cell>
        </row>
        <row r="18">
          <cell r="B18" t="str">
            <v>FloorA%REG</v>
          </cell>
          <cell r="C18">
            <v>0.15073291148870363</v>
          </cell>
          <cell r="D18">
            <v>0.12013270538231059</v>
          </cell>
          <cell r="E18">
            <v>3.1538695729415013E-2</v>
          </cell>
          <cell r="F18">
            <v>2.6820893655991742E-2</v>
          </cell>
          <cell r="G18">
            <v>1.0839638408159987E-2</v>
          </cell>
          <cell r="H18">
            <v>4.0894012773033235E-2</v>
          </cell>
          <cell r="I18">
            <v>1.3016203517984767E-2</v>
          </cell>
          <cell r="J18">
            <v>3.0886857559635036E-2</v>
          </cell>
          <cell r="K18">
            <v>2.2325826170102026E-2</v>
          </cell>
          <cell r="L18">
            <v>0.10087192274660353</v>
          </cell>
          <cell r="M18">
            <v>6.1675003194375045E-3</v>
          </cell>
          <cell r="N18">
            <v>2.5477723102065148E-3</v>
          </cell>
          <cell r="O18">
            <v>1.1693580853842011E-2</v>
          </cell>
          <cell r="P18">
            <v>2.3957473342185561E-2</v>
          </cell>
          <cell r="Q18">
            <v>4.4965056377242296E-2</v>
          </cell>
          <cell r="R18">
            <v>5.827742495837801E-2</v>
          </cell>
          <cell r="S18">
            <v>9.0984350406775827E-2</v>
          </cell>
          <cell r="T18">
            <v>0.21334717399999265</v>
          </cell>
        </row>
        <row r="19">
          <cell r="B19" t="str">
            <v>ElecHt%TYP</v>
          </cell>
          <cell r="C19">
            <v>9.379008321141083E-2</v>
          </cell>
          <cell r="D19">
            <v>5.7141018201974592E-2</v>
          </cell>
          <cell r="E19">
            <v>6.3540893141458221E-2</v>
          </cell>
          <cell r="F19">
            <v>0.52114684573848291</v>
          </cell>
          <cell r="G19">
            <v>0.64094486042254439</v>
          </cell>
          <cell r="H19">
            <v>0.56159710090996928</v>
          </cell>
          <cell r="I19">
            <v>0.19952525247533903</v>
          </cell>
          <cell r="J19">
            <v>0.22286467137317267</v>
          </cell>
          <cell r="K19">
            <v>0.15885643507420852</v>
          </cell>
          <cell r="L19">
            <v>0.52114684573848291</v>
          </cell>
          <cell r="M19">
            <v>1.5377816133020691E-2</v>
          </cell>
          <cell r="N19">
            <v>0</v>
          </cell>
          <cell r="O19">
            <v>5.5212362541074519E-2</v>
          </cell>
          <cell r="P19">
            <v>0.34342063041492848</v>
          </cell>
          <cell r="Q19">
            <v>0.10311447532768504</v>
          </cell>
          <cell r="R19">
            <v>5.6083613809662864E-3</v>
          </cell>
          <cell r="S19">
            <v>5.6083613809662864E-3</v>
          </cell>
          <cell r="T19">
            <v>0.24031041917780901</v>
          </cell>
        </row>
        <row r="20">
          <cell r="B20" t="str">
            <v>GasHt%TYP</v>
          </cell>
          <cell r="C20">
            <v>0.80872784176745371</v>
          </cell>
          <cell r="D20">
            <v>0.93108561158422598</v>
          </cell>
          <cell r="E20">
            <v>0.65879042006554966</v>
          </cell>
          <cell r="F20">
            <v>0.30364464955032466</v>
          </cell>
          <cell r="G20">
            <v>0.20980203614718312</v>
          </cell>
          <cell r="H20">
            <v>0.42422729730852854</v>
          </cell>
          <cell r="I20">
            <v>0.44747439425166918</v>
          </cell>
          <cell r="J20">
            <v>0.53090550528653346</v>
          </cell>
          <cell r="K20">
            <v>0.73038501205930684</v>
          </cell>
          <cell r="L20">
            <v>0.30364464955032466</v>
          </cell>
          <cell r="M20">
            <v>0.88455863187555051</v>
          </cell>
          <cell r="N20">
            <v>0.99620809267302346</v>
          </cell>
          <cell r="O20">
            <v>0.88366906107173016</v>
          </cell>
          <cell r="P20">
            <v>0.53617368361870132</v>
          </cell>
          <cell r="Q20">
            <v>0.74192623135844471</v>
          </cell>
          <cell r="R20">
            <v>0.98575716289794368</v>
          </cell>
          <cell r="S20">
            <v>0.98575716289794368</v>
          </cell>
          <cell r="T20">
            <v>0.6783643954380898</v>
          </cell>
        </row>
        <row r="21">
          <cell r="B21" t="str">
            <v>HtPmpHt%TYP</v>
          </cell>
          <cell r="C21">
            <v>9.7482075021135345E-2</v>
          </cell>
          <cell r="D21">
            <v>1.1773370213799438E-2</v>
          </cell>
          <cell r="E21">
            <v>0.27766868679299217</v>
          </cell>
          <cell r="F21">
            <v>0.17520850471119245</v>
          </cell>
          <cell r="G21">
            <v>0.14925310343027248</v>
          </cell>
          <cell r="H21">
            <v>1.4175601781502387E-2</v>
          </cell>
          <cell r="I21">
            <v>0.35300035327299167</v>
          </cell>
          <cell r="J21">
            <v>0.24622982334029381</v>
          </cell>
          <cell r="K21">
            <v>0.1107585528664846</v>
          </cell>
          <cell r="L21">
            <v>0.17520850471119245</v>
          </cell>
          <cell r="M21">
            <v>0.1000635519914288</v>
          </cell>
          <cell r="N21">
            <v>3.7919073269764856E-3</v>
          </cell>
          <cell r="O21">
            <v>6.1118576387195395E-2</v>
          </cell>
          <cell r="P21">
            <v>0.12040568596637012</v>
          </cell>
          <cell r="Q21">
            <v>0.15495929331387026</v>
          </cell>
          <cell r="R21">
            <v>8.6344757210899958E-3</v>
          </cell>
          <cell r="S21">
            <v>8.6344757210899958E-3</v>
          </cell>
          <cell r="T21">
            <v>8.1325185384101065E-2</v>
          </cell>
        </row>
        <row r="22">
          <cell r="B22" t="str">
            <v>CoolSat%TYP</v>
          </cell>
          <cell r="C22">
            <v>0.95128694884061893</v>
          </cell>
          <cell r="D22">
            <v>0.97665874571205136</v>
          </cell>
          <cell r="E22">
            <v>0.91122609210258287</v>
          </cell>
          <cell r="F22">
            <v>0.98608503921852686</v>
          </cell>
          <cell r="G22">
            <v>0.77181511362305244</v>
          </cell>
          <cell r="H22">
            <v>0.90527535536267667</v>
          </cell>
          <cell r="I22">
            <v>0.53668215741883951</v>
          </cell>
          <cell r="J22">
            <v>0.96128535178408803</v>
          </cell>
          <cell r="K22">
            <v>0.75</v>
          </cell>
          <cell r="L22">
            <v>0.18162271351024481</v>
          </cell>
          <cell r="M22">
            <v>0.92147944946531313</v>
          </cell>
          <cell r="N22">
            <v>0.83868998628257874</v>
          </cell>
          <cell r="O22">
            <v>0.99999997512427186</v>
          </cell>
          <cell r="P22">
            <v>0.94438859080377269</v>
          </cell>
          <cell r="Q22">
            <v>0.95</v>
          </cell>
          <cell r="R22">
            <v>0.8423386600487599</v>
          </cell>
          <cell r="S22">
            <v>0.91177234717447209</v>
          </cell>
          <cell r="T22">
            <v>0.87717751610580841</v>
          </cell>
        </row>
        <row r="23">
          <cell r="B23" t="str">
            <v>CoolSat%ACT</v>
          </cell>
          <cell r="C23">
            <v>0.95718804003839186</v>
          </cell>
          <cell r="F23">
            <v>0.86075287434919978</v>
          </cell>
          <cell r="J23">
            <v>0.87263881668019661</v>
          </cell>
          <cell r="L23">
            <v>0.18162271351024481</v>
          </cell>
          <cell r="M23">
            <v>0.897277257424139</v>
          </cell>
          <cell r="O23">
            <v>0.99999997512427186</v>
          </cell>
          <cell r="P23">
            <v>0.94438859080377269</v>
          </cell>
          <cell r="Q23">
            <v>0.89616933002437993</v>
          </cell>
          <cell r="S23">
            <v>0.91177234717447209</v>
          </cell>
          <cell r="T23">
            <v>0.87717751610580841</v>
          </cell>
        </row>
        <row r="24">
          <cell r="B24" t="str">
            <v>PackRT%TYP</v>
          </cell>
          <cell r="C24">
            <v>0.15</v>
          </cell>
          <cell r="D24">
            <v>0.75</v>
          </cell>
          <cell r="E24">
            <v>0.95</v>
          </cell>
          <cell r="F24">
            <v>0.95</v>
          </cell>
          <cell r="G24">
            <v>0.9</v>
          </cell>
          <cell r="H24">
            <v>0.9</v>
          </cell>
          <cell r="I24">
            <v>0.3</v>
          </cell>
          <cell r="J24">
            <v>0.3</v>
          </cell>
          <cell r="K24">
            <v>0.5</v>
          </cell>
          <cell r="L24">
            <v>0.35</v>
          </cell>
          <cell r="M24">
            <v>0.9</v>
          </cell>
          <cell r="N24">
            <v>0.9</v>
          </cell>
          <cell r="O24">
            <v>0.95</v>
          </cell>
          <cell r="P24">
            <v>0.5</v>
          </cell>
          <cell r="Q24">
            <v>0.1</v>
          </cell>
          <cell r="R24">
            <v>0.6</v>
          </cell>
          <cell r="S24">
            <v>0.5</v>
          </cell>
          <cell r="T24">
            <v>0.5</v>
          </cell>
        </row>
        <row r="25">
          <cell r="B25" t="str">
            <v>PackRT%ACT</v>
          </cell>
          <cell r="C25">
            <v>0.50026702886083674</v>
          </cell>
          <cell r="F25">
            <v>0.78455381811533043</v>
          </cell>
          <cell r="J25">
            <v>0.36953195539995587</v>
          </cell>
          <cell r="L25">
            <v>0.35</v>
          </cell>
          <cell r="M25">
            <v>0.90000000000000013</v>
          </cell>
          <cell r="O25">
            <v>0.95</v>
          </cell>
          <cell r="P25">
            <v>0.5</v>
          </cell>
          <cell r="Q25">
            <v>0.45832204515370584</v>
          </cell>
          <cell r="S25">
            <v>0.5</v>
          </cell>
          <cell r="T25">
            <v>0.5</v>
          </cell>
        </row>
        <row r="26">
          <cell r="B26" t="str">
            <v>BuiltUp%TYP</v>
          </cell>
          <cell r="C26">
            <v>0.85</v>
          </cell>
          <cell r="D26">
            <v>0.35</v>
          </cell>
          <cell r="E26">
            <v>2.9006395725036469E-2</v>
          </cell>
          <cell r="F26">
            <v>3.9164397027771525E-2</v>
          </cell>
          <cell r="G26">
            <v>0.25776672816535129</v>
          </cell>
          <cell r="H26">
            <v>2.7574670878248778E-2</v>
          </cell>
          <cell r="I26">
            <v>0.10146503328904084</v>
          </cell>
          <cell r="J26">
            <v>0.29515325476216947</v>
          </cell>
          <cell r="K26">
            <v>0.77756785592800526</v>
          </cell>
          <cell r="L26">
            <v>0.13082984106717208</v>
          </cell>
          <cell r="M26">
            <v>7.1447125331852143E-2</v>
          </cell>
          <cell r="N26">
            <v>0</v>
          </cell>
          <cell r="O26">
            <v>2.3525905182962954E-2</v>
          </cell>
          <cell r="P26">
            <v>7.934694377848886E-2</v>
          </cell>
          <cell r="Q26">
            <v>0.85339696790936803</v>
          </cell>
          <cell r="R26">
            <v>7.6228114216259218E-2</v>
          </cell>
          <cell r="S26">
            <v>0.16854152512418574</v>
          </cell>
          <cell r="T26">
            <v>0.20051702037858005</v>
          </cell>
          <cell r="U26" t="str">
            <v>Use for Com-EM</v>
          </cell>
        </row>
        <row r="27">
          <cell r="B27" t="str">
            <v>BuiltUp%ACT</v>
          </cell>
          <cell r="C27">
            <v>0.52249684792760431</v>
          </cell>
          <cell r="F27">
            <v>6.2181060258327321E-2</v>
          </cell>
          <cell r="J27">
            <v>0.75664862673331257</v>
          </cell>
          <cell r="L27">
            <v>0.10310000000000001</v>
          </cell>
          <cell r="M27">
            <v>0.11560000000000001</v>
          </cell>
          <cell r="O27">
            <v>0.11560000000000001</v>
          </cell>
          <cell r="P27">
            <v>0.32380000000000003</v>
          </cell>
          <cell r="Q27">
            <v>0.83345440239005475</v>
          </cell>
          <cell r="S27">
            <v>0.3</v>
          </cell>
          <cell r="T27">
            <v>0.47130000000000005</v>
          </cell>
        </row>
        <row r="28">
          <cell r="B28" t="str">
            <v>VAV%TYP</v>
          </cell>
          <cell r="C28">
            <v>0.6</v>
          </cell>
          <cell r="D28">
            <v>0.2</v>
          </cell>
          <cell r="E28">
            <v>0</v>
          </cell>
          <cell r="F28">
            <v>0.01</v>
          </cell>
          <cell r="G28">
            <v>0</v>
          </cell>
          <cell r="H28">
            <v>0</v>
          </cell>
          <cell r="I28">
            <v>0</v>
          </cell>
          <cell r="J28">
            <v>0.25</v>
          </cell>
          <cell r="K28">
            <v>0.4</v>
          </cell>
          <cell r="L28">
            <v>0</v>
          </cell>
          <cell r="M28">
            <v>0</v>
          </cell>
          <cell r="N28">
            <v>0</v>
          </cell>
          <cell r="O28">
            <v>0</v>
          </cell>
          <cell r="P28">
            <v>0</v>
          </cell>
          <cell r="Q28">
            <v>0.5</v>
          </cell>
          <cell r="R28">
            <v>0.4</v>
          </cell>
          <cell r="S28">
            <v>0.1</v>
          </cell>
          <cell r="T28">
            <v>0.3</v>
          </cell>
        </row>
        <row r="29">
          <cell r="B29" t="str">
            <v>VAV%ACT</v>
          </cell>
          <cell r="C29">
            <v>0.34868166674859297</v>
          </cell>
          <cell r="F29">
            <v>2.3808219851502894E-3</v>
          </cell>
          <cell r="J29">
            <v>0.30214896654996692</v>
          </cell>
          <cell r="L29">
            <v>0</v>
          </cell>
          <cell r="M29">
            <v>0</v>
          </cell>
          <cell r="O29">
            <v>0</v>
          </cell>
          <cell r="P29">
            <v>0</v>
          </cell>
          <cell r="Q29">
            <v>0.42833559096925883</v>
          </cell>
          <cell r="S29">
            <v>0.1</v>
          </cell>
          <cell r="T29">
            <v>0.3</v>
          </cell>
        </row>
        <row r="30">
          <cell r="B30" t="str">
            <v>LSYieldElecHt&amp;AC</v>
          </cell>
          <cell r="C30">
            <v>0.92464156437246825</v>
          </cell>
          <cell r="D30">
            <v>0.92743246202832574</v>
          </cell>
          <cell r="E30">
            <v>0.70313295749949067</v>
          </cell>
          <cell r="F30">
            <v>0.85735615745151994</v>
          </cell>
          <cell r="G30">
            <v>0.70892672045214944</v>
          </cell>
          <cell r="H30">
            <v>0.71863304264352112</v>
          </cell>
          <cell r="I30">
            <v>0.75976868046444901</v>
          </cell>
          <cell r="J30">
            <v>0.61612853517840882</v>
          </cell>
          <cell r="K30">
            <v>0.6725000000000001</v>
          </cell>
          <cell r="L30">
            <v>0.61</v>
          </cell>
          <cell r="M30">
            <v>0.85371835595722523</v>
          </cell>
          <cell r="N30">
            <v>0.72741659807956105</v>
          </cell>
          <cell r="O30">
            <v>0.42999999950248563</v>
          </cell>
          <cell r="P30">
            <v>0.69443885908037739</v>
          </cell>
          <cell r="Q30">
            <v>0.28950000000000004</v>
          </cell>
          <cell r="R30">
            <v>0.68423386600487623</v>
          </cell>
          <cell r="S30">
            <v>0.92029495818919216</v>
          </cell>
          <cell r="T30">
            <v>0.91648952677163908</v>
          </cell>
        </row>
        <row r="31">
          <cell r="B31" t="str">
            <v>LSYieldHtPmpHt&amp;AC</v>
          </cell>
          <cell r="C31">
            <v>1.02</v>
          </cell>
          <cell r="D31">
            <v>1.02</v>
          </cell>
          <cell r="E31">
            <v>0.95500000000000007</v>
          </cell>
          <cell r="F31">
            <v>1.0249999999999999</v>
          </cell>
          <cell r="G31">
            <v>0.96499999999999986</v>
          </cell>
          <cell r="H31">
            <v>0.92500000000000004</v>
          </cell>
          <cell r="I31">
            <v>0.97499999999999987</v>
          </cell>
          <cell r="J31">
            <v>0.8600000000000001</v>
          </cell>
          <cell r="K31">
            <v>0.95500000000000007</v>
          </cell>
          <cell r="L31">
            <v>0.80499999999999994</v>
          </cell>
          <cell r="M31">
            <v>0.9700000000000002</v>
          </cell>
          <cell r="N31">
            <v>0.94500000000000006</v>
          </cell>
          <cell r="O31">
            <v>0.72500000000000009</v>
          </cell>
          <cell r="P31">
            <v>0.90000000000000013</v>
          </cell>
          <cell r="Q31">
            <v>0.64999999999999991</v>
          </cell>
          <cell r="R31">
            <v>0.90000000000000013</v>
          </cell>
          <cell r="S31">
            <v>1.02</v>
          </cell>
          <cell r="T31">
            <v>1.02</v>
          </cell>
        </row>
        <row r="32">
          <cell r="B32" t="str">
            <v>LSYieldGasHt&amp;AC</v>
          </cell>
          <cell r="C32">
            <v>1.0878415643724679</v>
          </cell>
          <cell r="D32">
            <v>1.0906324620283256</v>
          </cell>
          <cell r="E32">
            <v>1.1292662908328239</v>
          </cell>
          <cell r="F32">
            <v>1.15655615745152</v>
          </cell>
          <cell r="G32">
            <v>1.0987933871188158</v>
          </cell>
          <cell r="H32">
            <v>1.0722330426435214</v>
          </cell>
          <cell r="I32">
            <v>1.0408353471311158</v>
          </cell>
          <cell r="J32">
            <v>1.051328535178409</v>
          </cell>
          <cell r="K32">
            <v>1.0986333333333334</v>
          </cell>
          <cell r="L32">
            <v>0.96360000000000001</v>
          </cell>
          <cell r="M32">
            <v>1.0531850226238919</v>
          </cell>
          <cell r="N32">
            <v>1.0810165980795612</v>
          </cell>
          <cell r="O32">
            <v>0.96493333283581861</v>
          </cell>
          <cell r="P32">
            <v>1.0571055257470443</v>
          </cell>
          <cell r="Q32">
            <v>0.94230000000000003</v>
          </cell>
          <cell r="R32">
            <v>1.0469005326715428</v>
          </cell>
          <cell r="S32">
            <v>1.0834949581891919</v>
          </cell>
          <cell r="T32">
            <v>1.0796895267716389</v>
          </cell>
        </row>
        <row r="33">
          <cell r="B33" t="str">
            <v>LSYieldElecHt</v>
          </cell>
          <cell r="C33">
            <v>0.82000000000000006</v>
          </cell>
          <cell r="D33">
            <v>0.82000000000000006</v>
          </cell>
          <cell r="E33">
            <v>0.53</v>
          </cell>
          <cell r="F33">
            <v>0.66999999999999993</v>
          </cell>
          <cell r="G33">
            <v>0.57000000000000006</v>
          </cell>
          <cell r="H33">
            <v>0.61</v>
          </cell>
          <cell r="I33">
            <v>0.69</v>
          </cell>
          <cell r="J33">
            <v>0.52</v>
          </cell>
          <cell r="K33">
            <v>0.53</v>
          </cell>
          <cell r="L33">
            <v>0.61</v>
          </cell>
          <cell r="M33">
            <v>0.78</v>
          </cell>
          <cell r="N33">
            <v>0.61</v>
          </cell>
          <cell r="O33">
            <v>0.41000000000000003</v>
          </cell>
          <cell r="P33">
            <v>0.6</v>
          </cell>
          <cell r="Q33">
            <v>0.28000000000000003</v>
          </cell>
          <cell r="R33">
            <v>0.6</v>
          </cell>
          <cell r="S33">
            <v>0.82000000000000006</v>
          </cell>
          <cell r="T33">
            <v>0.82000000000000006</v>
          </cell>
        </row>
        <row r="34">
          <cell r="B34" t="str">
            <v>LSYieldGasHt</v>
          </cell>
          <cell r="C34">
            <v>0.98319999999999996</v>
          </cell>
          <cell r="D34">
            <v>0.98319999999999996</v>
          </cell>
          <cell r="E34">
            <v>0.95613333333333328</v>
          </cell>
          <cell r="F34">
            <v>0.96919999999999995</v>
          </cell>
          <cell r="G34">
            <v>0.95986666666666665</v>
          </cell>
          <cell r="H34">
            <v>0.96360000000000001</v>
          </cell>
          <cell r="I34">
            <v>0.97106666666666663</v>
          </cell>
          <cell r="J34">
            <v>0.95520000000000005</v>
          </cell>
          <cell r="K34">
            <v>0.95613333333333328</v>
          </cell>
          <cell r="L34">
            <v>0.96360000000000001</v>
          </cell>
          <cell r="M34">
            <v>0.97946666666666671</v>
          </cell>
          <cell r="N34">
            <v>0.96360000000000001</v>
          </cell>
          <cell r="O34">
            <v>0.94493333333333329</v>
          </cell>
          <cell r="P34">
            <v>0.96266666666666667</v>
          </cell>
          <cell r="Q34">
            <v>0.93279999999999996</v>
          </cell>
          <cell r="R34">
            <v>0.96266666666666667</v>
          </cell>
          <cell r="S34">
            <v>0.98319999999999996</v>
          </cell>
          <cell r="T34">
            <v>0.98319999999999996</v>
          </cell>
        </row>
        <row r="35">
          <cell r="B35" t="str">
            <v>LSYieldThermsGasHt</v>
          </cell>
          <cell r="C35">
            <v>-8.1887999999999996E-3</v>
          </cell>
          <cell r="D35">
            <v>-8.1887999999999996E-3</v>
          </cell>
          <cell r="E35">
            <v>-2.1381866666666666E-2</v>
          </cell>
          <cell r="F35">
            <v>-1.50128E-2</v>
          </cell>
          <cell r="G35">
            <v>-1.9562133333333332E-2</v>
          </cell>
          <cell r="H35">
            <v>-1.7742399999999998E-2</v>
          </cell>
          <cell r="I35">
            <v>-1.4102933333333333E-2</v>
          </cell>
          <cell r="J35">
            <v>-2.18368E-2</v>
          </cell>
          <cell r="K35">
            <v>-2.1381866666666666E-2</v>
          </cell>
          <cell r="L35">
            <v>-1.7742399999999998E-2</v>
          </cell>
          <cell r="M35">
            <v>-1.0008533333333333E-2</v>
          </cell>
          <cell r="N35">
            <v>-1.7742399999999998E-2</v>
          </cell>
          <cell r="O35">
            <v>-2.6841066666666667E-2</v>
          </cell>
          <cell r="P35">
            <v>-1.8197333333333333E-2</v>
          </cell>
          <cell r="Q35">
            <v>-3.2755199999999998E-2</v>
          </cell>
          <cell r="R35">
            <v>-1.8197333333333333E-2</v>
          </cell>
          <cell r="S35">
            <v>-8.1887999999999996E-3</v>
          </cell>
          <cell r="T35">
            <v>-8.1887999999999996E-3</v>
          </cell>
        </row>
        <row r="36">
          <cell r="B36" t="str">
            <v>LSYieldThermsGasHt&amp;AC</v>
          </cell>
          <cell r="C36">
            <v>-8.1887999999999996E-3</v>
          </cell>
          <cell r="D36">
            <v>-8.1887999999999996E-3</v>
          </cell>
          <cell r="E36">
            <v>-2.1381866666666666E-2</v>
          </cell>
          <cell r="F36">
            <v>-1.50128E-2</v>
          </cell>
          <cell r="G36">
            <v>-1.9562133333333332E-2</v>
          </cell>
          <cell r="H36">
            <v>-1.7742399999999998E-2</v>
          </cell>
          <cell r="I36">
            <v>-1.4102933333333333E-2</v>
          </cell>
          <cell r="J36">
            <v>-2.18368E-2</v>
          </cell>
          <cell r="K36">
            <v>-2.1381866666666666E-2</v>
          </cell>
          <cell r="L36">
            <v>-1.7742399999999998E-2</v>
          </cell>
          <cell r="M36">
            <v>-1.0008533333333333E-2</v>
          </cell>
          <cell r="N36">
            <v>-1.7742399999999998E-2</v>
          </cell>
          <cell r="O36">
            <v>-2.6841066666666667E-2</v>
          </cell>
          <cell r="P36">
            <v>-1.8197333333333333E-2</v>
          </cell>
          <cell r="Q36">
            <v>-3.2755199999999998E-2</v>
          </cell>
          <cell r="R36">
            <v>-1.8197333333333333E-2</v>
          </cell>
          <cell r="S36">
            <v>-8.1887999999999996E-3</v>
          </cell>
          <cell r="T36">
            <v>-8.1887999999999996E-3</v>
          </cell>
        </row>
        <row r="37">
          <cell r="B37" t="str">
            <v>LPDAdjust</v>
          </cell>
          <cell r="C37">
            <v>1</v>
          </cell>
          <cell r="D37">
            <v>1</v>
          </cell>
          <cell r="E37">
            <v>1</v>
          </cell>
          <cell r="F37">
            <v>1</v>
          </cell>
          <cell r="G37">
            <v>1</v>
          </cell>
          <cell r="H37">
            <v>1</v>
          </cell>
          <cell r="I37">
            <v>1</v>
          </cell>
          <cell r="J37">
            <v>1</v>
          </cell>
          <cell r="K37">
            <v>1</v>
          </cell>
          <cell r="L37">
            <v>1</v>
          </cell>
          <cell r="M37">
            <v>1</v>
          </cell>
          <cell r="N37">
            <v>1</v>
          </cell>
          <cell r="O37">
            <v>1</v>
          </cell>
          <cell r="P37">
            <v>1</v>
          </cell>
          <cell r="Q37">
            <v>1</v>
          </cell>
          <cell r="R37">
            <v>1</v>
          </cell>
          <cell r="S37">
            <v>1</v>
          </cell>
          <cell r="T37">
            <v>1</v>
          </cell>
        </row>
        <row r="38">
          <cell r="B38" t="str">
            <v>Chiller%TYP</v>
          </cell>
          <cell r="C38">
            <v>0.6</v>
          </cell>
          <cell r="D38">
            <v>0.1</v>
          </cell>
          <cell r="E38">
            <v>0</v>
          </cell>
          <cell r="F38">
            <v>0.05</v>
          </cell>
          <cell r="G38">
            <v>0</v>
          </cell>
          <cell r="H38">
            <v>0</v>
          </cell>
          <cell r="I38">
            <v>0.4</v>
          </cell>
          <cell r="J38">
            <v>0.4</v>
          </cell>
          <cell r="K38">
            <v>0.6</v>
          </cell>
          <cell r="L38">
            <v>0.03</v>
          </cell>
          <cell r="M38">
            <v>0</v>
          </cell>
          <cell r="N38">
            <v>0</v>
          </cell>
          <cell r="O38">
            <v>0</v>
          </cell>
          <cell r="P38">
            <v>0.15</v>
          </cell>
          <cell r="Q38">
            <v>0.75</v>
          </cell>
          <cell r="R38">
            <v>0.2</v>
          </cell>
          <cell r="S38">
            <v>0.1</v>
          </cell>
          <cell r="T38">
            <v>0.3</v>
          </cell>
        </row>
        <row r="39">
          <cell r="B39" t="str">
            <v>HOURSLght</v>
          </cell>
          <cell r="C39">
            <v>3300</v>
          </cell>
          <cell r="D39">
            <v>2800</v>
          </cell>
          <cell r="E39">
            <v>2600</v>
          </cell>
          <cell r="F39">
            <v>6200</v>
          </cell>
          <cell r="G39">
            <v>3800</v>
          </cell>
          <cell r="H39">
            <v>3800</v>
          </cell>
          <cell r="I39">
            <v>2800</v>
          </cell>
          <cell r="J39">
            <v>2700</v>
          </cell>
          <cell r="K39">
            <v>3600</v>
          </cell>
          <cell r="L39">
            <v>2700</v>
          </cell>
          <cell r="M39">
            <v>7300</v>
          </cell>
          <cell r="N39">
            <v>6800</v>
          </cell>
          <cell r="O39">
            <v>5400</v>
          </cell>
          <cell r="P39">
            <v>3000</v>
          </cell>
          <cell r="Q39">
            <v>6400</v>
          </cell>
          <cell r="R39">
            <v>5700</v>
          </cell>
          <cell r="S39">
            <v>3000</v>
          </cell>
          <cell r="T39">
            <v>4100</v>
          </cell>
        </row>
        <row r="40">
          <cell r="B40" t="str">
            <v>UnCondArea%TYP</v>
          </cell>
          <cell r="C40">
            <v>0.12</v>
          </cell>
          <cell r="D40">
            <v>7.0000000000000007E-2</v>
          </cell>
          <cell r="E40">
            <v>0.05</v>
          </cell>
          <cell r="F40">
            <v>0.03</v>
          </cell>
          <cell r="G40">
            <v>0.13</v>
          </cell>
          <cell r="H40">
            <v>0.1</v>
          </cell>
          <cell r="I40">
            <v>0.12</v>
          </cell>
          <cell r="J40">
            <v>0.01</v>
          </cell>
          <cell r="K40">
            <v>0.1</v>
          </cell>
          <cell r="L40">
            <v>0.31</v>
          </cell>
          <cell r="M40">
            <v>0.04</v>
          </cell>
          <cell r="N40">
            <v>0.04</v>
          </cell>
          <cell r="O40">
            <v>0.13</v>
          </cell>
          <cell r="P40">
            <v>0.05</v>
          </cell>
          <cell r="Q40">
            <v>0.12</v>
          </cell>
          <cell r="R40">
            <v>0.03</v>
          </cell>
          <cell r="S40">
            <v>0.15</v>
          </cell>
          <cell r="T40">
            <v>0.15</v>
          </cell>
        </row>
        <row r="41">
          <cell r="B41" t="str">
            <v>RTEcono%TYP</v>
          </cell>
          <cell r="C41">
            <v>1</v>
          </cell>
          <cell r="D41">
            <v>1</v>
          </cell>
          <cell r="E41">
            <v>0.77500000000000002</v>
          </cell>
          <cell r="F41">
            <v>1</v>
          </cell>
          <cell r="G41">
            <v>0.77500000000000002</v>
          </cell>
          <cell r="H41">
            <v>0.95</v>
          </cell>
          <cell r="I41">
            <v>0.82499999999999996</v>
          </cell>
          <cell r="J41">
            <v>1</v>
          </cell>
          <cell r="K41">
            <v>1</v>
          </cell>
          <cell r="L41">
            <v>0.72500000000000009</v>
          </cell>
          <cell r="M41">
            <v>0.85</v>
          </cell>
          <cell r="N41">
            <v>0.85</v>
          </cell>
          <cell r="O41">
            <v>0.85</v>
          </cell>
          <cell r="P41">
            <v>0.85</v>
          </cell>
          <cell r="Q41">
            <v>1</v>
          </cell>
          <cell r="R41">
            <v>0.85</v>
          </cell>
          <cell r="S41">
            <v>0.6</v>
          </cell>
          <cell r="T41">
            <v>0.6</v>
          </cell>
        </row>
        <row r="42">
          <cell r="B42" t="str">
            <v>FloorA%PRE2002</v>
          </cell>
          <cell r="C42">
            <v>0</v>
          </cell>
          <cell r="D42">
            <v>0</v>
          </cell>
          <cell r="E42">
            <v>0</v>
          </cell>
          <cell r="F42">
            <v>0</v>
          </cell>
          <cell r="G42">
            <v>0</v>
          </cell>
          <cell r="H42">
            <v>0</v>
          </cell>
          <cell r="I42">
            <v>0</v>
          </cell>
          <cell r="J42">
            <v>0</v>
          </cell>
          <cell r="K42">
            <v>0</v>
          </cell>
          <cell r="L42">
            <v>0</v>
          </cell>
          <cell r="M42">
            <v>0</v>
          </cell>
          <cell r="N42">
            <v>0</v>
          </cell>
          <cell r="O42">
            <v>0</v>
          </cell>
          <cell r="P42">
            <v>0</v>
          </cell>
          <cell r="Q42">
            <v>0</v>
          </cell>
          <cell r="R42">
            <v>0</v>
          </cell>
          <cell r="S42">
            <v>0</v>
          </cell>
          <cell r="T42">
            <v>0</v>
          </cell>
        </row>
        <row r="43">
          <cell r="B43" t="str">
            <v>FloorA%PRE2006</v>
          </cell>
          <cell r="C43">
            <v>0</v>
          </cell>
          <cell r="D43">
            <v>0</v>
          </cell>
          <cell r="E43">
            <v>0</v>
          </cell>
          <cell r="F43">
            <v>0</v>
          </cell>
          <cell r="G43">
            <v>0</v>
          </cell>
          <cell r="H43">
            <v>0</v>
          </cell>
          <cell r="I43">
            <v>0</v>
          </cell>
          <cell r="J43">
            <v>0</v>
          </cell>
          <cell r="K43">
            <v>0</v>
          </cell>
          <cell r="L43">
            <v>0</v>
          </cell>
          <cell r="M43">
            <v>0</v>
          </cell>
          <cell r="N43">
            <v>0</v>
          </cell>
          <cell r="O43">
            <v>0</v>
          </cell>
          <cell r="P43">
            <v>0</v>
          </cell>
          <cell r="Q43">
            <v>0</v>
          </cell>
          <cell r="R43">
            <v>0</v>
          </cell>
          <cell r="S43">
            <v>0</v>
          </cell>
          <cell r="T43">
            <v>0</v>
          </cell>
        </row>
        <row r="44">
          <cell r="B44" t="str">
            <v>ElecHtComplex%TYP</v>
          </cell>
          <cell r="C44">
            <v>0.61680000000000001</v>
          </cell>
          <cell r="D44">
            <v>0.61680000000000001</v>
          </cell>
          <cell r="E44">
            <v>0.61680000000000001</v>
          </cell>
          <cell r="F44">
            <v>0.84279999999999999</v>
          </cell>
          <cell r="G44">
            <v>3.7900000000000003E-2</v>
          </cell>
          <cell r="H44">
            <v>3.7900000000000003E-2</v>
          </cell>
          <cell r="I44">
            <v>3.7900000000000003E-2</v>
          </cell>
          <cell r="J44">
            <v>6.0999999999999995E-3</v>
          </cell>
          <cell r="K44">
            <v>0.1794</v>
          </cell>
          <cell r="L44">
            <v>0.37840000000000001</v>
          </cell>
          <cell r="M44">
            <v>5.3399999999999996E-2</v>
          </cell>
          <cell r="N44">
            <v>5.3399999999999996E-2</v>
          </cell>
          <cell r="O44">
            <v>5.3399999999999996E-2</v>
          </cell>
          <cell r="P44">
            <v>7.7000000000000002E-3</v>
          </cell>
          <cell r="Q44">
            <v>8.1099999999999992E-2</v>
          </cell>
          <cell r="R44">
            <v>0.35409999999999997</v>
          </cell>
          <cell r="S44">
            <v>0.05</v>
          </cell>
          <cell r="T44">
            <v>0.31140000000000001</v>
          </cell>
        </row>
        <row r="45">
          <cell r="B45" t="str">
            <v>GasHtComplex%TYP</v>
          </cell>
          <cell r="C45">
            <v>0.25319999999999998</v>
          </cell>
          <cell r="D45">
            <v>0.25319999999999998</v>
          </cell>
          <cell r="E45">
            <v>0.25319999999999998</v>
          </cell>
          <cell r="F45">
            <v>0.15720000000000001</v>
          </cell>
          <cell r="G45">
            <v>0.31929999999999997</v>
          </cell>
          <cell r="H45">
            <v>0.31929999999999997</v>
          </cell>
          <cell r="I45">
            <v>0.31929999999999997</v>
          </cell>
          <cell r="J45">
            <v>0.83329999999999993</v>
          </cell>
          <cell r="K45">
            <v>0.82069999999999999</v>
          </cell>
          <cell r="L45">
            <v>0.62159999999999993</v>
          </cell>
          <cell r="M45">
            <v>0.9466</v>
          </cell>
          <cell r="N45">
            <v>0.9466</v>
          </cell>
          <cell r="O45">
            <v>0.9466</v>
          </cell>
          <cell r="P45">
            <v>0.56859999999999999</v>
          </cell>
          <cell r="Q45">
            <v>0.91890000000000005</v>
          </cell>
          <cell r="R45">
            <v>0.57330000000000003</v>
          </cell>
          <cell r="S45">
            <v>0.55000000000000004</v>
          </cell>
          <cell r="T45">
            <v>0.67430000000000001</v>
          </cell>
        </row>
        <row r="46">
          <cell r="B46" t="str">
            <v>HtPmpHtComplex%TYP</v>
          </cell>
          <cell r="C46">
            <v>0.13009999999999999</v>
          </cell>
          <cell r="D46">
            <v>0.13009999999999999</v>
          </cell>
          <cell r="E46">
            <v>0.13009999999999999</v>
          </cell>
          <cell r="F46">
            <v>0</v>
          </cell>
          <cell r="G46">
            <v>0.64280000000000004</v>
          </cell>
          <cell r="H46">
            <v>0.64280000000000004</v>
          </cell>
          <cell r="I46">
            <v>0.64280000000000004</v>
          </cell>
          <cell r="J46">
            <v>0.1605</v>
          </cell>
          <cell r="K46">
            <v>0</v>
          </cell>
          <cell r="L46">
            <v>0</v>
          </cell>
          <cell r="M46">
            <v>0</v>
          </cell>
          <cell r="N46">
            <v>0</v>
          </cell>
          <cell r="O46">
            <v>0</v>
          </cell>
          <cell r="P46">
            <v>0.42380000000000001</v>
          </cell>
          <cell r="Q46">
            <v>0</v>
          </cell>
          <cell r="R46">
            <v>7.2700000000000001E-2</v>
          </cell>
          <cell r="S46">
            <v>0.4</v>
          </cell>
          <cell r="T46">
            <v>1.4199999999999999E-2</v>
          </cell>
        </row>
        <row r="47">
          <cell r="B47" t="str">
            <v>ElecHtSimple%TYP</v>
          </cell>
          <cell r="C47">
            <v>0.05</v>
          </cell>
          <cell r="D47">
            <v>0.05</v>
          </cell>
          <cell r="E47">
            <v>0.05</v>
          </cell>
          <cell r="F47">
            <v>2.53E-2</v>
          </cell>
          <cell r="G47">
            <v>2.4700000000000003E-2</v>
          </cell>
          <cell r="H47">
            <v>2.4700000000000003E-2</v>
          </cell>
          <cell r="I47">
            <v>2.4700000000000003E-2</v>
          </cell>
          <cell r="J47">
            <v>2.41E-2</v>
          </cell>
          <cell r="K47">
            <v>0.18960000000000002</v>
          </cell>
          <cell r="L47">
            <v>0.1013</v>
          </cell>
          <cell r="M47">
            <v>1.03E-2</v>
          </cell>
          <cell r="N47">
            <v>1.03E-2</v>
          </cell>
          <cell r="O47">
            <v>1.03E-2</v>
          </cell>
          <cell r="P47">
            <v>0.37490000000000001</v>
          </cell>
          <cell r="Q47">
            <v>0.18149999999999999</v>
          </cell>
          <cell r="R47">
            <v>5.6999999999999993E-3</v>
          </cell>
          <cell r="S47">
            <v>0.1</v>
          </cell>
          <cell r="T47">
            <v>8.3400000000000002E-2</v>
          </cell>
        </row>
        <row r="48">
          <cell r="B48" t="str">
            <v>GasHtSimple%TYP</v>
          </cell>
          <cell r="C48">
            <v>0.85</v>
          </cell>
          <cell r="D48">
            <v>0.85</v>
          </cell>
          <cell r="E48">
            <v>0.85</v>
          </cell>
          <cell r="F48">
            <v>0.96689999999999998</v>
          </cell>
          <cell r="G48">
            <v>0.83260000000000001</v>
          </cell>
          <cell r="H48">
            <v>0.83260000000000001</v>
          </cell>
          <cell r="I48">
            <v>0.83260000000000001</v>
          </cell>
          <cell r="J48">
            <v>0.92970000000000008</v>
          </cell>
          <cell r="K48">
            <v>0.73620000000000008</v>
          </cell>
          <cell r="L48">
            <v>0.86060000000000003</v>
          </cell>
          <cell r="M48">
            <v>0.98720000000000008</v>
          </cell>
          <cell r="N48">
            <v>0.98720000000000008</v>
          </cell>
          <cell r="O48">
            <v>0.98720000000000008</v>
          </cell>
          <cell r="P48">
            <v>0.37859999999999994</v>
          </cell>
          <cell r="Q48">
            <v>0.78300000000000003</v>
          </cell>
          <cell r="R48">
            <v>0.99429999999999996</v>
          </cell>
          <cell r="S48">
            <v>0.8</v>
          </cell>
          <cell r="T48">
            <v>0.85329999999999995</v>
          </cell>
        </row>
        <row r="49">
          <cell r="B49" t="str">
            <v>HtPmpHtSimple%TYP</v>
          </cell>
          <cell r="C49">
            <v>0.1</v>
          </cell>
          <cell r="D49">
            <v>0.1</v>
          </cell>
          <cell r="E49">
            <v>0.1</v>
          </cell>
          <cell r="F49">
            <v>7.8000000000000005E-3</v>
          </cell>
          <cell r="G49">
            <v>0.14269999999999999</v>
          </cell>
          <cell r="H49">
            <v>0.14269999999999999</v>
          </cell>
          <cell r="I49">
            <v>0.14269999999999999</v>
          </cell>
          <cell r="J49">
            <v>4.6199999999999998E-2</v>
          </cell>
          <cell r="K49">
            <v>7.4200000000000002E-2</v>
          </cell>
          <cell r="L49">
            <v>3.8100000000000002E-2</v>
          </cell>
          <cell r="M49">
            <v>2.5000000000000001E-3</v>
          </cell>
          <cell r="N49">
            <v>2.5000000000000001E-3</v>
          </cell>
          <cell r="O49">
            <v>2.5000000000000001E-3</v>
          </cell>
          <cell r="P49">
            <v>0.24660000000000001</v>
          </cell>
          <cell r="Q49">
            <v>3.5400000000000001E-2</v>
          </cell>
          <cell r="R49">
            <v>0</v>
          </cell>
          <cell r="S49">
            <v>0.1</v>
          </cell>
          <cell r="T49">
            <v>6.3200000000000006E-2</v>
          </cell>
        </row>
        <row r="50">
          <cell r="B50" t="str">
            <v>ChillerAir%TYP</v>
          </cell>
          <cell r="C50">
            <v>0.5</v>
          </cell>
          <cell r="D50">
            <v>0.8</v>
          </cell>
          <cell r="E50">
            <v>0.8</v>
          </cell>
          <cell r="F50">
            <v>0.8</v>
          </cell>
          <cell r="G50">
            <v>0.8</v>
          </cell>
          <cell r="H50">
            <v>0.8</v>
          </cell>
          <cell r="I50">
            <v>0.8</v>
          </cell>
          <cell r="J50">
            <v>0.8</v>
          </cell>
          <cell r="K50">
            <v>0.8</v>
          </cell>
          <cell r="L50">
            <v>0.9</v>
          </cell>
          <cell r="M50">
            <v>1</v>
          </cell>
          <cell r="N50">
            <v>1</v>
          </cell>
          <cell r="O50">
            <v>1</v>
          </cell>
          <cell r="P50">
            <v>0.2</v>
          </cell>
          <cell r="Q50">
            <v>0.2</v>
          </cell>
          <cell r="R50">
            <v>0.6</v>
          </cell>
          <cell r="S50">
            <v>0.6</v>
          </cell>
          <cell r="T50">
            <v>0.2</v>
          </cell>
        </row>
        <row r="51">
          <cell r="B51" t="str">
            <v>ChillerWater%TYP</v>
          </cell>
          <cell r="C51">
            <v>0.5</v>
          </cell>
          <cell r="D51">
            <v>0.2</v>
          </cell>
          <cell r="E51">
            <v>0.2</v>
          </cell>
          <cell r="F51">
            <v>0.2</v>
          </cell>
          <cell r="G51">
            <v>0.2</v>
          </cell>
          <cell r="H51">
            <v>0.2</v>
          </cell>
          <cell r="I51">
            <v>0.2</v>
          </cell>
          <cell r="J51">
            <v>0.2</v>
          </cell>
          <cell r="K51">
            <v>0.2</v>
          </cell>
          <cell r="L51">
            <v>0.1</v>
          </cell>
          <cell r="M51">
            <v>0</v>
          </cell>
          <cell r="N51">
            <v>0</v>
          </cell>
          <cell r="O51">
            <v>0</v>
          </cell>
          <cell r="P51">
            <v>0.8</v>
          </cell>
          <cell r="Q51">
            <v>0.8</v>
          </cell>
          <cell r="R51">
            <v>0.4</v>
          </cell>
          <cell r="S51">
            <v>0.4</v>
          </cell>
          <cell r="T51">
            <v>0.8</v>
          </cell>
        </row>
        <row r="52">
          <cell r="B52" t="str">
            <v>WinFloorRatio%TYP</v>
          </cell>
          <cell r="C52">
            <v>0.16</v>
          </cell>
          <cell r="D52">
            <v>0.16</v>
          </cell>
          <cell r="E52">
            <v>0.16</v>
          </cell>
          <cell r="F52">
            <v>0.02</v>
          </cell>
          <cell r="G52">
            <v>0.16</v>
          </cell>
          <cell r="H52">
            <v>0.16</v>
          </cell>
          <cell r="I52">
            <v>0.04</v>
          </cell>
          <cell r="J52">
            <v>7.0000000000000007E-2</v>
          </cell>
          <cell r="K52">
            <v>0.12</v>
          </cell>
          <cell r="L52">
            <v>0.03</v>
          </cell>
          <cell r="M52">
            <v>0.04</v>
          </cell>
          <cell r="N52">
            <v>0.15</v>
          </cell>
          <cell r="O52">
            <v>0.18</v>
          </cell>
          <cell r="P52">
            <v>0.11</v>
          </cell>
          <cell r="Q52">
            <v>0.11</v>
          </cell>
          <cell r="R52">
            <v>0.12</v>
          </cell>
          <cell r="S52">
            <v>0.08</v>
          </cell>
          <cell r="T52">
            <v>0.1</v>
          </cell>
        </row>
        <row r="56">
          <cell r="B56" t="str">
            <v>CoolSat%TYP</v>
          </cell>
          <cell r="C56">
            <v>0.82</v>
          </cell>
          <cell r="D56">
            <v>0.9</v>
          </cell>
          <cell r="E56">
            <v>0.95</v>
          </cell>
          <cell r="F56">
            <v>0.88</v>
          </cell>
          <cell r="G56">
            <v>0.88</v>
          </cell>
          <cell r="H56">
            <v>0.88</v>
          </cell>
          <cell r="I56">
            <v>0.88</v>
          </cell>
          <cell r="J56">
            <v>0.83</v>
          </cell>
          <cell r="K56">
            <v>0.75</v>
          </cell>
          <cell r="L56">
            <v>0.24</v>
          </cell>
          <cell r="M56">
            <v>0.94</v>
          </cell>
          <cell r="N56">
            <v>0.94</v>
          </cell>
          <cell r="O56">
            <v>1</v>
          </cell>
          <cell r="P56">
            <v>0.88</v>
          </cell>
          <cell r="Q56">
            <v>0.95</v>
          </cell>
          <cell r="R56">
            <v>0.95</v>
          </cell>
          <cell r="S56">
            <v>0.95</v>
          </cell>
          <cell r="T56">
            <v>0.7</v>
          </cell>
        </row>
        <row r="61">
          <cell r="C61" t="str">
            <v>Office</v>
          </cell>
          <cell r="D61" t="str">
            <v>Office</v>
          </cell>
          <cell r="E61" t="str">
            <v>Office</v>
          </cell>
          <cell r="F61" t="str">
            <v>Retail/Service</v>
          </cell>
          <cell r="G61" t="str">
            <v>Retail/Service</v>
          </cell>
          <cell r="H61" t="str">
            <v>Retail/Service</v>
          </cell>
          <cell r="I61" t="str">
            <v>Retail/Service</v>
          </cell>
          <cell r="M61" t="str">
            <v>Grocery</v>
          </cell>
          <cell r="N61" t="str">
            <v>Grocery</v>
          </cell>
          <cell r="Y61" t="str">
            <v>Average of msf.pnw.frac</v>
          </cell>
        </row>
        <row r="62">
          <cell r="B62" t="str">
            <v>_PRE2013</v>
          </cell>
          <cell r="C62" t="str">
            <v>Office</v>
          </cell>
          <cell r="F62" t="str">
            <v>Retail/Service</v>
          </cell>
          <cell r="J62" t="str">
            <v>School</v>
          </cell>
          <cell r="L62" t="str">
            <v>Warehouse</v>
          </cell>
          <cell r="M62" t="str">
            <v>Grocery</v>
          </cell>
          <cell r="O62" t="str">
            <v>Restaurant</v>
          </cell>
          <cell r="P62" t="str">
            <v>Lodging</v>
          </cell>
          <cell r="Q62" t="str">
            <v>Health</v>
          </cell>
          <cell r="S62" t="str">
            <v>Assembly</v>
          </cell>
          <cell r="T62" t="str">
            <v>Other</v>
          </cell>
          <cell r="Y62" t="str">
            <v>Row Labels</v>
          </cell>
        </row>
        <row r="63">
          <cell r="B63" t="str">
            <v>FloorA%ACT</v>
          </cell>
          <cell r="C63">
            <v>0.21925891959556321</v>
          </cell>
          <cell r="F63">
            <v>0.170463671983236</v>
          </cell>
          <cell r="J63">
            <v>0.11027533939050128</v>
          </cell>
          <cell r="L63">
            <v>0.13203580856943528</v>
          </cell>
          <cell r="M63">
            <v>2.3026138677721724E-2</v>
          </cell>
          <cell r="O63">
            <v>1.5835296654172451E-2</v>
          </cell>
          <cell r="P63">
            <v>5.1068065124091046E-2</v>
          </cell>
          <cell r="Q63">
            <v>6.8347557000163706E-2</v>
          </cell>
          <cell r="S63">
            <v>0.11013494038183547</v>
          </cell>
          <cell r="T63">
            <v>9.9554262623279946E-2</v>
          </cell>
          <cell r="Y63" t="str">
            <v>Assembly</v>
          </cell>
        </row>
        <row r="64">
          <cell r="B64" t="str">
            <v>_PRE2013</v>
          </cell>
          <cell r="C64" t="str">
            <v>Large Off</v>
          </cell>
          <cell r="D64" t="str">
            <v>Medium Off</v>
          </cell>
          <cell r="E64" t="str">
            <v>Small Off</v>
          </cell>
          <cell r="F64" t="str">
            <v>Xlarge Ret</v>
          </cell>
          <cell r="G64" t="str">
            <v>Large Ret</v>
          </cell>
          <cell r="H64" t="str">
            <v>Medium Ret</v>
          </cell>
          <cell r="I64" t="str">
            <v>Small Ret</v>
          </cell>
          <cell r="J64" t="str">
            <v>School K-12</v>
          </cell>
          <cell r="K64" t="str">
            <v>University</v>
          </cell>
          <cell r="L64" t="str">
            <v>Warehouse</v>
          </cell>
          <cell r="M64" t="str">
            <v>Supermarket</v>
          </cell>
          <cell r="N64" t="str">
            <v>MiniMart</v>
          </cell>
          <cell r="O64" t="str">
            <v>Restaurant</v>
          </cell>
          <cell r="P64" t="str">
            <v>Lodging</v>
          </cell>
          <cell r="Q64" t="str">
            <v>Hospital</v>
          </cell>
          <cell r="R64" t="str">
            <v>Residential Care</v>
          </cell>
          <cell r="S64" t="str">
            <v>Assembly</v>
          </cell>
          <cell r="T64" t="str">
            <v>Other</v>
          </cell>
          <cell r="Y64" t="str">
            <v>Food</v>
          </cell>
        </row>
        <row r="65">
          <cell r="B65" t="str">
            <v>FloorA%TYP</v>
          </cell>
          <cell r="C65">
            <v>0.43937391922213881</v>
          </cell>
          <cell r="D65">
            <v>0.43063730719145626</v>
          </cell>
          <cell r="E65">
            <v>0.12998877358640493</v>
          </cell>
          <cell r="F65">
            <v>0.23462323739305441</v>
          </cell>
          <cell r="G65">
            <v>5.5262096022427078E-2</v>
          </cell>
          <cell r="H65">
            <v>0.60637878991755256</v>
          </cell>
          <cell r="I65">
            <v>0.10373587666696588</v>
          </cell>
          <cell r="J65">
            <v>0.66429751499430445</v>
          </cell>
          <cell r="K65">
            <v>0.33570248500569549</v>
          </cell>
          <cell r="L65">
            <v>1</v>
          </cell>
          <cell r="M65">
            <v>0.84840559081310307</v>
          </cell>
          <cell r="N65">
            <v>0.15159440918689687</v>
          </cell>
          <cell r="O65">
            <v>1</v>
          </cell>
          <cell r="P65">
            <v>1</v>
          </cell>
          <cell r="Q65">
            <v>1</v>
          </cell>
          <cell r="R65">
            <v>1</v>
          </cell>
          <cell r="S65">
            <v>1</v>
          </cell>
          <cell r="T65">
            <v>1</v>
          </cell>
          <cell r="Y65" t="str">
            <v>Service</v>
          </cell>
        </row>
        <row r="66">
          <cell r="B66" t="str">
            <v>FloorA%REG</v>
          </cell>
          <cell r="C66">
            <v>9.6336650827114415E-2</v>
          </cell>
          <cell r="D66">
            <v>9.4421070712341362E-2</v>
          </cell>
          <cell r="E66">
            <v>2.8501198056107426E-2</v>
          </cell>
          <cell r="F66">
            <v>3.999473857861454E-2</v>
          </cell>
          <cell r="G66">
            <v>9.4201798094731004E-3</v>
          </cell>
          <cell r="H66">
            <v>0.10336555514209726</v>
          </cell>
          <cell r="I66">
            <v>1.7683198453051097E-2</v>
          </cell>
          <cell r="J66">
            <v>7.3255633922263544E-2</v>
          </cell>
          <cell r="K66">
            <v>3.701970546823774E-2</v>
          </cell>
          <cell r="L66">
            <v>0.13203580856943528</v>
          </cell>
          <cell r="M66">
            <v>1.9535504789016944E-2</v>
          </cell>
          <cell r="N66">
            <v>3.4906338887047794E-3</v>
          </cell>
          <cell r="O66">
            <v>1.5835296654172451E-2</v>
          </cell>
          <cell r="P66">
            <v>5.1068065124091046E-2</v>
          </cell>
          <cell r="Q66">
            <v>3.0978070527759683E-2</v>
          </cell>
          <cell r="R66">
            <v>3.7369486472404026E-2</v>
          </cell>
          <cell r="S66">
            <v>0.11013494038183547</v>
          </cell>
          <cell r="T66">
            <v>9.9554262623279946E-2</v>
          </cell>
          <cell r="Y66" t="str">
            <v>Grocery</v>
          </cell>
        </row>
        <row r="67">
          <cell r="B67" t="str">
            <v>ElecHt%TYP</v>
          </cell>
          <cell r="C67">
            <v>0.20943280302167308</v>
          </cell>
          <cell r="D67">
            <v>0.22131165109110185</v>
          </cell>
          <cell r="E67">
            <v>0.30640942705415353</v>
          </cell>
          <cell r="F67">
            <v>5.2995881766435368E-2</v>
          </cell>
          <cell r="G67">
            <v>1.0593107738682607E-2</v>
          </cell>
          <cell r="H67">
            <v>0.12006240959495594</v>
          </cell>
          <cell r="I67">
            <v>0.2732917310450087</v>
          </cell>
          <cell r="J67">
            <v>5.8369343906151915E-2</v>
          </cell>
          <cell r="K67">
            <v>0.1</v>
          </cell>
          <cell r="L67">
            <v>6.3929137015483993E-3</v>
          </cell>
          <cell r="M67">
            <v>3.9182634298973458E-2</v>
          </cell>
          <cell r="N67">
            <v>9.8940421863423066E-3</v>
          </cell>
          <cell r="O67">
            <v>3.0050555941853869E-2</v>
          </cell>
          <cell r="P67">
            <v>0.44679184687802564</v>
          </cell>
          <cell r="Q67">
            <v>0.08</v>
          </cell>
          <cell r="R67">
            <v>0.33985691133471541</v>
          </cell>
          <cell r="S67">
            <v>0.10640191237323121</v>
          </cell>
          <cell r="T67">
            <v>0.16939513747697868</v>
          </cell>
          <cell r="Y67" t="str">
            <v>Lodging</v>
          </cell>
        </row>
        <row r="68">
          <cell r="B68" t="str">
            <v>GasHt%TYP</v>
          </cell>
          <cell r="C68">
            <v>0.54037060186620078</v>
          </cell>
          <cell r="D68">
            <v>0.51430081857580845</v>
          </cell>
          <cell r="E68">
            <v>0.3275419203320854</v>
          </cell>
          <cell r="F68">
            <v>0.91606730000738101</v>
          </cell>
          <cell r="G68">
            <v>0.98322307122393326</v>
          </cell>
          <cell r="H68">
            <v>0.80985008893074606</v>
          </cell>
          <cell r="I68">
            <v>0.56717178566142912</v>
          </cell>
          <cell r="J68">
            <v>0.84777782221188291</v>
          </cell>
          <cell r="K68">
            <v>0.8</v>
          </cell>
          <cell r="L68">
            <v>0.98700382329725422</v>
          </cell>
          <cell r="M68">
            <v>0.46957192737561176</v>
          </cell>
          <cell r="N68">
            <v>0.86606113087441317</v>
          </cell>
          <cell r="O68">
            <v>0.79365284945968273</v>
          </cell>
          <cell r="P68">
            <v>0.24941748529786834</v>
          </cell>
          <cell r="Q68">
            <v>0.91</v>
          </cell>
          <cell r="R68">
            <v>0.40556621261939335</v>
          </cell>
          <cell r="S68">
            <v>0.77815390025512432</v>
          </cell>
          <cell r="T68">
            <v>0.7257160432726234</v>
          </cell>
          <cell r="Y68" t="str">
            <v>Office</v>
          </cell>
        </row>
        <row r="69">
          <cell r="B69" t="str">
            <v>HtPmpHt%TYP</v>
          </cell>
          <cell r="C69">
            <v>0.25019659511212627</v>
          </cell>
          <cell r="D69">
            <v>0.26438753033308959</v>
          </cell>
          <cell r="E69">
            <v>0.36604865261376096</v>
          </cell>
          <cell r="F69">
            <v>3.0936818226183656E-2</v>
          </cell>
          <cell r="G69">
            <v>6.1838210373840949E-3</v>
          </cell>
          <cell r="H69">
            <v>7.0087501474297986E-2</v>
          </cell>
          <cell r="I69">
            <v>0.15953648329356207</v>
          </cell>
          <cell r="J69">
            <v>9.3852833881965178E-2</v>
          </cell>
          <cell r="K69">
            <v>0.1</v>
          </cell>
          <cell r="L69">
            <v>6.6032630011973147E-3</v>
          </cell>
          <cell r="M69">
            <v>6.234756715808213E-2</v>
          </cell>
          <cell r="N69">
            <v>1.5743440192688529E-2</v>
          </cell>
          <cell r="O69">
            <v>0.17629659459846331</v>
          </cell>
          <cell r="P69">
            <v>0.30379066782410608</v>
          </cell>
          <cell r="Q69">
            <v>0.01</v>
          </cell>
          <cell r="R69">
            <v>0.25457687604589124</v>
          </cell>
          <cell r="S69">
            <v>0.11544418737164447</v>
          </cell>
          <cell r="T69">
            <v>0.104888819250398</v>
          </cell>
          <cell r="Y69" t="str">
            <v>Other</v>
          </cell>
        </row>
        <row r="70">
          <cell r="B70" t="str">
            <v>CoolSat%TYP</v>
          </cell>
          <cell r="C70">
            <v>0.76889412716362515</v>
          </cell>
          <cell r="D70">
            <v>0.9156533727398849</v>
          </cell>
          <cell r="E70">
            <v>0.85579006639653332</v>
          </cell>
          <cell r="F70">
            <v>0.95160006380782447</v>
          </cell>
          <cell r="G70">
            <v>0.98526989662125641</v>
          </cell>
          <cell r="H70">
            <v>0.65234151837252696</v>
          </cell>
          <cell r="I70">
            <v>0.66014461756611731</v>
          </cell>
          <cell r="J70">
            <v>0.69618308739231149</v>
          </cell>
          <cell r="K70">
            <v>0.75</v>
          </cell>
          <cell r="L70">
            <v>0.23</v>
          </cell>
          <cell r="M70">
            <v>0.89440943169321674</v>
          </cell>
          <cell r="N70">
            <v>0.91392039395838554</v>
          </cell>
          <cell r="O70">
            <v>0.9581056413122655</v>
          </cell>
          <cell r="P70">
            <v>0.82644591140120194</v>
          </cell>
          <cell r="Q70">
            <v>0.95</v>
          </cell>
          <cell r="R70">
            <v>0.82648440258098632</v>
          </cell>
          <cell r="S70">
            <v>0.77184416415983825</v>
          </cell>
          <cell r="T70">
            <v>0.71310077098671132</v>
          </cell>
          <cell r="Y70" t="str">
            <v>Residential Care</v>
          </cell>
        </row>
        <row r="71">
          <cell r="B71" t="str">
            <v>CoolSat%ACT</v>
          </cell>
          <cell r="C71">
            <v>0.84338963005455969</v>
          </cell>
          <cell r="F71">
            <v>0.74176230846303148</v>
          </cell>
          <cell r="J71">
            <v>0.7142495586900468</v>
          </cell>
          <cell r="L71">
            <v>0.23</v>
          </cell>
          <cell r="M71">
            <v>0.8973671844904727</v>
          </cell>
          <cell r="O71">
            <v>0.96</v>
          </cell>
          <cell r="P71">
            <v>0.88</v>
          </cell>
          <cell r="Q71">
            <v>0.88824220129049314</v>
          </cell>
          <cell r="S71">
            <v>0.77184416415983825</v>
          </cell>
          <cell r="T71">
            <v>0.71310077098671132</v>
          </cell>
          <cell r="Y71" t="str">
            <v>Retail</v>
          </cell>
        </row>
        <row r="72">
          <cell r="B72" t="str">
            <v>PackRT%TYP</v>
          </cell>
          <cell r="C72">
            <v>0.15</v>
          </cell>
          <cell r="D72">
            <v>0.75000000000000011</v>
          </cell>
          <cell r="E72">
            <v>0.95</v>
          </cell>
          <cell r="F72">
            <v>0.90880480523807783</v>
          </cell>
          <cell r="G72">
            <v>0.72388464763320426</v>
          </cell>
          <cell r="H72">
            <v>0.72388464763320426</v>
          </cell>
          <cell r="I72">
            <v>0.21126457727609282</v>
          </cell>
          <cell r="J72">
            <v>0.38624918003188907</v>
          </cell>
          <cell r="K72">
            <v>0.24174716638708693</v>
          </cell>
          <cell r="L72">
            <v>0.31046750131883327</v>
          </cell>
          <cell r="M72">
            <v>0.90000000000000013</v>
          </cell>
          <cell r="N72">
            <v>0.9</v>
          </cell>
          <cell r="O72">
            <v>0.76718515286285394</v>
          </cell>
          <cell r="P72">
            <v>0.41303161997673743</v>
          </cell>
          <cell r="Q72">
            <v>0.10000000000000002</v>
          </cell>
          <cell r="R72">
            <v>0.68523001119875304</v>
          </cell>
          <cell r="S72">
            <v>0.5</v>
          </cell>
          <cell r="T72">
            <v>0.49999999999999994</v>
          </cell>
          <cell r="Y72" t="str">
            <v>School</v>
          </cell>
        </row>
        <row r="73">
          <cell r="B73" t="str">
            <v>PackRT%ACT</v>
          </cell>
          <cell r="C73">
            <v>0.48584254414953354</v>
          </cell>
          <cell r="F73">
            <v>0.63256057960735712</v>
          </cell>
          <cell r="J73">
            <v>0.33750430289294164</v>
          </cell>
          <cell r="L73">
            <v>0.31046750131883327</v>
          </cell>
          <cell r="M73">
            <v>0.90000000000000013</v>
          </cell>
          <cell r="O73">
            <v>0.76718515286285394</v>
          </cell>
          <cell r="P73">
            <v>0.41303161997673743</v>
          </cell>
          <cell r="Q73">
            <v>0.49902981576861571</v>
          </cell>
          <cell r="S73">
            <v>0.5</v>
          </cell>
          <cell r="T73">
            <v>0.49999999999999994</v>
          </cell>
          <cell r="Y73" t="str">
            <v>Warehouse</v>
          </cell>
        </row>
        <row r="74">
          <cell r="B74" t="str">
            <v>BuiltUp%TYP</v>
          </cell>
          <cell r="C74">
            <v>0.63007020528877222</v>
          </cell>
          <cell r="D74">
            <v>9.3963931374592982E-2</v>
          </cell>
          <cell r="E74">
            <v>2.9006395725036469E-2</v>
          </cell>
          <cell r="F74">
            <v>3.9164397027771525E-2</v>
          </cell>
          <cell r="G74">
            <v>0.25776672816535129</v>
          </cell>
          <cell r="H74">
            <v>2.7574670878248778E-2</v>
          </cell>
          <cell r="I74">
            <v>0.10146503328904084</v>
          </cell>
          <cell r="J74">
            <v>0.29515325476216947</v>
          </cell>
          <cell r="K74">
            <v>0.77756785592800526</v>
          </cell>
          <cell r="L74">
            <v>0.13082984106717208</v>
          </cell>
          <cell r="M74">
            <v>7.1447125331852143E-2</v>
          </cell>
          <cell r="N74">
            <v>0</v>
          </cell>
          <cell r="O74">
            <v>2.3525905182962954E-2</v>
          </cell>
          <cell r="P74">
            <v>7.934694377848886E-2</v>
          </cell>
          <cell r="Q74">
            <v>0.85339696790936803</v>
          </cell>
          <cell r="R74">
            <v>7.6228114216259218E-2</v>
          </cell>
          <cell r="S74">
            <v>0.16854152512418574</v>
          </cell>
          <cell r="T74">
            <v>0.20051702037858005</v>
          </cell>
          <cell r="U74" t="str">
            <v>See com-EM workbook</v>
          </cell>
          <cell r="Y74" t="str">
            <v>Grand Total</v>
          </cell>
        </row>
        <row r="75">
          <cell r="B75" t="str">
            <v>BuiltUp%ACT</v>
          </cell>
          <cell r="C75">
            <v>0.32107129566956238</v>
          </cell>
          <cell r="F75">
            <v>5.0679867043271966E-2</v>
          </cell>
          <cell r="J75">
            <v>0.45710103517657202</v>
          </cell>
          <cell r="L75">
            <v>5.6541361272701172E-2</v>
          </cell>
          <cell r="M75">
            <v>8.7372210868686184E-2</v>
          </cell>
          <cell r="O75">
            <v>5.746308592387158E-2</v>
          </cell>
          <cell r="P75">
            <v>0.3949582335084047</v>
          </cell>
          <cell r="Q75">
            <v>0.5613264299674231</v>
          </cell>
          <cell r="S75">
            <v>0.1626109504520151</v>
          </cell>
          <cell r="T75">
            <v>0.43951473469986913</v>
          </cell>
        </row>
        <row r="76">
          <cell r="B76" t="str">
            <v>VAV%TYP</v>
          </cell>
          <cell r="C76">
            <v>0.51262713316969566</v>
          </cell>
          <cell r="D76">
            <v>4.1499660445302379E-2</v>
          </cell>
          <cell r="E76">
            <v>0</v>
          </cell>
          <cell r="F76">
            <v>2.6890823009043455E-2</v>
          </cell>
          <cell r="G76">
            <v>0</v>
          </cell>
          <cell r="H76">
            <v>0</v>
          </cell>
          <cell r="I76">
            <v>0</v>
          </cell>
          <cell r="J76">
            <v>0.10981313781515661</v>
          </cell>
          <cell r="K76">
            <v>0.33</v>
          </cell>
          <cell r="L76">
            <v>0</v>
          </cell>
          <cell r="M76">
            <v>0</v>
          </cell>
          <cell r="N76">
            <v>0</v>
          </cell>
          <cell r="O76">
            <v>0</v>
          </cell>
          <cell r="P76">
            <v>3.1992300477329191E-2</v>
          </cell>
          <cell r="Q76">
            <v>0.33</v>
          </cell>
          <cell r="R76">
            <v>2.5191285207445461E-2</v>
          </cell>
          <cell r="S76">
            <v>0.15375982167586399</v>
          </cell>
          <cell r="T76">
            <v>0.18076091596327465</v>
          </cell>
          <cell r="U76">
            <v>0.13301950033749044</v>
          </cell>
        </row>
        <row r="77">
          <cell r="B77" t="str">
            <v>VAV%ACT</v>
          </cell>
          <cell r="C77">
            <v>0.35</v>
          </cell>
          <cell r="F77">
            <v>0.01</v>
          </cell>
          <cell r="J77">
            <v>0.11</v>
          </cell>
          <cell r="L77">
            <v>0</v>
          </cell>
          <cell r="M77">
            <v>0</v>
          </cell>
          <cell r="O77">
            <v>0</v>
          </cell>
          <cell r="P77">
            <v>0.04</v>
          </cell>
          <cell r="Q77">
            <v>0.21527670664708273</v>
          </cell>
          <cell r="S77">
            <v>0.17</v>
          </cell>
          <cell r="T77">
            <v>0.2</v>
          </cell>
          <cell r="U77" t="str">
            <v>See ECM-VAV workbook</v>
          </cell>
        </row>
        <row r="78">
          <cell r="B78" t="str">
            <v>LSYieldElecHt&amp;AC</v>
          </cell>
          <cell r="C78">
            <v>0.90457835398799891</v>
          </cell>
          <cell r="D78">
            <v>0.92072187100138758</v>
          </cell>
          <cell r="E78">
            <v>0.69260011261534127</v>
          </cell>
          <cell r="F78">
            <v>0.85080401212348655</v>
          </cell>
          <cell r="G78">
            <v>0.74734858139182614</v>
          </cell>
          <cell r="H78">
            <v>0.68828098220470324</v>
          </cell>
          <cell r="I78">
            <v>0.77581880028359507</v>
          </cell>
          <cell r="J78">
            <v>0.58961830873923127</v>
          </cell>
          <cell r="K78">
            <v>0.6725000000000001</v>
          </cell>
          <cell r="L78">
            <v>0.61</v>
          </cell>
          <cell r="M78">
            <v>0.85155275453545742</v>
          </cell>
          <cell r="N78">
            <v>0.73794885515417397</v>
          </cell>
          <cell r="O78">
            <v>0.4291621128262455</v>
          </cell>
          <cell r="P78">
            <v>0.68264459114012044</v>
          </cell>
          <cell r="Q78">
            <v>0.28950000000000004</v>
          </cell>
          <cell r="R78">
            <v>0.68264844025809879</v>
          </cell>
          <cell r="S78">
            <v>0.90490285805758242</v>
          </cell>
          <cell r="T78">
            <v>0.89844108480853846</v>
          </cell>
        </row>
        <row r="79">
          <cell r="B79" t="str">
            <v>LSYieldHtPmpHt&amp;AC</v>
          </cell>
          <cell r="C79">
            <v>1.02</v>
          </cell>
          <cell r="D79">
            <v>1.02</v>
          </cell>
          <cell r="E79">
            <v>0.95500000000000007</v>
          </cell>
          <cell r="F79">
            <v>1.0249999999999999</v>
          </cell>
          <cell r="G79">
            <v>0.96499999999999986</v>
          </cell>
          <cell r="H79">
            <v>0.92500000000000004</v>
          </cell>
          <cell r="I79">
            <v>0.97499999999999987</v>
          </cell>
          <cell r="J79">
            <v>0.8600000000000001</v>
          </cell>
          <cell r="K79">
            <v>0.95500000000000007</v>
          </cell>
          <cell r="L79">
            <v>0.80499999999999994</v>
          </cell>
          <cell r="M79">
            <v>0.9700000000000002</v>
          </cell>
          <cell r="N79">
            <v>0.94500000000000006</v>
          </cell>
          <cell r="O79">
            <v>0.72500000000000009</v>
          </cell>
          <cell r="P79">
            <v>0.90000000000000013</v>
          </cell>
          <cell r="Q79">
            <v>0.64999999999999991</v>
          </cell>
          <cell r="R79">
            <v>0.90000000000000013</v>
          </cell>
          <cell r="S79">
            <v>1.02</v>
          </cell>
          <cell r="T79">
            <v>1.02</v>
          </cell>
        </row>
        <row r="80">
          <cell r="B80" t="str">
            <v>LSYieldGasHt&amp;AC</v>
          </cell>
          <cell r="C80">
            <v>1.0677783539879988</v>
          </cell>
          <cell r="D80">
            <v>1.0839218710013874</v>
          </cell>
          <cell r="E80">
            <v>1.1187334459486746</v>
          </cell>
          <cell r="F80">
            <v>1.1500040121234862</v>
          </cell>
          <cell r="G80">
            <v>1.1372152480584925</v>
          </cell>
          <cell r="H80">
            <v>1.0418809822047033</v>
          </cell>
          <cell r="I80">
            <v>1.0568854669502619</v>
          </cell>
          <cell r="J80">
            <v>1.0248183087392313</v>
          </cell>
          <cell r="K80">
            <v>1.0986333333333334</v>
          </cell>
          <cell r="L80">
            <v>0.96360000000000012</v>
          </cell>
          <cell r="M80">
            <v>1.051019421202124</v>
          </cell>
          <cell r="N80">
            <v>1.0915488551541741</v>
          </cell>
          <cell r="O80">
            <v>0.96409544615957854</v>
          </cell>
          <cell r="P80">
            <v>1.0453112578067871</v>
          </cell>
          <cell r="Q80">
            <v>0.94230000000000003</v>
          </cell>
          <cell r="R80">
            <v>1.0453151069247655</v>
          </cell>
          <cell r="S80">
            <v>1.0681028580575822</v>
          </cell>
          <cell r="T80">
            <v>1.0616410848085382</v>
          </cell>
          <cell r="Y80" t="str">
            <v>Row Labels</v>
          </cell>
        </row>
        <row r="81">
          <cell r="B81" t="str">
            <v>LSYieldElecHt</v>
          </cell>
          <cell r="C81">
            <v>0.82000000000000006</v>
          </cell>
          <cell r="D81">
            <v>0.82000000000000006</v>
          </cell>
          <cell r="E81">
            <v>0.53</v>
          </cell>
          <cell r="F81">
            <v>0.66999999999999993</v>
          </cell>
          <cell r="G81">
            <v>0.57000000000000006</v>
          </cell>
          <cell r="H81">
            <v>0.61</v>
          </cell>
          <cell r="I81">
            <v>0.69</v>
          </cell>
          <cell r="J81">
            <v>0.52</v>
          </cell>
          <cell r="K81">
            <v>0.53</v>
          </cell>
          <cell r="L81">
            <v>0.61</v>
          </cell>
          <cell r="M81">
            <v>0.78</v>
          </cell>
          <cell r="N81">
            <v>0.61</v>
          </cell>
          <cell r="O81">
            <v>0.41000000000000003</v>
          </cell>
          <cell r="P81">
            <v>0.6</v>
          </cell>
          <cell r="Q81">
            <v>0.28000000000000003</v>
          </cell>
          <cell r="R81">
            <v>0.6</v>
          </cell>
          <cell r="S81">
            <v>0.82000000000000006</v>
          </cell>
          <cell r="T81">
            <v>0.82000000000000006</v>
          </cell>
          <cell r="Y81" t="str">
            <v>Assembly</v>
          </cell>
        </row>
        <row r="82">
          <cell r="B82" t="str">
            <v>LSYieldGasHt</v>
          </cell>
          <cell r="C82">
            <v>0.98319999999999996</v>
          </cell>
          <cell r="D82">
            <v>0.98319999999999996</v>
          </cell>
          <cell r="E82">
            <v>0.95613333333333328</v>
          </cell>
          <cell r="F82">
            <v>0.96919999999999995</v>
          </cell>
          <cell r="G82">
            <v>0.95986666666666665</v>
          </cell>
          <cell r="H82">
            <v>0.96360000000000001</v>
          </cell>
          <cell r="I82">
            <v>0.97106666666666663</v>
          </cell>
          <cell r="J82">
            <v>0.95520000000000005</v>
          </cell>
          <cell r="K82">
            <v>0.95613333333333328</v>
          </cell>
          <cell r="L82">
            <v>0.96360000000000001</v>
          </cell>
          <cell r="M82">
            <v>0.97946666666666671</v>
          </cell>
          <cell r="N82">
            <v>0.96360000000000001</v>
          </cell>
          <cell r="O82">
            <v>0.94493333333333329</v>
          </cell>
          <cell r="P82">
            <v>0.96266666666666667</v>
          </cell>
          <cell r="Q82">
            <v>0.93279999999999996</v>
          </cell>
          <cell r="R82">
            <v>0.96266666666666667</v>
          </cell>
          <cell r="S82">
            <v>0.98319999999999996</v>
          </cell>
          <cell r="T82">
            <v>0.98319999999999996</v>
          </cell>
          <cell r="Y82" t="str">
            <v>&lt;5,001</v>
          </cell>
        </row>
        <row r="83">
          <cell r="B83" t="str">
            <v>LSYieldThermsGasHt</v>
          </cell>
          <cell r="C83">
            <v>-8.1887999999999996E-3</v>
          </cell>
          <cell r="D83">
            <v>-8.1887999999999996E-3</v>
          </cell>
          <cell r="E83">
            <v>-2.1381866666666666E-2</v>
          </cell>
          <cell r="F83">
            <v>-1.50128E-2</v>
          </cell>
          <cell r="G83">
            <v>-1.9562133333333332E-2</v>
          </cell>
          <cell r="H83">
            <v>-1.7742399999999998E-2</v>
          </cell>
          <cell r="I83">
            <v>-1.4102933333333333E-2</v>
          </cell>
          <cell r="J83">
            <v>-2.18368E-2</v>
          </cell>
          <cell r="K83">
            <v>-2.1381866666666666E-2</v>
          </cell>
          <cell r="L83">
            <v>-1.7742399999999998E-2</v>
          </cell>
          <cell r="M83">
            <v>-1.0008533333333333E-2</v>
          </cell>
          <cell r="N83">
            <v>-1.7742399999999998E-2</v>
          </cell>
          <cell r="O83">
            <v>-2.6841066666666667E-2</v>
          </cell>
          <cell r="P83">
            <v>-1.8197333333333333E-2</v>
          </cell>
          <cell r="Q83">
            <v>-3.2755199999999998E-2</v>
          </cell>
          <cell r="R83">
            <v>-1.8197333333333333E-2</v>
          </cell>
          <cell r="S83">
            <v>-8.1887999999999996E-3</v>
          </cell>
          <cell r="T83">
            <v>-8.1887999999999996E-3</v>
          </cell>
          <cell r="Y83" t="str">
            <v>5,001-20,000</v>
          </cell>
        </row>
        <row r="84">
          <cell r="B84" t="str">
            <v>LSYieldThermsGasHt&amp;AC</v>
          </cell>
          <cell r="C84">
            <v>-8.1887999999999996E-3</v>
          </cell>
          <cell r="D84">
            <v>-8.1887999999999996E-3</v>
          </cell>
          <cell r="E84">
            <v>-2.1381866666666666E-2</v>
          </cell>
          <cell r="F84">
            <v>-1.50128E-2</v>
          </cell>
          <cell r="G84">
            <v>-1.9562133333333332E-2</v>
          </cell>
          <cell r="H84">
            <v>-1.7742399999999998E-2</v>
          </cell>
          <cell r="I84">
            <v>-1.4102933333333333E-2</v>
          </cell>
          <cell r="J84">
            <v>-2.18368E-2</v>
          </cell>
          <cell r="K84">
            <v>-2.1381866666666666E-2</v>
          </cell>
          <cell r="L84">
            <v>-1.7742399999999998E-2</v>
          </cell>
          <cell r="M84">
            <v>-1.0008533333333333E-2</v>
          </cell>
          <cell r="N84">
            <v>-1.7742399999999998E-2</v>
          </cell>
          <cell r="O84">
            <v>-2.6841066666666667E-2</v>
          </cell>
          <cell r="P84">
            <v>-1.8197333333333333E-2</v>
          </cell>
          <cell r="Q84">
            <v>-3.2755199999999998E-2</v>
          </cell>
          <cell r="R84">
            <v>-1.8197333333333333E-2</v>
          </cell>
          <cell r="S84">
            <v>-8.1887999999999996E-3</v>
          </cell>
          <cell r="T84">
            <v>-8.1887999999999996E-3</v>
          </cell>
          <cell r="Y84" t="str">
            <v>20,001-50,000</v>
          </cell>
        </row>
        <row r="85">
          <cell r="B85" t="str">
            <v>LPDAdjust</v>
          </cell>
          <cell r="C85">
            <v>1</v>
          </cell>
          <cell r="D85">
            <v>1</v>
          </cell>
          <cell r="E85">
            <v>1</v>
          </cell>
          <cell r="F85">
            <v>1</v>
          </cell>
          <cell r="G85">
            <v>1</v>
          </cell>
          <cell r="H85">
            <v>1</v>
          </cell>
          <cell r="I85">
            <v>1</v>
          </cell>
          <cell r="J85">
            <v>1</v>
          </cell>
          <cell r="K85">
            <v>1</v>
          </cell>
          <cell r="L85">
            <v>1</v>
          </cell>
          <cell r="M85">
            <v>1</v>
          </cell>
          <cell r="N85">
            <v>1</v>
          </cell>
          <cell r="O85">
            <v>1</v>
          </cell>
          <cell r="P85">
            <v>1</v>
          </cell>
          <cell r="Q85">
            <v>1</v>
          </cell>
          <cell r="R85">
            <v>1</v>
          </cell>
          <cell r="S85">
            <v>1</v>
          </cell>
          <cell r="T85">
            <v>1</v>
          </cell>
          <cell r="Y85" t="str">
            <v>50,001-100,000</v>
          </cell>
        </row>
        <row r="86">
          <cell r="B86" t="str">
            <v>Chiller%TYP</v>
          </cell>
          <cell r="C86">
            <v>0.58498758462529865</v>
          </cell>
          <cell r="D86">
            <v>8.7818054713883376E-2</v>
          </cell>
          <cell r="E86">
            <v>0</v>
          </cell>
          <cell r="F86">
            <v>0.09</v>
          </cell>
          <cell r="G86">
            <v>0</v>
          </cell>
          <cell r="H86">
            <v>0</v>
          </cell>
          <cell r="I86">
            <v>0</v>
          </cell>
          <cell r="J86">
            <v>0.4348146874874485</v>
          </cell>
          <cell r="K86">
            <v>0.56010354277348595</v>
          </cell>
          <cell r="L86">
            <v>0</v>
          </cell>
          <cell r="M86">
            <v>0.15653169058088007</v>
          </cell>
          <cell r="N86">
            <v>0</v>
          </cell>
          <cell r="O86">
            <v>0</v>
          </cell>
          <cell r="P86">
            <v>0.15653169058088007</v>
          </cell>
          <cell r="Q86">
            <v>0.40098917705864051</v>
          </cell>
          <cell r="R86">
            <v>6.7888585236503013E-2</v>
          </cell>
          <cell r="S86">
            <v>0.17470421367705091</v>
          </cell>
          <cell r="T86">
            <v>0.1656240064846628</v>
          </cell>
          <cell r="Y86" t="str">
            <v>100,001+</v>
          </cell>
        </row>
        <row r="87">
          <cell r="B87" t="str">
            <v>HOURSLght</v>
          </cell>
          <cell r="C87">
            <v>3300</v>
          </cell>
          <cell r="D87">
            <v>2800</v>
          </cell>
          <cell r="E87">
            <v>2600</v>
          </cell>
          <cell r="F87">
            <v>6200</v>
          </cell>
          <cell r="G87">
            <v>3800</v>
          </cell>
          <cell r="H87">
            <v>3800</v>
          </cell>
          <cell r="I87">
            <v>2800</v>
          </cell>
          <cell r="J87">
            <v>2700</v>
          </cell>
          <cell r="K87">
            <v>3600</v>
          </cell>
          <cell r="L87">
            <v>2700</v>
          </cell>
          <cell r="M87">
            <v>7300</v>
          </cell>
          <cell r="N87">
            <v>6800</v>
          </cell>
          <cell r="O87">
            <v>5400</v>
          </cell>
          <cell r="P87">
            <v>3000</v>
          </cell>
          <cell r="Q87">
            <v>6400</v>
          </cell>
          <cell r="R87">
            <v>5700</v>
          </cell>
          <cell r="S87">
            <v>3000</v>
          </cell>
          <cell r="T87">
            <v>4100</v>
          </cell>
          <cell r="Y87" t="str">
            <v>Grocery</v>
          </cell>
        </row>
        <row r="88">
          <cell r="B88" t="str">
            <v>UnCondArea%TYP</v>
          </cell>
          <cell r="C88">
            <v>9.7915019519809049E-2</v>
          </cell>
          <cell r="D88">
            <v>2.2419448966079808E-2</v>
          </cell>
          <cell r="E88">
            <v>7.0265950135785918E-2</v>
          </cell>
          <cell r="F88">
            <v>1.9928358103564997E-2</v>
          </cell>
          <cell r="G88">
            <v>0.96021448828880007</v>
          </cell>
          <cell r="H88">
            <v>1.682861062838684E-2</v>
          </cell>
          <cell r="I88">
            <v>0.24046941503104796</v>
          </cell>
          <cell r="J88">
            <v>9.3965911445071555E-3</v>
          </cell>
          <cell r="K88">
            <v>9.3350590462247668E-2</v>
          </cell>
          <cell r="L88">
            <v>0.23147891652780339</v>
          </cell>
          <cell r="M88">
            <v>3.4175742327895269E-2</v>
          </cell>
          <cell r="N88">
            <v>5.7197564623818434E-2</v>
          </cell>
          <cell r="O88">
            <v>0.11219535867382037</v>
          </cell>
          <cell r="P88">
            <v>4.431584636138023E-2</v>
          </cell>
          <cell r="Q88">
            <v>7.2657454104040925E-2</v>
          </cell>
          <cell r="R88">
            <v>3.2474970371947381E-2</v>
          </cell>
          <cell r="S88">
            <v>8.1305475226007548E-2</v>
          </cell>
          <cell r="T88">
            <v>0.1783274256014224</v>
          </cell>
          <cell r="Y88" t="str">
            <v>&lt;5,001</v>
          </cell>
        </row>
        <row r="89">
          <cell r="B89" t="str">
            <v>RTEcono%TYP</v>
          </cell>
          <cell r="C89">
            <v>0.62956237771067991</v>
          </cell>
          <cell r="D89">
            <v>0.31768861920643965</v>
          </cell>
          <cell r="E89">
            <v>7.4025179596472243E-2</v>
          </cell>
          <cell r="F89">
            <v>0.58848968508223554</v>
          </cell>
          <cell r="G89">
            <v>0.26543424358205331</v>
          </cell>
          <cell r="H89">
            <v>0.20684893583537547</v>
          </cell>
          <cell r="I89">
            <v>1.359721457325402E-2</v>
          </cell>
          <cell r="J89">
            <v>0.46813873620144136</v>
          </cell>
          <cell r="K89">
            <v>0.46813873620144136</v>
          </cell>
          <cell r="L89">
            <v>0.14833205060637186</v>
          </cell>
          <cell r="M89">
            <v>0.52268307357406485</v>
          </cell>
          <cell r="N89">
            <v>0.20352640884178452</v>
          </cell>
          <cell r="O89">
            <v>0.32869617366969917</v>
          </cell>
          <cell r="P89">
            <v>0.10423431348186975</v>
          </cell>
          <cell r="Q89">
            <v>0.56873556010588189</v>
          </cell>
          <cell r="R89">
            <v>7.8731272985480064E-2</v>
          </cell>
          <cell r="S89">
            <v>0.39859901805810533</v>
          </cell>
          <cell r="T89">
            <v>0.41988093429192064</v>
          </cell>
          <cell r="Y89" t="str">
            <v>5,001-20,000</v>
          </cell>
        </row>
        <row r="90">
          <cell r="B90" t="str">
            <v>DCV%TYP</v>
          </cell>
          <cell r="C90">
            <v>0</v>
          </cell>
          <cell r="D90">
            <v>0</v>
          </cell>
          <cell r="E90">
            <v>0</v>
          </cell>
          <cell r="F90">
            <v>0</v>
          </cell>
          <cell r="G90">
            <v>0</v>
          </cell>
          <cell r="H90">
            <v>0</v>
          </cell>
          <cell r="I90">
            <v>0</v>
          </cell>
          <cell r="J90">
            <v>0</v>
          </cell>
          <cell r="K90">
            <v>0</v>
          </cell>
          <cell r="L90">
            <v>0</v>
          </cell>
          <cell r="M90">
            <v>0</v>
          </cell>
          <cell r="N90">
            <v>0</v>
          </cell>
          <cell r="O90">
            <v>0</v>
          </cell>
          <cell r="P90">
            <v>0</v>
          </cell>
          <cell r="Q90">
            <v>0</v>
          </cell>
          <cell r="R90">
            <v>0</v>
          </cell>
          <cell r="S90">
            <v>0</v>
          </cell>
          <cell r="T90">
            <v>0</v>
          </cell>
          <cell r="Y90" t="str">
            <v>20,001-50,000</v>
          </cell>
        </row>
        <row r="91">
          <cell r="B91" t="str">
            <v>FloorA%PRE2006</v>
          </cell>
          <cell r="C91">
            <v>1</v>
          </cell>
          <cell r="D91">
            <v>1</v>
          </cell>
          <cell r="E91">
            <v>1</v>
          </cell>
          <cell r="F91">
            <v>1</v>
          </cell>
          <cell r="G91">
            <v>1</v>
          </cell>
          <cell r="H91">
            <v>1</v>
          </cell>
          <cell r="I91">
            <v>1</v>
          </cell>
          <cell r="J91">
            <v>1</v>
          </cell>
          <cell r="K91">
            <v>1</v>
          </cell>
          <cell r="L91">
            <v>1</v>
          </cell>
          <cell r="M91">
            <v>1</v>
          </cell>
          <cell r="N91">
            <v>1</v>
          </cell>
          <cell r="O91">
            <v>1</v>
          </cell>
          <cell r="P91">
            <v>1</v>
          </cell>
          <cell r="Q91">
            <v>1</v>
          </cell>
          <cell r="R91">
            <v>1</v>
          </cell>
          <cell r="S91">
            <v>1</v>
          </cell>
          <cell r="T91">
            <v>1</v>
          </cell>
          <cell r="Y91" t="str">
            <v>50,001-100,000</v>
          </cell>
        </row>
        <row r="92">
          <cell r="B92" t="str">
            <v>ElecHtComplex%TYP</v>
          </cell>
          <cell r="C92">
            <v>0.5032832003318185</v>
          </cell>
          <cell r="D92">
            <v>0.19754737317540033</v>
          </cell>
          <cell r="E92">
            <v>0.86680076087505498</v>
          </cell>
          <cell r="F92">
            <v>0.55985400698948606</v>
          </cell>
          <cell r="G92">
            <v>0.27993945466265791</v>
          </cell>
          <cell r="H92">
            <v>6.3780434281586118E-3</v>
          </cell>
          <cell r="I92">
            <v>7.5948256913972667E-2</v>
          </cell>
          <cell r="J92">
            <v>5.7319205981493631E-3</v>
          </cell>
          <cell r="K92">
            <v>0.1674709592892723</v>
          </cell>
          <cell r="L92">
            <v>0.2825536194003897</v>
          </cell>
          <cell r="M92">
            <v>4.5624616007740176E-2</v>
          </cell>
          <cell r="N92">
            <v>7.6358748772797594E-2</v>
          </cell>
          <cell r="O92">
            <v>4.608640117832314E-2</v>
          </cell>
          <cell r="P92">
            <v>6.824640339652556E-3</v>
          </cell>
          <cell r="Q92">
            <v>4.9104329398647659E-2</v>
          </cell>
          <cell r="R92">
            <v>0.38331290029021892</v>
          </cell>
          <cell r="S92">
            <v>2.7101825075335855E-2</v>
          </cell>
          <cell r="T92">
            <v>0.37020773554855302</v>
          </cell>
          <cell r="Y92" t="str">
            <v>Lodging</v>
          </cell>
        </row>
        <row r="93">
          <cell r="B93" t="str">
            <v>GasHtComplex%TYP</v>
          </cell>
          <cell r="C93">
            <v>0.20660069118679708</v>
          </cell>
          <cell r="D93">
            <v>8.1094349688734371E-2</v>
          </cell>
          <cell r="E93">
            <v>0.35582677148761982</v>
          </cell>
          <cell r="F93">
            <v>0.1044245964626806</v>
          </cell>
          <cell r="G93">
            <v>2.3584345085431835</v>
          </cell>
          <cell r="H93">
            <v>5.3733753736439169E-2</v>
          </cell>
          <cell r="I93">
            <v>0.63984903516178027</v>
          </cell>
          <cell r="J93">
            <v>0.78301794007178116</v>
          </cell>
          <cell r="K93">
            <v>0.76612829592366649</v>
          </cell>
          <cell r="L93">
            <v>0.46415256294736318</v>
          </cell>
          <cell r="M93">
            <v>0.80876894218964157</v>
          </cell>
          <cell r="N93">
            <v>1.3535803668226631</v>
          </cell>
          <cell r="O93">
            <v>0.81695481938952597</v>
          </cell>
          <cell r="P93">
            <v>0.50395980482161595</v>
          </cell>
          <cell r="Q93">
            <v>0.55637445480169345</v>
          </cell>
          <cell r="R93">
            <v>0.62059668380791444</v>
          </cell>
          <cell r="S93">
            <v>0.29812007582869443</v>
          </cell>
          <cell r="T93">
            <v>0.80164122055359432</v>
          </cell>
          <cell r="Y93" t="str">
            <v>&lt;5,001</v>
          </cell>
        </row>
        <row r="94">
          <cell r="B94" t="str">
            <v>HtPmpHtComplex%TYP</v>
          </cell>
          <cell r="C94">
            <v>0.10615620032939298</v>
          </cell>
          <cell r="D94">
            <v>4.1668147292671175E-2</v>
          </cell>
          <cell r="E94">
            <v>0.18283200225331492</v>
          </cell>
          <cell r="F94">
            <v>0</v>
          </cell>
          <cell r="G94">
            <v>4.7478913313233901</v>
          </cell>
          <cell r="H94">
            <v>0.10817430911927059</v>
          </cell>
          <cell r="I94">
            <v>1.2881144998496472</v>
          </cell>
          <cell r="J94">
            <v>0.15081528786933984</v>
          </cell>
          <cell r="K94">
            <v>0</v>
          </cell>
          <cell r="L94">
            <v>0</v>
          </cell>
          <cell r="M94">
            <v>0</v>
          </cell>
          <cell r="N94">
            <v>0</v>
          </cell>
          <cell r="O94">
            <v>0</v>
          </cell>
          <cell r="P94">
            <v>0.37562111375905877</v>
          </cell>
          <cell r="Q94">
            <v>0</v>
          </cell>
          <cell r="R94">
            <v>7.8697678201352483E-2</v>
          </cell>
          <cell r="S94">
            <v>0.21681460060268684</v>
          </cell>
          <cell r="T94">
            <v>1.6881662956934655E-2</v>
          </cell>
          <cell r="Y94" t="str">
            <v>5,001-20,000</v>
          </cell>
        </row>
        <row r="95">
          <cell r="B95" t="str">
            <v>ElecHtSimple%TYP</v>
          </cell>
          <cell r="C95">
            <v>4.0797924799920442E-2</v>
          </cell>
          <cell r="D95">
            <v>7.6712861227859655E-2</v>
          </cell>
          <cell r="E95">
            <v>0.34629799136803036</v>
          </cell>
          <cell r="F95">
            <v>9.4309392161736581E-3</v>
          </cell>
          <cell r="G95">
            <v>0.69059559002041793</v>
          </cell>
          <cell r="H95">
            <v>1.5734290365582385E-2</v>
          </cell>
          <cell r="I95">
            <v>2.5440517986723227E-2</v>
          </cell>
          <cell r="J95">
            <v>0.22063592478811844</v>
          </cell>
          <cell r="K95">
            <v>0.18449615182326545</v>
          </cell>
          <cell r="L95">
            <v>8.5433934010164969E-2</v>
          </cell>
          <cell r="M95">
            <v>0.16530992978116466</v>
          </cell>
          <cell r="N95">
            <v>0.25453305525840347</v>
          </cell>
          <cell r="O95">
            <v>0.12256320691297852</v>
          </cell>
          <cell r="P95">
            <v>0.1701802809460462</v>
          </cell>
          <cell r="Q95">
            <v>7.6529644813639303E-2</v>
          </cell>
          <cell r="R95">
            <v>8.48023297102318E-2</v>
          </cell>
          <cell r="S95">
            <v>5.420365015067171E-2</v>
          </cell>
          <cell r="T95">
            <v>0.20159565917150249</v>
          </cell>
          <cell r="Y95" t="str">
            <v>20,001-50,000</v>
          </cell>
        </row>
        <row r="96">
          <cell r="B96" t="str">
            <v>GasHtSimple%TYP</v>
          </cell>
          <cell r="C96">
            <v>0.59645431773702551</v>
          </cell>
          <cell r="D96">
            <v>0.1751178154419134</v>
          </cell>
          <cell r="E96">
            <v>0.75286988633676921</v>
          </cell>
          <cell r="F96">
            <v>0.64860578911648015</v>
          </cell>
          <cell r="G96">
            <v>5.6577342666812855</v>
          </cell>
          <cell r="H96">
            <v>0.12890385494734588</v>
          </cell>
          <cell r="I96">
            <v>1.9096725785396154</v>
          </cell>
          <cell r="J96">
            <v>0.52936088218329336</v>
          </cell>
          <cell r="K96">
            <v>0.62505513690134207</v>
          </cell>
          <cell r="L96">
            <v>0.58469762342365594</v>
          </cell>
          <cell r="M96">
            <v>0.61036689721002213</v>
          </cell>
          <cell r="N96">
            <v>1.0544939191728511</v>
          </cell>
          <cell r="O96">
            <v>0.61909451647609204</v>
          </cell>
          <cell r="P96">
            <v>0.45909862320270312</v>
          </cell>
          <cell r="Q96">
            <v>0.45317337392380236</v>
          </cell>
          <cell r="R96">
            <v>0.90611735760696566</v>
          </cell>
          <cell r="S96">
            <v>0.43362920120537368</v>
          </cell>
          <cell r="T96">
            <v>0.74796368935357349</v>
          </cell>
          <cell r="Y96" t="str">
            <v>50,001-100,000</v>
          </cell>
        </row>
        <row r="97">
          <cell r="B97" t="str">
            <v>HtPmpHtSimple%TYP</v>
          </cell>
          <cell r="C97">
            <v>0.17870625346146285</v>
          </cell>
          <cell r="D97">
            <v>6.8447165702795604E-2</v>
          </cell>
          <cell r="E97">
            <v>0.30615112501091846</v>
          </cell>
          <cell r="F97">
            <v>5.1813731069269E-3</v>
          </cell>
          <cell r="G97">
            <v>1.0540200575293213</v>
          </cell>
          <cell r="H97">
            <v>2.4014427366708016E-2</v>
          </cell>
          <cell r="I97">
            <v>6.8798695399061222E-2</v>
          </cell>
          <cell r="J97">
            <v>0.18966230747930371</v>
          </cell>
          <cell r="K97">
            <v>0.12395461589786912</v>
          </cell>
          <cell r="L97">
            <v>7.657462491393198E-2</v>
          </cell>
          <cell r="M97">
            <v>7.8716731206195087E-2</v>
          </cell>
          <cell r="N97">
            <v>0.131827238222366</v>
          </cell>
          <cell r="O97">
            <v>0.12138349717877855</v>
          </cell>
          <cell r="P97">
            <v>0.25705457832201301</v>
          </cell>
          <cell r="Q97">
            <v>7.5760149152072437E-2</v>
          </cell>
          <cell r="R97">
            <v>9.1579325081048712E-2</v>
          </cell>
          <cell r="S97">
            <v>5.420365015067171E-2</v>
          </cell>
          <cell r="T97">
            <v>0.23925913126345466</v>
          </cell>
          <cell r="Y97" t="str">
            <v>100,001+</v>
          </cell>
        </row>
        <row r="98">
          <cell r="B98" t="str">
            <v>ChillerAir%TYP</v>
          </cell>
          <cell r="C98">
            <v>0.5</v>
          </cell>
          <cell r="D98">
            <v>0.8</v>
          </cell>
          <cell r="E98">
            <v>0.8</v>
          </cell>
          <cell r="F98">
            <v>0.8</v>
          </cell>
          <cell r="G98">
            <v>0.8</v>
          </cell>
          <cell r="H98">
            <v>0.8</v>
          </cell>
          <cell r="I98">
            <v>0.8</v>
          </cell>
          <cell r="J98">
            <v>0.8</v>
          </cell>
          <cell r="K98">
            <v>0.8</v>
          </cell>
          <cell r="L98">
            <v>0.9</v>
          </cell>
          <cell r="M98">
            <v>1</v>
          </cell>
          <cell r="N98">
            <v>1</v>
          </cell>
          <cell r="O98">
            <v>1</v>
          </cell>
          <cell r="P98">
            <v>0.2</v>
          </cell>
          <cell r="Q98">
            <v>0.2</v>
          </cell>
          <cell r="R98">
            <v>0.6</v>
          </cell>
          <cell r="S98">
            <v>0.6</v>
          </cell>
          <cell r="T98">
            <v>0.2</v>
          </cell>
          <cell r="Y98" t="str">
            <v>Office</v>
          </cell>
        </row>
        <row r="99">
          <cell r="B99" t="str">
            <v>ChillerWater%TYP</v>
          </cell>
          <cell r="C99">
            <v>0.5</v>
          </cell>
          <cell r="D99">
            <v>0.2</v>
          </cell>
          <cell r="E99">
            <v>0.2</v>
          </cell>
          <cell r="F99">
            <v>0.2</v>
          </cell>
          <cell r="G99">
            <v>0.2</v>
          </cell>
          <cell r="H99">
            <v>0.2</v>
          </cell>
          <cell r="I99">
            <v>0.2</v>
          </cell>
          <cell r="J99">
            <v>0.2</v>
          </cell>
          <cell r="K99">
            <v>0.2</v>
          </cell>
          <cell r="L99">
            <v>0.1</v>
          </cell>
          <cell r="M99">
            <v>0</v>
          </cell>
          <cell r="N99">
            <v>0</v>
          </cell>
          <cell r="O99">
            <v>0</v>
          </cell>
          <cell r="P99">
            <v>0.8</v>
          </cell>
          <cell r="Q99">
            <v>0.8</v>
          </cell>
          <cell r="R99">
            <v>0.4</v>
          </cell>
          <cell r="S99">
            <v>0.4</v>
          </cell>
          <cell r="T99">
            <v>0.8</v>
          </cell>
          <cell r="Y99" t="str">
            <v>&lt;5,001</v>
          </cell>
        </row>
        <row r="100">
          <cell r="B100" t="str">
            <v>WinFloorRatio%TYP</v>
          </cell>
          <cell r="C100">
            <v>0.11113127858742104</v>
          </cell>
          <cell r="D100">
            <v>4.3960578486503234E-2</v>
          </cell>
          <cell r="E100">
            <v>0.1917271954866456</v>
          </cell>
          <cell r="F100">
            <v>1.3285572069043333E-2</v>
          </cell>
          <cell r="G100">
            <v>1.1818024471246773</v>
          </cell>
          <cell r="H100">
            <v>2.6925777005418945E-2</v>
          </cell>
          <cell r="I100">
            <v>8.015647167701602E-2</v>
          </cell>
          <cell r="J100">
            <v>6.5776138011550078E-2</v>
          </cell>
          <cell r="K100">
            <v>0.11202070855469719</v>
          </cell>
          <cell r="L100">
            <v>2.2401185470432586E-2</v>
          </cell>
          <cell r="M100">
            <v>3.4175742327895269E-2</v>
          </cell>
          <cell r="N100">
            <v>0.21449086733931913</v>
          </cell>
          <cell r="O100">
            <v>0.15534741970221283</v>
          </cell>
          <cell r="P100">
            <v>9.7494861995036486E-2</v>
          </cell>
          <cell r="Q100">
            <v>6.6602666262037521E-2</v>
          </cell>
          <cell r="R100">
            <v>0.12989988148778953</v>
          </cell>
          <cell r="S100">
            <v>4.3362920120537364E-2</v>
          </cell>
          <cell r="T100">
            <v>0.11888495040094829</v>
          </cell>
          <cell r="Y100" t="str">
            <v>5,001-20,000</v>
          </cell>
        </row>
        <row r="101">
          <cell r="Y101" t="str">
            <v>20,001-50,000</v>
          </cell>
        </row>
        <row r="102">
          <cell r="Y102" t="str">
            <v>50,001-100,000</v>
          </cell>
        </row>
        <row r="103">
          <cell r="Y103" t="str">
            <v>100,001+</v>
          </cell>
        </row>
        <row r="104">
          <cell r="Y104" t="str">
            <v>Other</v>
          </cell>
        </row>
        <row r="105">
          <cell r="Y105" t="str">
            <v>&lt;5,001</v>
          </cell>
        </row>
        <row r="106">
          <cell r="Y106" t="str">
            <v>5,001-20,000</v>
          </cell>
        </row>
        <row r="107">
          <cell r="Y107" t="str">
            <v>20,001-50,000</v>
          </cell>
        </row>
        <row r="108">
          <cell r="Y108" t="str">
            <v>50,001-100,000</v>
          </cell>
        </row>
        <row r="109">
          <cell r="Y109" t="str">
            <v>100,001+</v>
          </cell>
        </row>
        <row r="110">
          <cell r="Y110" t="str">
            <v>Residential Care</v>
          </cell>
        </row>
        <row r="111">
          <cell r="Y111" t="str">
            <v>&lt;5,001</v>
          </cell>
        </row>
        <row r="112">
          <cell r="Y112" t="str">
            <v>5,001-20,000</v>
          </cell>
        </row>
        <row r="113">
          <cell r="Y113" t="str">
            <v>20,001-50,000</v>
          </cell>
        </row>
        <row r="114">
          <cell r="Y114" t="str">
            <v>50,001-100,000</v>
          </cell>
        </row>
        <row r="115">
          <cell r="Y115" t="str">
            <v>100,001+</v>
          </cell>
        </row>
        <row r="116">
          <cell r="Y116" t="str">
            <v>Restaurant</v>
          </cell>
        </row>
        <row r="117">
          <cell r="Y117" t="str">
            <v>&lt;5,001</v>
          </cell>
        </row>
        <row r="118">
          <cell r="Y118" t="str">
            <v>5,001-20,000</v>
          </cell>
        </row>
        <row r="119">
          <cell r="Y119" t="str">
            <v>Retail/Service</v>
          </cell>
        </row>
      </sheetData>
      <sheetData sheetId="12">
        <row r="11">
          <cell r="B11" t="str">
            <v>Large Ret</v>
          </cell>
          <cell r="M11">
            <v>31.55076</v>
          </cell>
          <cell r="N11">
            <v>9.4201798094731004E-3</v>
          </cell>
        </row>
        <row r="12">
          <cell r="B12" t="str">
            <v>Medium Ret</v>
          </cell>
          <cell r="M12">
            <v>346.19952999999998</v>
          </cell>
          <cell r="N12">
            <v>0.10336555514209726</v>
          </cell>
        </row>
        <row r="13">
          <cell r="B13" t="str">
            <v>Small Ret</v>
          </cell>
          <cell r="M13">
            <v>59.225870599999993</v>
          </cell>
          <cell r="N13">
            <v>1.7683198453051097E-2</v>
          </cell>
        </row>
        <row r="14">
          <cell r="B14" t="str">
            <v>School K-12</v>
          </cell>
          <cell r="M14">
            <v>245.35316429999997</v>
          </cell>
          <cell r="N14">
            <v>7.3255633922263544E-2</v>
          </cell>
        </row>
        <row r="15">
          <cell r="B15" t="str">
            <v>University</v>
          </cell>
          <cell r="M15">
            <v>123.989124</v>
          </cell>
          <cell r="N15">
            <v>3.701970546823774E-2</v>
          </cell>
        </row>
        <row r="16">
          <cell r="B16" t="str">
            <v>Warehouse</v>
          </cell>
          <cell r="M16">
            <v>442.22405430000003</v>
          </cell>
          <cell r="N16">
            <v>0.13203580856943528</v>
          </cell>
        </row>
        <row r="17">
          <cell r="B17" t="str">
            <v>Supermarket</v>
          </cell>
          <cell r="M17">
            <v>65.429751400000001</v>
          </cell>
          <cell r="N17">
            <v>1.9535504789016944E-2</v>
          </cell>
        </row>
        <row r="18">
          <cell r="B18" t="str">
            <v>MiniMart</v>
          </cell>
          <cell r="M18">
            <v>11.691088099999998</v>
          </cell>
          <cell r="N18">
            <v>3.4906338887047794E-3</v>
          </cell>
        </row>
        <row r="19">
          <cell r="B19" t="str">
            <v>Restaurant</v>
          </cell>
          <cell r="M19">
            <v>53.036741800000001</v>
          </cell>
          <cell r="N19">
            <v>1.5835296654172451E-2</v>
          </cell>
          <cell r="V19" t="str">
            <v>Restaurant</v>
          </cell>
          <cell r="W19">
            <v>53036741.800000004</v>
          </cell>
          <cell r="X19">
            <v>1.5835296654172448E-2</v>
          </cell>
        </row>
        <row r="20">
          <cell r="B20" t="str">
            <v>Lodging</v>
          </cell>
          <cell r="M20">
            <v>171.0409248</v>
          </cell>
          <cell r="N20">
            <v>5.1068065124091046E-2</v>
          </cell>
          <cell r="V20" t="str">
            <v>Lodging</v>
          </cell>
          <cell r="W20">
            <v>171040924.80000001</v>
          </cell>
          <cell r="X20">
            <v>5.1068065124091039E-2</v>
          </cell>
        </row>
        <row r="21">
          <cell r="B21" t="str">
            <v>Hospital</v>
          </cell>
          <cell r="M21">
            <v>103.75403529999998</v>
          </cell>
          <cell r="N21">
            <v>3.0978070527759683E-2</v>
          </cell>
          <cell r="V21" t="str">
            <v>Hospital</v>
          </cell>
          <cell r="W21">
            <v>103754035.29999998</v>
          </cell>
          <cell r="X21">
            <v>3.0978070527759676E-2</v>
          </cell>
        </row>
        <row r="22">
          <cell r="B22" t="str">
            <v>Residential Care</v>
          </cell>
          <cell r="M22">
            <v>125.16063630000001</v>
          </cell>
          <cell r="N22">
            <v>3.7369486472404026E-2</v>
          </cell>
          <cell r="V22" t="str">
            <v>Residential Care</v>
          </cell>
          <cell r="W22">
            <v>125160636.30000001</v>
          </cell>
          <cell r="X22">
            <v>3.7369486472404019E-2</v>
          </cell>
        </row>
        <row r="23">
          <cell r="B23" t="str">
            <v>Assembly</v>
          </cell>
          <cell r="M23">
            <v>368.87205360000002</v>
          </cell>
          <cell r="N23">
            <v>0.11013494038183547</v>
          </cell>
          <cell r="V23" t="str">
            <v>Assembly</v>
          </cell>
          <cell r="W23">
            <v>368872053.60000002</v>
          </cell>
          <cell r="X23">
            <v>0.11013494038183544</v>
          </cell>
        </row>
        <row r="24">
          <cell r="B24" t="str">
            <v>Other</v>
          </cell>
          <cell r="M24">
            <v>333.43446839999996</v>
          </cell>
          <cell r="N24">
            <v>9.9554262623279946E-2</v>
          </cell>
          <cell r="V24" t="str">
            <v>Other</v>
          </cell>
          <cell r="W24">
            <v>333434468.39999998</v>
          </cell>
          <cell r="X24">
            <v>9.9554262623279918E-2</v>
          </cell>
        </row>
        <row r="25">
          <cell r="W25">
            <v>3349273648.5000005</v>
          </cell>
          <cell r="X25">
            <v>0.99999999999999989</v>
          </cell>
        </row>
        <row r="26">
          <cell r="M26">
            <v>3349.2736484999996</v>
          </cell>
          <cell r="N26">
            <v>1</v>
          </cell>
        </row>
      </sheetData>
      <sheetData sheetId="13">
        <row r="11">
          <cell r="B11" t="str">
            <v>Floor Area of HEat Pump Space Heat as percent for Building Type</v>
          </cell>
          <cell r="C11">
            <v>6</v>
          </cell>
        </row>
        <row r="12">
          <cell r="B12" t="str">
            <v>Cooling Saturation as percent of Floor Area in Building Type</v>
          </cell>
          <cell r="C12">
            <v>7</v>
          </cell>
        </row>
        <row r="13">
          <cell r="B13" t="str">
            <v>Cooling Saturation as percent of Floor Area in Activity Type</v>
          </cell>
          <cell r="C13">
            <v>8</v>
          </cell>
        </row>
        <row r="14">
          <cell r="B14" t="str">
            <v>Package Roof Top Units as percentage of Building Type</v>
          </cell>
          <cell r="C14">
            <v>9</v>
          </cell>
        </row>
        <row r="15">
          <cell r="B15" t="str">
            <v>Package Roof Top Units as percentage of Activity Type</v>
          </cell>
          <cell r="C15">
            <v>10</v>
          </cell>
        </row>
        <row r="16">
          <cell r="B16" t="str">
            <v>Built-Up Systems as percentage of Building Type</v>
          </cell>
          <cell r="C16">
            <v>11</v>
          </cell>
        </row>
        <row r="17">
          <cell r="B17" t="str">
            <v>Built-Up Systems as percentage of Activity Type</v>
          </cell>
          <cell r="C17">
            <v>12</v>
          </cell>
        </row>
        <row r="18">
          <cell r="B18" t="str">
            <v>Multi-Zone VAV System as percentage of Building Type</v>
          </cell>
          <cell r="C18">
            <v>13</v>
          </cell>
        </row>
        <row r="19">
          <cell r="B19" t="str">
            <v>Multi-Zone VAV System as percentage of Activity Type</v>
          </cell>
          <cell r="C19">
            <v>14</v>
          </cell>
        </row>
        <row r="20">
          <cell r="B20" t="str">
            <v>Lighting savings yield for electric heat buildings with cooling weighted for cooling saturation</v>
          </cell>
          <cell r="C20">
            <v>15</v>
          </cell>
        </row>
        <row r="21">
          <cell r="B21" t="str">
            <v>Lighting savings yield for heat pump heat buildings with cooling  weighted for cooling saturation</v>
          </cell>
          <cell r="C21">
            <v>16</v>
          </cell>
        </row>
        <row r="22">
          <cell r="B22" t="str">
            <v>Lighting savings yield for gas or fossil heat buildings with cooling  weighted for cooling saturation</v>
          </cell>
          <cell r="C22">
            <v>17</v>
          </cell>
        </row>
        <row r="23">
          <cell r="B23" t="str">
            <v>Lighting savings yield for electric heat buildings with NO cooling</v>
          </cell>
          <cell r="C23">
            <v>18</v>
          </cell>
        </row>
        <row r="24">
          <cell r="B24" t="str">
            <v>Lighting savings yield for gas or fossil heat buildings with NO cooling</v>
          </cell>
          <cell r="C24">
            <v>19</v>
          </cell>
        </row>
        <row r="25">
          <cell r="B25" t="str">
            <v>Lighting savings yield IN THERMS for gas or fossil heat buildings with NO cooling</v>
          </cell>
          <cell r="C25">
            <v>20</v>
          </cell>
        </row>
        <row r="26">
          <cell r="B26" t="str">
            <v>Lighting savings yield IN THERMS for gas or fossil heat buildings with cooling</v>
          </cell>
          <cell r="C26">
            <v>21</v>
          </cell>
        </row>
        <row r="27">
          <cell r="B27" t="str">
            <v>Adjustment to LPD to reflect fraction of lights actually on during operating Hours (Effective on-hours LPD)</v>
          </cell>
          <cell r="C27">
            <v>22</v>
          </cell>
        </row>
        <row r="28">
          <cell r="B28" t="str">
            <v>Chiller system as percentage of Building Type</v>
          </cell>
          <cell r="C28">
            <v>23</v>
          </cell>
        </row>
        <row r="29">
          <cell r="B29" t="str">
            <v>Annaul hours of lighting system operation by Building Type</v>
          </cell>
          <cell r="C29">
            <v>24</v>
          </cell>
        </row>
        <row r="30">
          <cell r="B30" t="str">
            <v>Floor area not thermally conditioned by Building Type</v>
          </cell>
          <cell r="C30">
            <v>25</v>
          </cell>
        </row>
        <row r="31">
          <cell r="B31" t="str">
            <v>Fraction of package roof-top units with economizers</v>
          </cell>
          <cell r="C31">
            <v>26</v>
          </cell>
        </row>
        <row r="32">
          <cell r="B32" t="str">
            <v xml:space="preserve">Floor Area for Vintage Cohort of PRE2002 Stock </v>
          </cell>
          <cell r="C32">
            <v>27</v>
          </cell>
        </row>
        <row r="33">
          <cell r="B33" t="str">
            <v xml:space="preserve">Floor Area for Vintage Cohort of PRE2006 Stock </v>
          </cell>
          <cell r="C33">
            <v>28</v>
          </cell>
        </row>
        <row r="34">
          <cell r="B34" t="str">
            <v>Floor Area of Electric Space Heat for Complex HVAC Systems as percent for Building Type</v>
          </cell>
          <cell r="C34">
            <v>29</v>
          </cell>
        </row>
        <row r="35">
          <cell r="B35" t="str">
            <v>Floor Area of Fossil Fuel Space Heat  for Complex HVAC Systems as percent for Building Type, includes gas, oil, steam, propane</v>
          </cell>
          <cell r="C35">
            <v>30</v>
          </cell>
        </row>
        <row r="36">
          <cell r="B36" t="str">
            <v>Floor Area of Heat Pump Space Heat for Complex HVAC Systems as percent for Building Type</v>
          </cell>
          <cell r="C36">
            <v>31</v>
          </cell>
        </row>
        <row r="37">
          <cell r="B37" t="str">
            <v>Floor Area of Electric Space Heat for Simple HVAC Systems as percent for Building Type</v>
          </cell>
          <cell r="C37">
            <v>32</v>
          </cell>
        </row>
        <row r="38">
          <cell r="B38" t="str">
            <v>Floor Area of Fossil Fuel Space Heat  for Simple HVAC Systems as percent for Building Type, includes gas, oil, steam, propane</v>
          </cell>
          <cell r="C38">
            <v>33</v>
          </cell>
        </row>
        <row r="39">
          <cell r="B39" t="str">
            <v>Floor Area of Heat Pump Space Heat for Simple HVAC Systems as percent for Building Type</v>
          </cell>
          <cell r="C39">
            <v>34</v>
          </cell>
        </row>
        <row r="40">
          <cell r="B40" t="str">
            <v>Fraction of Chiller-Served Cooling Capacity that is served by Air-Cooled Chiller for HVAC system</v>
          </cell>
          <cell r="C40">
            <v>35</v>
          </cell>
        </row>
        <row r="41">
          <cell r="B41" t="str">
            <v>Fraction of Chiller-Served Cooling Capacity that is served by Water-Cooled Chiller for HVAC system</v>
          </cell>
          <cell r="C41">
            <v>36</v>
          </cell>
        </row>
        <row r="42">
          <cell r="B42" t="str">
            <v>Ratio of window area to floor area by Btype</v>
          </cell>
          <cell r="C42">
            <v>37</v>
          </cell>
        </row>
      </sheetData>
      <sheetData sheetId="14">
        <row r="11">
          <cell r="B11" t="str">
            <v>School</v>
          </cell>
          <cell r="C11" t="str">
            <v>School K-12</v>
          </cell>
          <cell r="D11" t="str">
            <v>School K-12</v>
          </cell>
          <cell r="E11" t="str">
            <v>Any</v>
          </cell>
          <cell r="F11" t="str">
            <v>K-12</v>
          </cell>
          <cell r="G11" t="str">
            <v>Any</v>
          </cell>
          <cell r="H11" t="str">
            <v>Any</v>
          </cell>
        </row>
        <row r="12">
          <cell r="B12" t="str">
            <v>School</v>
          </cell>
          <cell r="C12" t="str">
            <v>University</v>
          </cell>
          <cell r="D12" t="str">
            <v>University</v>
          </cell>
          <cell r="E12" t="str">
            <v>Any</v>
          </cell>
          <cell r="F12" t="str">
            <v>University</v>
          </cell>
          <cell r="G12" t="str">
            <v>Any</v>
          </cell>
          <cell r="H12" t="str">
            <v>Any</v>
          </cell>
        </row>
        <row r="13">
          <cell r="B13" t="str">
            <v>Warehouse</v>
          </cell>
          <cell r="C13" t="str">
            <v>Warehouse</v>
          </cell>
          <cell r="D13" t="str">
            <v>Warehouse</v>
          </cell>
          <cell r="E13" t="str">
            <v>Any</v>
          </cell>
          <cell r="F13" t="str">
            <v>Warehouse</v>
          </cell>
          <cell r="G13" t="str">
            <v>Any</v>
          </cell>
          <cell r="H13" t="str">
            <v>Any</v>
          </cell>
        </row>
        <row r="14">
          <cell r="B14" t="str">
            <v>Retail Food Sales</v>
          </cell>
          <cell r="C14" t="str">
            <v>Supermarket</v>
          </cell>
          <cell r="D14" t="str">
            <v>Supermarket</v>
          </cell>
          <cell r="E14" t="str">
            <v>&gt; 5000</v>
          </cell>
          <cell r="F14" t="str">
            <v>Supermarket</v>
          </cell>
          <cell r="G14" t="str">
            <v>&gt; 5000</v>
          </cell>
          <cell r="H14" t="str">
            <v>Any</v>
          </cell>
        </row>
        <row r="15">
          <cell r="B15" t="str">
            <v>Retail Food Sales</v>
          </cell>
          <cell r="C15" t="str">
            <v>MiniMart</v>
          </cell>
          <cell r="D15" t="str">
            <v>MiniMart</v>
          </cell>
          <cell r="E15" t="str">
            <v>&lt; 5000</v>
          </cell>
          <cell r="F15" t="str">
            <v>MiniMart</v>
          </cell>
          <cell r="G15" t="str">
            <v>&lt; 5000</v>
          </cell>
          <cell r="H15" t="str">
            <v>Any</v>
          </cell>
        </row>
        <row r="16">
          <cell r="B16" t="str">
            <v>Restaurant</v>
          </cell>
          <cell r="C16" t="str">
            <v>Restaurant</v>
          </cell>
          <cell r="D16" t="str">
            <v>Restaurant</v>
          </cell>
          <cell r="E16" t="str">
            <v>Any</v>
          </cell>
          <cell r="F16" t="str">
            <v>Restaurant</v>
          </cell>
          <cell r="G16" t="str">
            <v>Any</v>
          </cell>
          <cell r="H16" t="str">
            <v>Any</v>
          </cell>
        </row>
        <row r="17">
          <cell r="B17" t="str">
            <v>Lodging</v>
          </cell>
          <cell r="C17" t="str">
            <v>Lodging</v>
          </cell>
          <cell r="D17" t="str">
            <v>Lodging</v>
          </cell>
          <cell r="E17" t="str">
            <v>Any</v>
          </cell>
          <cell r="F17" t="str">
            <v>Lodging</v>
          </cell>
          <cell r="G17" t="str">
            <v>Any</v>
          </cell>
          <cell r="H17" t="str">
            <v>Any</v>
          </cell>
        </row>
        <row r="18">
          <cell r="B18" t="str">
            <v>Health Care</v>
          </cell>
          <cell r="C18" t="str">
            <v>Hospital</v>
          </cell>
          <cell r="D18" t="str">
            <v>Hospital</v>
          </cell>
          <cell r="E18" t="str">
            <v>Any</v>
          </cell>
          <cell r="F18" t="str">
            <v>Hospital</v>
          </cell>
          <cell r="G18" t="str">
            <v>Any</v>
          </cell>
          <cell r="H18" t="str">
            <v>Any</v>
          </cell>
        </row>
        <row r="19">
          <cell r="B19" t="str">
            <v>Health Care</v>
          </cell>
          <cell r="C19" t="str">
            <v>Residential Care</v>
          </cell>
          <cell r="D19" t="str">
            <v>Residential Care</v>
          </cell>
          <cell r="E19" t="str">
            <v>Any</v>
          </cell>
          <cell r="F19" t="str">
            <v>OtherHealth</v>
          </cell>
          <cell r="G19" t="str">
            <v>Any</v>
          </cell>
          <cell r="H19" t="str">
            <v>Any</v>
          </cell>
        </row>
        <row r="20">
          <cell r="B20" t="str">
            <v>Assembly</v>
          </cell>
          <cell r="C20" t="str">
            <v>Assembly</v>
          </cell>
          <cell r="D20" t="str">
            <v>Assembly</v>
          </cell>
          <cell r="E20" t="str">
            <v>Any</v>
          </cell>
          <cell r="F20" t="str">
            <v>Assembly</v>
          </cell>
          <cell r="G20" t="str">
            <v>Any</v>
          </cell>
          <cell r="H20" t="str">
            <v>Any</v>
          </cell>
        </row>
        <row r="21">
          <cell r="B21" t="str">
            <v>Other</v>
          </cell>
          <cell r="C21" t="str">
            <v>Other</v>
          </cell>
          <cell r="D21" t="str">
            <v>Other</v>
          </cell>
          <cell r="E21" t="str">
            <v>Any</v>
          </cell>
          <cell r="F21" t="str">
            <v>Other</v>
          </cell>
          <cell r="G21" t="str">
            <v>Any</v>
          </cell>
          <cell r="H21" t="str">
            <v>Any</v>
          </cell>
        </row>
        <row r="24">
          <cell r="B24" t="str">
            <v>Bldg_Type</v>
          </cell>
          <cell r="C24" t="str">
            <v>Office</v>
          </cell>
          <cell r="E24" t="str">
            <v>CBSA Data</v>
          </cell>
        </row>
        <row r="25">
          <cell r="B25" t="str">
            <v>HeatSys_Primary_PrimFuel</v>
          </cell>
          <cell r="C25" t="str">
            <v>(All)</v>
          </cell>
        </row>
        <row r="27">
          <cell r="C27" t="str">
            <v>Values</v>
          </cell>
        </row>
        <row r="28">
          <cell r="B28" t="str">
            <v>Row Labels</v>
          </cell>
          <cell r="C28" t="str">
            <v>Count of Bldg_Name</v>
          </cell>
          <cell r="D28" t="str">
            <v>Sum of Sf_PNW (New Data)</v>
          </cell>
          <cell r="E28" t="str">
            <v>Sum of Chiller_Qty</v>
          </cell>
          <cell r="F28" t="str">
            <v>Average of LPD_Ind</v>
          </cell>
          <cell r="G28" t="str">
            <v>WT Average of LPD_Ind</v>
          </cell>
          <cell r="I28" t="str">
            <v>WT Average of Annual Hrs_Light</v>
          </cell>
          <cell r="K28" t="str">
            <v>Average of HeatSys_ Electricity_Pct</v>
          </cell>
          <cell r="L28" t="str">
            <v>WT Average of HeatSys_ Electricity_Pct</v>
          </cell>
          <cell r="M28" t="str">
            <v>Average of Hrs_Occupied</v>
          </cell>
          <cell r="N28" t="str">
            <v>New EUIs</v>
          </cell>
        </row>
        <row r="29">
          <cell r="B29" t="str">
            <v>&lt;5,001</v>
          </cell>
          <cell r="C29">
            <v>32</v>
          </cell>
          <cell r="D29">
            <v>95458311.526895136</v>
          </cell>
          <cell r="E29">
            <v>0</v>
          </cell>
          <cell r="F29">
            <v>1.44600515748125</v>
          </cell>
          <cell r="G29">
            <v>1.4196043411312098</v>
          </cell>
          <cell r="I29">
            <v>2605.1531889816397</v>
          </cell>
          <cell r="J29">
            <v>2605.1531889816397</v>
          </cell>
          <cell r="K29">
            <v>55.871005424767731</v>
          </cell>
          <cell r="L29">
            <v>62.641582479308482</v>
          </cell>
          <cell r="M29">
            <v>51.078125</v>
          </cell>
          <cell r="N29">
            <v>15.414112631735692</v>
          </cell>
        </row>
        <row r="30">
          <cell r="B30" t="str">
            <v>5,001-20,000</v>
          </cell>
          <cell r="C30">
            <v>21</v>
          </cell>
          <cell r="D30">
            <v>179770297.47310495</v>
          </cell>
          <cell r="E30">
            <v>1</v>
          </cell>
          <cell r="F30">
            <v>1.1349086639428572</v>
          </cell>
          <cell r="G30">
            <v>1.1352814227841366</v>
          </cell>
          <cell r="H30">
            <v>1.1271197868627141</v>
          </cell>
          <cell r="I30">
            <v>2621.0311132130655</v>
          </cell>
          <cell r="J30">
            <v>2810.5319958026707</v>
          </cell>
          <cell r="K30">
            <v>54.065498637753784</v>
          </cell>
          <cell r="L30">
            <v>52.128877602508318</v>
          </cell>
          <cell r="M30">
            <v>53.38095238095238</v>
          </cell>
          <cell r="N30">
            <v>12.555992472807018</v>
          </cell>
        </row>
        <row r="31">
          <cell r="B31" t="str">
            <v>20,001-50,000</v>
          </cell>
          <cell r="C31">
            <v>29</v>
          </cell>
          <cell r="D31">
            <v>136471707.75979474</v>
          </cell>
          <cell r="E31">
            <v>4</v>
          </cell>
          <cell r="F31">
            <v>1.152219445848276</v>
          </cell>
          <cell r="G31">
            <v>1.1212096367127184</v>
          </cell>
          <cell r="I31">
            <v>3060.1561163897027</v>
          </cell>
          <cell r="K31">
            <v>37.18170782263401</v>
          </cell>
          <cell r="L31">
            <v>34.735507973306092</v>
          </cell>
          <cell r="M31">
            <v>59.137931034482762</v>
          </cell>
          <cell r="N31">
            <v>16.763935531313802</v>
          </cell>
        </row>
        <row r="32">
          <cell r="B32" t="str">
            <v>50,001-100,000</v>
          </cell>
          <cell r="C32">
            <v>10</v>
          </cell>
          <cell r="D32">
            <v>121007363.24020527</v>
          </cell>
          <cell r="E32">
            <v>13</v>
          </cell>
          <cell r="F32">
            <v>0.82888965290000005</v>
          </cell>
          <cell r="G32">
            <v>0.8372967994754239</v>
          </cell>
          <cell r="H32">
            <v>0.86082195143942553</v>
          </cell>
          <cell r="I32">
            <v>3222.7884337083865</v>
          </cell>
          <cell r="J32">
            <v>3295.5283728075524</v>
          </cell>
          <cell r="K32">
            <v>33.806146572104019</v>
          </cell>
          <cell r="L32">
            <v>24.223397014792155</v>
          </cell>
          <cell r="M32">
            <v>61.1</v>
          </cell>
          <cell r="N32">
            <v>22.992427101465715</v>
          </cell>
        </row>
        <row r="33">
          <cell r="B33" t="str">
            <v>100,001+</v>
          </cell>
          <cell r="C33">
            <v>24</v>
          </cell>
          <cell r="D33">
            <v>201650445.99999997</v>
          </cell>
          <cell r="E33">
            <v>35</v>
          </cell>
          <cell r="F33">
            <v>0.88098196757083302</v>
          </cell>
          <cell r="G33">
            <v>0.87062409809109287</v>
          </cell>
          <cell r="I33">
            <v>3339.1785030564247</v>
          </cell>
          <cell r="K33">
            <v>49.790143766954543</v>
          </cell>
          <cell r="L33">
            <v>55.115989937160393</v>
          </cell>
          <cell r="M33">
            <v>61.958333333333336</v>
          </cell>
          <cell r="N33">
            <v>14.574986322602543</v>
          </cell>
        </row>
        <row r="34">
          <cell r="B34" t="str">
            <v>Grand Total</v>
          </cell>
          <cell r="C34">
            <v>116</v>
          </cell>
          <cell r="D34">
            <v>734358126.00000024</v>
          </cell>
          <cell r="E34">
            <v>53</v>
          </cell>
          <cell r="F34">
            <v>1.1461385746767239</v>
          </cell>
          <cell r="G34">
            <v>1.0478499451391019</v>
          </cell>
          <cell r="I34">
            <v>2996.9298166001049</v>
          </cell>
          <cell r="K34">
            <v>47.761973122568946</v>
          </cell>
          <cell r="L34">
            <v>46.485045602193175</v>
          </cell>
          <cell r="M34">
            <v>56.625</v>
          </cell>
        </row>
        <row r="37">
          <cell r="B37" t="str">
            <v>Bldg_Type</v>
          </cell>
          <cell r="C37" t="str">
            <v>Retail/Service</v>
          </cell>
        </row>
        <row r="38">
          <cell r="B38" t="str">
            <v>HeatSys_Primary_PrimFuel</v>
          </cell>
          <cell r="C38" t="str">
            <v>(All)</v>
          </cell>
        </row>
        <row r="40">
          <cell r="C40" t="str">
            <v>Values</v>
          </cell>
        </row>
        <row r="41">
          <cell r="B41" t="str">
            <v>Row Labels</v>
          </cell>
          <cell r="C41" t="str">
            <v>Count of Bldg_Name</v>
          </cell>
          <cell r="D41" t="str">
            <v>Sum of Sf_PNW (New Data)</v>
          </cell>
          <cell r="E41" t="str">
            <v>Sum of Chiller_Qty</v>
          </cell>
          <cell r="F41" t="str">
            <v>Average of LPD_Ind</v>
          </cell>
          <cell r="G41" t="str">
            <v>WT Average of LPD_Ind</v>
          </cell>
          <cell r="I41" t="str">
            <v>WT Average of Annual Hrs_Light</v>
          </cell>
          <cell r="K41" t="str">
            <v>Average of HeatSys_Electricity_Pct</v>
          </cell>
          <cell r="L41" t="str">
            <v>WT Average of HeatSys_ Electricity_Pct</v>
          </cell>
          <cell r="M41" t="str">
            <v>Average of Hrs_Occupied</v>
          </cell>
          <cell r="N41" t="str">
            <v>New EUIs</v>
          </cell>
        </row>
        <row r="42">
          <cell r="B42" t="str">
            <v>&lt;5,001</v>
          </cell>
          <cell r="C42">
            <v>30</v>
          </cell>
          <cell r="D42">
            <v>59224380.554442525</v>
          </cell>
          <cell r="E42">
            <v>0</v>
          </cell>
          <cell r="F42">
            <v>1.5272819154399999</v>
          </cell>
          <cell r="G42">
            <v>1.4369897064659012</v>
          </cell>
          <cell r="I42">
            <v>2762.118796566951</v>
          </cell>
          <cell r="K42">
            <v>43.785677771108105</v>
          </cell>
          <cell r="L42">
            <v>33.051637833495548</v>
          </cell>
          <cell r="M42">
            <v>55.1</v>
          </cell>
          <cell r="N42">
            <v>12.875436812066214</v>
          </cell>
        </row>
        <row r="43">
          <cell r="B43" t="str">
            <v>5,001-20,000</v>
          </cell>
          <cell r="C43">
            <v>25</v>
          </cell>
          <cell r="D43">
            <v>186496889.44555736</v>
          </cell>
          <cell r="E43">
            <v>0</v>
          </cell>
          <cell r="F43">
            <v>1.2664125675400002</v>
          </cell>
          <cell r="G43">
            <v>1.2388327171274434</v>
          </cell>
          <cell r="I43">
            <v>3795.0044826849821</v>
          </cell>
          <cell r="K43">
            <v>37.407750162009684</v>
          </cell>
          <cell r="L43">
            <v>23.158266244637343</v>
          </cell>
          <cell r="M43">
            <v>76.34</v>
          </cell>
          <cell r="N43">
            <v>12.333063850163656</v>
          </cell>
        </row>
        <row r="44">
          <cell r="B44" t="str">
            <v>20,001-50,000</v>
          </cell>
          <cell r="C44">
            <v>34</v>
          </cell>
          <cell r="D44">
            <v>159704133.08919233</v>
          </cell>
          <cell r="E44">
            <v>0</v>
          </cell>
          <cell r="F44">
            <v>1.0958497064352939</v>
          </cell>
          <cell r="G44">
            <v>1.0864505514680138</v>
          </cell>
          <cell r="H44">
            <v>1.0777987100431961</v>
          </cell>
          <cell r="I44">
            <v>3667.5345811967941</v>
          </cell>
          <cell r="J44">
            <v>3692.2254794077244</v>
          </cell>
          <cell r="K44">
            <v>13.037434423723496</v>
          </cell>
          <cell r="L44">
            <v>11.646288604900541</v>
          </cell>
          <cell r="M44">
            <v>72.32352941176471</v>
          </cell>
          <cell r="N44">
            <v>10.175630709696762</v>
          </cell>
        </row>
        <row r="45">
          <cell r="B45" t="str">
            <v>50,001-100,000</v>
          </cell>
          <cell r="C45">
            <v>4</v>
          </cell>
          <cell r="D45">
            <v>31550759.910807587</v>
          </cell>
          <cell r="E45">
            <v>0</v>
          </cell>
          <cell r="F45">
            <v>0.98225486277500007</v>
          </cell>
          <cell r="G45">
            <v>1.004258057932244</v>
          </cell>
          <cell r="I45">
            <v>3817.2062565781425</v>
          </cell>
          <cell r="K45">
            <v>1.8510750088321051</v>
          </cell>
          <cell r="L45">
            <v>1.570370412390194</v>
          </cell>
          <cell r="M45">
            <v>77.25</v>
          </cell>
          <cell r="N45">
            <v>10.151096637221519</v>
          </cell>
        </row>
        <row r="46">
          <cell r="B46" t="str">
            <v>100,001+</v>
          </cell>
          <cell r="C46">
            <v>34</v>
          </cell>
          <cell r="D46">
            <v>133953325</v>
          </cell>
          <cell r="E46">
            <v>6</v>
          </cell>
          <cell r="F46">
            <v>1.1930721681228571</v>
          </cell>
          <cell r="G46">
            <v>1.1904887164069691</v>
          </cell>
          <cell r="I46">
            <v>6230.7045853104373</v>
          </cell>
          <cell r="K46">
            <v>12.375882269927777</v>
          </cell>
          <cell r="L46">
            <v>8.4570799844658442</v>
          </cell>
          <cell r="M46">
            <v>128.59285714285716</v>
          </cell>
          <cell r="N46">
            <v>17.009833900111737</v>
          </cell>
        </row>
        <row r="47">
          <cell r="B47" t="str">
            <v>Grand Total</v>
          </cell>
          <cell r="C47">
            <v>127</v>
          </cell>
          <cell r="D47">
            <v>570929487.99999988</v>
          </cell>
          <cell r="E47">
            <v>6</v>
          </cell>
          <cell r="F47">
            <v>1.2533141172335944</v>
          </cell>
          <cell r="G47">
            <v>1.1924571389360319</v>
          </cell>
          <cell r="I47">
            <v>4224.9019225439506</v>
          </cell>
          <cell r="K47">
            <v>24.047433324688789</v>
          </cell>
          <cell r="L47">
            <v>16.322099981443166</v>
          </cell>
          <cell r="M47">
            <v>84.611328125</v>
          </cell>
        </row>
        <row r="56">
          <cell r="B56" t="str">
            <v>Map to building occupancy codes for various sources</v>
          </cell>
        </row>
        <row r="58">
          <cell r="B58" t="str">
            <v>Ecotope Building Type</v>
          </cell>
          <cell r="C58" t="str">
            <v>NPPC BUILDTYPE</v>
          </cell>
          <cell r="E58" t="str">
            <v>NPPC to Ecotope</v>
          </cell>
          <cell r="F58" t="str">
            <v>NPPC Ten</v>
          </cell>
          <cell r="H58" t="str">
            <v>VCohort</v>
          </cell>
          <cell r="N58" t="str">
            <v>Characteristics</v>
          </cell>
        </row>
        <row r="59">
          <cell r="B59" t="str">
            <v>Assembly</v>
          </cell>
          <cell r="C59" t="str">
            <v>Large Off</v>
          </cell>
          <cell r="E59" t="str">
            <v>Office - Large</v>
          </cell>
          <cell r="F59" t="str">
            <v>Large Off</v>
          </cell>
          <cell r="H59" t="str">
            <v>New</v>
          </cell>
          <cell r="I59" t="str">
            <v>Apples to new floor area in year</v>
          </cell>
          <cell r="L59" t="str">
            <v>Primary Activity</v>
          </cell>
          <cell r="M59" t="str">
            <v>Council Building Type</v>
          </cell>
          <cell r="N59" t="str">
            <v>Gross Floor Area in Square Feet</v>
          </cell>
          <cell r="O59" t="str">
            <v>Number of Stories</v>
          </cell>
          <cell r="P59" t="str">
            <v>Other</v>
          </cell>
        </row>
        <row r="60">
          <cell r="B60" t="str">
            <v>College</v>
          </cell>
          <cell r="C60" t="str">
            <v>Medium Off</v>
          </cell>
          <cell r="E60" t="str">
            <v>Office - Large</v>
          </cell>
          <cell r="F60" t="str">
            <v>Medium Off</v>
          </cell>
          <cell r="H60" t="str">
            <v>Retrofit</v>
          </cell>
          <cell r="I60" t="str">
            <v>Applies to existing floor area in year taking account of demolition, NR, and baseline measure penetration.</v>
          </cell>
          <cell r="L60" t="str">
            <v>Office</v>
          </cell>
          <cell r="M60" t="str">
            <v>Large Office</v>
          </cell>
          <cell r="N60" t="str">
            <v>&gt; 100,000</v>
          </cell>
          <cell r="O60" t="str">
            <v>Any</v>
          </cell>
        </row>
        <row r="61">
          <cell r="B61" t="str">
            <v>Grocery</v>
          </cell>
          <cell r="C61" t="str">
            <v>Small Off</v>
          </cell>
          <cell r="E61" t="str">
            <v>Office - Small</v>
          </cell>
          <cell r="F61" t="str">
            <v>Small Off</v>
          </cell>
          <cell r="H61" t="str">
            <v>NR</v>
          </cell>
          <cell r="I61" t="str">
            <v>Applies at natural replacement of system or component. Replace on Burn Out</v>
          </cell>
          <cell r="L61" t="str">
            <v>Office</v>
          </cell>
          <cell r="M61" t="str">
            <v>Medium Office</v>
          </cell>
          <cell r="N61" t="str">
            <v>20,000 to 100,000</v>
          </cell>
          <cell r="O61" t="str">
            <v>Any</v>
          </cell>
        </row>
        <row r="62">
          <cell r="B62" t="str">
            <v>Hospital</v>
          </cell>
          <cell r="C62" t="str">
            <v>Big Box</v>
          </cell>
          <cell r="E62" t="str">
            <v>Retail - Large</v>
          </cell>
          <cell r="F62" t="str">
            <v>Big Box</v>
          </cell>
          <cell r="L62" t="str">
            <v>Office</v>
          </cell>
          <cell r="M62" t="str">
            <v>Small Office</v>
          </cell>
          <cell r="N62" t="str">
            <v>&lt; 20,000</v>
          </cell>
          <cell r="O62" t="str">
            <v>Any</v>
          </cell>
        </row>
        <row r="63">
          <cell r="B63" t="str">
            <v>Hotel</v>
          </cell>
          <cell r="C63" t="str">
            <v>Small Box</v>
          </cell>
          <cell r="E63" t="str">
            <v>Retail - Small</v>
          </cell>
          <cell r="F63" t="str">
            <v>Small Box</v>
          </cell>
          <cell r="L63" t="str">
            <v>Retail</v>
          </cell>
          <cell r="M63" t="str">
            <v>Big Box</v>
          </cell>
          <cell r="N63" t="str">
            <v>&gt; 50,000</v>
          </cell>
          <cell r="O63">
            <v>1</v>
          </cell>
          <cell r="P63" t="str">
            <v>Includes some Grocery</v>
          </cell>
        </row>
        <row r="64">
          <cell r="B64" t="str">
            <v>Lab</v>
          </cell>
          <cell r="C64" t="str">
            <v>High End</v>
          </cell>
          <cell r="E64" t="str">
            <v>Retail - Small</v>
          </cell>
          <cell r="F64" t="str">
            <v>High End</v>
          </cell>
          <cell r="L64" t="str">
            <v>Retail</v>
          </cell>
          <cell r="M64" t="str">
            <v>Small Box</v>
          </cell>
          <cell r="N64" t="str">
            <v>&lt;50,000</v>
          </cell>
          <cell r="O64">
            <v>1</v>
          </cell>
        </row>
        <row r="65">
          <cell r="B65" t="str">
            <v>Laundry</v>
          </cell>
          <cell r="C65" t="str">
            <v>Anchor</v>
          </cell>
          <cell r="E65" t="str">
            <v>Retail - Large</v>
          </cell>
          <cell r="F65" t="str">
            <v>Anchor</v>
          </cell>
          <cell r="L65" t="str">
            <v>Retail</v>
          </cell>
          <cell r="M65" t="str">
            <v>High End</v>
          </cell>
          <cell r="N65" t="str">
            <v>&lt; 20,000</v>
          </cell>
          <cell r="O65">
            <v>1</v>
          </cell>
          <cell r="P65" t="str">
            <v>High lighting density</v>
          </cell>
        </row>
        <row r="66">
          <cell r="B66" t="str">
            <v>Motel</v>
          </cell>
          <cell r="C66" t="str">
            <v>K-12</v>
          </cell>
          <cell r="E66" t="str">
            <v>School - Primary</v>
          </cell>
          <cell r="F66" t="str">
            <v>K-13</v>
          </cell>
          <cell r="L66" t="str">
            <v>Retail</v>
          </cell>
          <cell r="M66" t="str">
            <v>Anchor</v>
          </cell>
          <cell r="N66" t="str">
            <v>&gt; 50,000</v>
          </cell>
          <cell r="O66" t="str">
            <v>&gt;1</v>
          </cell>
        </row>
        <row r="67">
          <cell r="B67" t="str">
            <v>Office - Large</v>
          </cell>
          <cell r="C67" t="str">
            <v>University</v>
          </cell>
          <cell r="E67" t="str">
            <v>College</v>
          </cell>
          <cell r="F67" t="str">
            <v>University</v>
          </cell>
          <cell r="L67" t="str">
            <v>School</v>
          </cell>
          <cell r="M67" t="str">
            <v>K-12</v>
          </cell>
          <cell r="N67" t="str">
            <v>Any</v>
          </cell>
          <cell r="O67" t="str">
            <v>Any</v>
          </cell>
        </row>
        <row r="68">
          <cell r="B68" t="str">
            <v>Office - Small</v>
          </cell>
          <cell r="C68" t="str">
            <v>Warehouse</v>
          </cell>
          <cell r="E68" t="str">
            <v>Warehouse</v>
          </cell>
          <cell r="F68" t="str">
            <v>Warehouse</v>
          </cell>
          <cell r="L68" t="str">
            <v>School</v>
          </cell>
          <cell r="M68" t="str">
            <v>University</v>
          </cell>
          <cell r="N68" t="str">
            <v>Any</v>
          </cell>
          <cell r="O68" t="str">
            <v>Any</v>
          </cell>
        </row>
        <row r="69">
          <cell r="B69" t="str">
            <v>Rest-Fast Food</v>
          </cell>
          <cell r="C69" t="str">
            <v>Supermarket</v>
          </cell>
          <cell r="E69" t="str">
            <v>Grocery</v>
          </cell>
          <cell r="F69" t="str">
            <v>Supermarket</v>
          </cell>
          <cell r="L69" t="str">
            <v>Warehouse</v>
          </cell>
          <cell r="M69" t="str">
            <v>Warehouse</v>
          </cell>
          <cell r="N69" t="str">
            <v>Any</v>
          </cell>
          <cell r="O69" t="str">
            <v>Any</v>
          </cell>
        </row>
        <row r="70">
          <cell r="B70" t="str">
            <v>Rest-Full Serve</v>
          </cell>
          <cell r="C70" t="str">
            <v>MIniMart</v>
          </cell>
          <cell r="E70" t="str">
            <v>Grocery</v>
          </cell>
          <cell r="F70" t="str">
            <v>MIniMart</v>
          </cell>
          <cell r="L70" t="str">
            <v>Retail Food Sales</v>
          </cell>
          <cell r="M70" t="str">
            <v>Supermarket</v>
          </cell>
          <cell r="N70" t="str">
            <v>&gt; 5000</v>
          </cell>
          <cell r="O70" t="str">
            <v>Any</v>
          </cell>
        </row>
        <row r="71">
          <cell r="B71" t="str">
            <v>Retail - Large</v>
          </cell>
          <cell r="C71" t="str">
            <v>Restaurant</v>
          </cell>
          <cell r="E71" t="str">
            <v>Rest-Fast Food</v>
          </cell>
          <cell r="F71" t="str">
            <v>Restaurant</v>
          </cell>
          <cell r="L71" t="str">
            <v>Retail Food Sales</v>
          </cell>
          <cell r="M71" t="str">
            <v>MiniMart</v>
          </cell>
          <cell r="N71" t="str">
            <v>&lt; 5000</v>
          </cell>
          <cell r="O71" t="str">
            <v>Any</v>
          </cell>
        </row>
        <row r="72">
          <cell r="B72" t="str">
            <v>Retail - Small</v>
          </cell>
          <cell r="C72" t="str">
            <v>Lodging</v>
          </cell>
          <cell r="E72" t="str">
            <v>Motel</v>
          </cell>
          <cell r="F72" t="str">
            <v>Lodging</v>
          </cell>
          <cell r="L72" t="str">
            <v>Restaurant</v>
          </cell>
          <cell r="M72" t="str">
            <v>Restaurant</v>
          </cell>
          <cell r="N72" t="str">
            <v>Any</v>
          </cell>
          <cell r="O72" t="str">
            <v>Any</v>
          </cell>
        </row>
        <row r="73">
          <cell r="B73" t="str">
            <v>Retirement</v>
          </cell>
          <cell r="C73" t="str">
            <v>Hospital</v>
          </cell>
          <cell r="E73" t="str">
            <v>Hospital</v>
          </cell>
          <cell r="F73" t="str">
            <v>Hospital</v>
          </cell>
          <cell r="L73" t="str">
            <v>Lodging</v>
          </cell>
          <cell r="M73" t="str">
            <v>Lodging</v>
          </cell>
          <cell r="N73" t="str">
            <v>Any</v>
          </cell>
          <cell r="O73" t="str">
            <v>Any</v>
          </cell>
        </row>
        <row r="74">
          <cell r="B74" t="str">
            <v>School - Primary</v>
          </cell>
          <cell r="C74" t="str">
            <v>OtherHealth</v>
          </cell>
          <cell r="E74" t="str">
            <v>Skilled Nursing</v>
          </cell>
          <cell r="F74" t="str">
            <v>OtherHealth</v>
          </cell>
          <cell r="L74" t="str">
            <v>Health Care</v>
          </cell>
          <cell r="M74" t="str">
            <v>Hospital</v>
          </cell>
          <cell r="N74" t="str">
            <v>Any</v>
          </cell>
          <cell r="O74" t="str">
            <v>Any</v>
          </cell>
        </row>
        <row r="75">
          <cell r="B75" t="str">
            <v>School - Secondary</v>
          </cell>
          <cell r="C75" t="str">
            <v>Assembly</v>
          </cell>
          <cell r="E75" t="str">
            <v>Assembly</v>
          </cell>
          <cell r="L75" t="str">
            <v>Health Care</v>
          </cell>
          <cell r="M75" t="str">
            <v>OtherHealth</v>
          </cell>
          <cell r="N75" t="str">
            <v>Any</v>
          </cell>
          <cell r="O75" t="str">
            <v>Any</v>
          </cell>
        </row>
        <row r="76">
          <cell r="B76" t="str">
            <v>Workshop</v>
          </cell>
          <cell r="C76" t="str">
            <v>Other</v>
          </cell>
          <cell r="E76" t="str">
            <v>Other</v>
          </cell>
          <cell r="F76" t="str">
            <v>Other</v>
          </cell>
          <cell r="L76" t="str">
            <v>Other</v>
          </cell>
          <cell r="M76" t="str">
            <v>Other</v>
          </cell>
          <cell r="N76" t="str">
            <v>Any</v>
          </cell>
          <cell r="O76" t="str">
            <v>Any</v>
          </cell>
        </row>
        <row r="77">
          <cell r="B77" t="str">
            <v>Skilled Nursing</v>
          </cell>
        </row>
        <row r="78">
          <cell r="B78" t="str">
            <v>Warehouse</v>
          </cell>
        </row>
        <row r="79">
          <cell r="B79" t="str">
            <v>Other</v>
          </cell>
        </row>
        <row r="81">
          <cell r="E81" t="str">
            <v>Characteristics</v>
          </cell>
        </row>
        <row r="82">
          <cell r="C82" t="str">
            <v>NPPC BUILDTYPE</v>
          </cell>
          <cell r="E82" t="str">
            <v>Primary Activity</v>
          </cell>
          <cell r="F82" t="str">
            <v>Gross Floor Area</v>
          </cell>
          <cell r="G82" t="str">
            <v>Number of Stories</v>
          </cell>
          <cell r="H82" t="str">
            <v>Other</v>
          </cell>
          <cell r="I82" t="str">
            <v>Note</v>
          </cell>
        </row>
        <row r="83">
          <cell r="C83" t="str">
            <v>Large Off</v>
          </cell>
          <cell r="E83" t="str">
            <v>Office</v>
          </cell>
          <cell r="F83" t="str">
            <v>&gt; 100,000</v>
          </cell>
          <cell r="G83" t="str">
            <v>Any</v>
          </cell>
        </row>
        <row r="84">
          <cell r="C84" t="str">
            <v>Medium Off</v>
          </cell>
          <cell r="E84" t="str">
            <v>Office</v>
          </cell>
          <cell r="F84" t="str">
            <v>20,000 to 100,000</v>
          </cell>
          <cell r="G84" t="str">
            <v>Any</v>
          </cell>
        </row>
        <row r="85">
          <cell r="C85" t="str">
            <v>Small Off</v>
          </cell>
          <cell r="E85" t="str">
            <v>Office</v>
          </cell>
          <cell r="F85" t="str">
            <v>&lt; 20,000</v>
          </cell>
          <cell r="G85" t="str">
            <v>Any</v>
          </cell>
        </row>
        <row r="86">
          <cell r="C86" t="str">
            <v>Big Box</v>
          </cell>
          <cell r="E86" t="str">
            <v>Retail</v>
          </cell>
          <cell r="F86" t="str">
            <v>&gt; 50,000</v>
          </cell>
          <cell r="G86">
            <v>1</v>
          </cell>
          <cell r="I86" t="str">
            <v>Includes some stores that have groceries inside</v>
          </cell>
        </row>
        <row r="87">
          <cell r="C87" t="str">
            <v>Small Box</v>
          </cell>
          <cell r="E87" t="str">
            <v>Retail</v>
          </cell>
          <cell r="F87" t="str">
            <v>&lt;50,000</v>
          </cell>
          <cell r="G87">
            <v>1</v>
          </cell>
        </row>
        <row r="88">
          <cell r="C88" t="str">
            <v>High End</v>
          </cell>
          <cell r="E88" t="str">
            <v>Retail</v>
          </cell>
          <cell r="F88" t="str">
            <v>&lt; 20,000</v>
          </cell>
          <cell r="G88">
            <v>1</v>
          </cell>
          <cell r="H88" t="str">
            <v>and LPD &gt; 2.0 w/sf</v>
          </cell>
        </row>
        <row r="89">
          <cell r="C89" t="str">
            <v>Anchor</v>
          </cell>
          <cell r="E89" t="str">
            <v>Retail</v>
          </cell>
          <cell r="F89" t="str">
            <v>&gt; 50,000</v>
          </cell>
          <cell r="G89" t="str">
            <v>&gt;1</v>
          </cell>
        </row>
        <row r="90">
          <cell r="C90" t="str">
            <v>K-12</v>
          </cell>
          <cell r="E90" t="str">
            <v>School</v>
          </cell>
          <cell r="F90" t="str">
            <v>Any</v>
          </cell>
          <cell r="G90" t="str">
            <v>Any</v>
          </cell>
        </row>
        <row r="91">
          <cell r="C91" t="str">
            <v>University</v>
          </cell>
          <cell r="E91" t="str">
            <v>School</v>
          </cell>
          <cell r="F91" t="str">
            <v>Any</v>
          </cell>
          <cell r="G91" t="str">
            <v>Any</v>
          </cell>
        </row>
        <row r="92">
          <cell r="C92" t="str">
            <v>Warehouse</v>
          </cell>
          <cell r="E92" t="str">
            <v>Warehouse</v>
          </cell>
          <cell r="F92" t="str">
            <v>Any</v>
          </cell>
          <cell r="G92" t="str">
            <v>Any</v>
          </cell>
        </row>
        <row r="93">
          <cell r="C93" t="str">
            <v>Supermarket</v>
          </cell>
          <cell r="E93" t="str">
            <v>Retail Food</v>
          </cell>
          <cell r="F93" t="str">
            <v>&gt; 5000</v>
          </cell>
          <cell r="G93" t="str">
            <v>Any</v>
          </cell>
        </row>
        <row r="94">
          <cell r="C94" t="str">
            <v>MIniMart</v>
          </cell>
          <cell r="E94" t="str">
            <v>Retail Food</v>
          </cell>
          <cell r="F94" t="str">
            <v>&lt;= 5000</v>
          </cell>
          <cell r="G94" t="str">
            <v>Any</v>
          </cell>
        </row>
        <row r="95">
          <cell r="C95" t="str">
            <v>Restaurant</v>
          </cell>
          <cell r="E95" t="str">
            <v>Retail Food</v>
          </cell>
          <cell r="F95" t="str">
            <v>Any</v>
          </cell>
          <cell r="G95" t="str">
            <v>Any</v>
          </cell>
        </row>
        <row r="96">
          <cell r="C96" t="str">
            <v>Lodging</v>
          </cell>
          <cell r="E96" t="str">
            <v>Lodging</v>
          </cell>
          <cell r="F96" t="str">
            <v>Any</v>
          </cell>
          <cell r="G96" t="str">
            <v>Any</v>
          </cell>
        </row>
        <row r="97">
          <cell r="C97" t="str">
            <v>Hospital</v>
          </cell>
          <cell r="E97" t="str">
            <v>Health Care</v>
          </cell>
          <cell r="F97" t="str">
            <v>Any</v>
          </cell>
          <cell r="G97" t="str">
            <v>Any</v>
          </cell>
        </row>
        <row r="98">
          <cell r="C98" t="str">
            <v>OtherHealth</v>
          </cell>
          <cell r="E98" t="str">
            <v>Health Care</v>
          </cell>
          <cell r="F98" t="str">
            <v>Any</v>
          </cell>
          <cell r="G98" t="str">
            <v>Any</v>
          </cell>
        </row>
        <row r="99">
          <cell r="C99" t="str">
            <v>Other</v>
          </cell>
          <cell r="E99" t="str">
            <v>Other</v>
          </cell>
          <cell r="F99" t="str">
            <v>Any</v>
          </cell>
          <cell r="G99" t="str">
            <v>Any</v>
          </cell>
        </row>
      </sheetData>
      <sheetData sheetId="15">
        <row r="4">
          <cell r="C4" t="str">
            <v>PRE2002</v>
          </cell>
          <cell r="D4" t="str">
            <v>Com_Master_7P.xlsm!_PRE2002</v>
          </cell>
        </row>
        <row r="5">
          <cell r="C5" t="str">
            <v>PRE1987</v>
          </cell>
          <cell r="D5" t="str">
            <v>Com_Master_7P.xlsm!PRE1987</v>
          </cell>
        </row>
        <row r="6">
          <cell r="C6" t="str">
            <v>POST2002</v>
          </cell>
          <cell r="D6" t="str">
            <v>Com_Master_7P.xlsm!POST2002</v>
          </cell>
        </row>
        <row r="7">
          <cell r="C7" t="str">
            <v>V1987_2001</v>
          </cell>
          <cell r="D7" t="str">
            <v>Com_Master_7P.xlsm!V1987_2001</v>
          </cell>
        </row>
        <row r="8">
          <cell r="C8" t="str">
            <v>V1987_1994</v>
          </cell>
          <cell r="D8" t="str">
            <v>Com_Master_7P.xlsm!V1987_1994</v>
          </cell>
        </row>
        <row r="9">
          <cell r="C9" t="str">
            <v>V1995_2001</v>
          </cell>
          <cell r="D9" t="str">
            <v>Com_Master_7P.xlsm!V1995_2001</v>
          </cell>
        </row>
        <row r="10">
          <cell r="C10" t="str">
            <v>V2002_2006</v>
          </cell>
          <cell r="D10" t="str">
            <v>Com_Master_7P.xlsm!V2002_2006</v>
          </cell>
        </row>
        <row r="11">
          <cell r="C11" t="str">
            <v>POST2013</v>
          </cell>
          <cell r="D11" t="str">
            <v>Com_Master_7P.xlsm!POST2013</v>
          </cell>
        </row>
        <row r="12">
          <cell r="C12" t="str">
            <v>_PRE2013</v>
          </cell>
          <cell r="D12" t="str">
            <v>Com_Master_7P.xlsm!_PRE2013</v>
          </cell>
        </row>
      </sheetData>
      <sheetData sheetId="16">
        <row r="11">
          <cell r="B11" t="e">
            <v>#REF!</v>
          </cell>
          <cell r="C11" t="e">
            <v>#REF!</v>
          </cell>
          <cell r="D11" t="e">
            <v>#REF!</v>
          </cell>
          <cell r="E11" t="e">
            <v>#REF!</v>
          </cell>
          <cell r="F11" t="e">
            <v>#REF!</v>
          </cell>
          <cell r="G11" t="e">
            <v>#REF!</v>
          </cell>
          <cell r="H11" t="e">
            <v>#REF!</v>
          </cell>
          <cell r="I11" t="e">
            <v>#REF!</v>
          </cell>
          <cell r="J11" t="e">
            <v>#REF!</v>
          </cell>
          <cell r="K11" t="e">
            <v>#REF!</v>
          </cell>
          <cell r="L11" t="e">
            <v>#REF!</v>
          </cell>
          <cell r="M11" t="e">
            <v>#REF!</v>
          </cell>
          <cell r="N11" t="e">
            <v>#REF!</v>
          </cell>
          <cell r="O11" t="e">
            <v>#REF!</v>
          </cell>
          <cell r="P11" t="e">
            <v>#REF!</v>
          </cell>
          <cell r="Q11" t="e">
            <v>#REF!</v>
          </cell>
          <cell r="R11" t="e">
            <v>#REF!</v>
          </cell>
          <cell r="S11" t="e">
            <v>#REF!</v>
          </cell>
          <cell r="T11" t="e">
            <v>#REF!</v>
          </cell>
          <cell r="U11" t="e">
            <v>#REF!</v>
          </cell>
        </row>
        <row r="12">
          <cell r="B12" t="e">
            <v>#REF!</v>
          </cell>
          <cell r="C12" t="e">
            <v>#REF!</v>
          </cell>
          <cell r="D12" t="e">
            <v>#REF!</v>
          </cell>
          <cell r="E12" t="e">
            <v>#REF!</v>
          </cell>
          <cell r="F12" t="e">
            <v>#REF!</v>
          </cell>
          <cell r="G12" t="e">
            <v>#REF!</v>
          </cell>
          <cell r="H12" t="e">
            <v>#REF!</v>
          </cell>
          <cell r="I12" t="e">
            <v>#REF!</v>
          </cell>
          <cell r="J12" t="e">
            <v>#REF!</v>
          </cell>
          <cell r="K12" t="e">
            <v>#REF!</v>
          </cell>
          <cell r="L12" t="e">
            <v>#REF!</v>
          </cell>
          <cell r="M12" t="e">
            <v>#REF!</v>
          </cell>
          <cell r="N12" t="e">
            <v>#REF!</v>
          </cell>
          <cell r="O12" t="e">
            <v>#REF!</v>
          </cell>
          <cell r="P12" t="e">
            <v>#REF!</v>
          </cell>
          <cell r="Q12" t="e">
            <v>#REF!</v>
          </cell>
          <cell r="R12" t="e">
            <v>#REF!</v>
          </cell>
          <cell r="S12" t="e">
            <v>#REF!</v>
          </cell>
          <cell r="T12" t="e">
            <v>#REF!</v>
          </cell>
          <cell r="U12" t="e">
            <v>#REF!</v>
          </cell>
        </row>
        <row r="13">
          <cell r="B13" t="e">
            <v>#REF!</v>
          </cell>
          <cell r="C13" t="e">
            <v>#REF!</v>
          </cell>
          <cell r="D13" t="e">
            <v>#REF!</v>
          </cell>
          <cell r="E13" t="e">
            <v>#REF!</v>
          </cell>
          <cell r="F13" t="e">
            <v>#REF!</v>
          </cell>
          <cell r="G13" t="e">
            <v>#REF!</v>
          </cell>
          <cell r="H13" t="e">
            <v>#REF!</v>
          </cell>
          <cell r="I13" t="e">
            <v>#REF!</v>
          </cell>
          <cell r="J13" t="e">
            <v>#REF!</v>
          </cell>
          <cell r="K13" t="e">
            <v>#REF!</v>
          </cell>
          <cell r="L13" t="e">
            <v>#REF!</v>
          </cell>
          <cell r="M13" t="e">
            <v>#REF!</v>
          </cell>
          <cell r="N13" t="e">
            <v>#REF!</v>
          </cell>
          <cell r="O13" t="e">
            <v>#REF!</v>
          </cell>
          <cell r="P13" t="e">
            <v>#REF!</v>
          </cell>
          <cell r="Q13" t="e">
            <v>#REF!</v>
          </cell>
          <cell r="R13" t="e">
            <v>#REF!</v>
          </cell>
          <cell r="S13" t="e">
            <v>#REF!</v>
          </cell>
          <cell r="T13" t="e">
            <v>#REF!</v>
          </cell>
          <cell r="U13" t="e">
            <v>#REF!</v>
          </cell>
        </row>
        <row r="14">
          <cell r="B14" t="e">
            <v>#REF!</v>
          </cell>
          <cell r="C14" t="e">
            <v>#REF!</v>
          </cell>
          <cell r="F14" t="e">
            <v>#REF!</v>
          </cell>
          <cell r="J14" t="e">
            <v>#REF!</v>
          </cell>
          <cell r="L14" t="e">
            <v>#REF!</v>
          </cell>
          <cell r="M14" t="e">
            <v>#REF!</v>
          </cell>
          <cell r="O14" t="e">
            <v>#REF!</v>
          </cell>
          <cell r="P14" t="e">
            <v>#REF!</v>
          </cell>
          <cell r="Q14" t="e">
            <v>#REF!</v>
          </cell>
          <cell r="S14" t="e">
            <v>#REF!</v>
          </cell>
          <cell r="T14" t="e">
            <v>#REF!</v>
          </cell>
          <cell r="U14" t="e">
            <v>#REF!</v>
          </cell>
        </row>
        <row r="15">
          <cell r="B15" t="e">
            <v>#REF!</v>
          </cell>
          <cell r="C15" t="e">
            <v>#REF!</v>
          </cell>
          <cell r="D15" t="e">
            <v>#REF!</v>
          </cell>
          <cell r="E15" t="e">
            <v>#REF!</v>
          </cell>
          <cell r="F15" t="e">
            <v>#REF!</v>
          </cell>
          <cell r="G15" t="e">
            <v>#REF!</v>
          </cell>
          <cell r="H15" t="e">
            <v>#REF!</v>
          </cell>
          <cell r="I15" t="e">
            <v>#REF!</v>
          </cell>
          <cell r="J15" t="e">
            <v>#REF!</v>
          </cell>
          <cell r="K15" t="e">
            <v>#REF!</v>
          </cell>
          <cell r="L15" t="e">
            <v>#REF!</v>
          </cell>
          <cell r="M15" t="e">
            <v>#REF!</v>
          </cell>
          <cell r="N15" t="e">
            <v>#REF!</v>
          </cell>
          <cell r="O15" t="e">
            <v>#REF!</v>
          </cell>
          <cell r="P15" t="e">
            <v>#REF!</v>
          </cell>
          <cell r="Q15" t="e">
            <v>#REF!</v>
          </cell>
          <cell r="R15" t="e">
            <v>#REF!</v>
          </cell>
          <cell r="S15" t="e">
            <v>#REF!</v>
          </cell>
          <cell r="T15" t="e">
            <v>#REF!</v>
          </cell>
          <cell r="U15" t="e">
            <v>#REF!</v>
          </cell>
        </row>
        <row r="16">
          <cell r="B16" t="e">
            <v>#REF!</v>
          </cell>
          <cell r="C16" t="e">
            <v>#REF!</v>
          </cell>
          <cell r="F16" t="e">
            <v>#REF!</v>
          </cell>
          <cell r="J16" t="e">
            <v>#REF!</v>
          </cell>
          <cell r="L16" t="e">
            <v>#REF!</v>
          </cell>
          <cell r="M16" t="e">
            <v>#REF!</v>
          </cell>
          <cell r="O16" t="e">
            <v>#REF!</v>
          </cell>
          <cell r="P16" t="e">
            <v>#REF!</v>
          </cell>
          <cell r="Q16" t="e">
            <v>#REF!</v>
          </cell>
          <cell r="S16" t="e">
            <v>#REF!</v>
          </cell>
          <cell r="T16" t="e">
            <v>#REF!</v>
          </cell>
          <cell r="U16" t="e">
            <v>#REF!</v>
          </cell>
        </row>
        <row r="18">
          <cell r="C18" t="e">
            <v>#REF!</v>
          </cell>
          <cell r="D18" t="e">
            <v>#REF!</v>
          </cell>
          <cell r="E18" t="e">
            <v>#REF!</v>
          </cell>
          <cell r="F18" t="e">
            <v>#REF!</v>
          </cell>
          <cell r="G18" t="e">
            <v>#REF!</v>
          </cell>
          <cell r="H18" t="e">
            <v>#REF!</v>
          </cell>
          <cell r="I18" t="e">
            <v>#REF!</v>
          </cell>
          <cell r="J18" t="e">
            <v>#REF!</v>
          </cell>
          <cell r="K18" t="e">
            <v>#REF!</v>
          </cell>
          <cell r="L18" t="e">
            <v>#REF!</v>
          </cell>
          <cell r="M18" t="e">
            <v>#REF!</v>
          </cell>
          <cell r="N18" t="e">
            <v>#REF!</v>
          </cell>
          <cell r="O18" t="e">
            <v>#REF!</v>
          </cell>
          <cell r="P18" t="e">
            <v>#REF!</v>
          </cell>
          <cell r="Q18" t="e">
            <v>#REF!</v>
          </cell>
          <cell r="R18" t="e">
            <v>#REF!</v>
          </cell>
          <cell r="S18" t="e">
            <v>#REF!</v>
          </cell>
          <cell r="T18" t="e">
            <v>#REF!</v>
          </cell>
        </row>
        <row r="19">
          <cell r="B19" t="str">
            <v>E_EUITYP</v>
          </cell>
          <cell r="C19" t="e">
            <v>#REF!</v>
          </cell>
          <cell r="D19" t="e">
            <v>#REF!</v>
          </cell>
          <cell r="E19" t="e">
            <v>#REF!</v>
          </cell>
          <cell r="F19" t="e">
            <v>#REF!</v>
          </cell>
          <cell r="G19" t="e">
            <v>#REF!</v>
          </cell>
          <cell r="H19" t="e">
            <v>#REF!</v>
          </cell>
          <cell r="I19" t="e">
            <v>#REF!</v>
          </cell>
          <cell r="J19" t="e">
            <v>#REF!</v>
          </cell>
          <cell r="K19" t="e">
            <v>#REF!</v>
          </cell>
          <cell r="L19" t="e">
            <v>#REF!</v>
          </cell>
          <cell r="M19" t="e">
            <v>#REF!</v>
          </cell>
          <cell r="N19" t="e">
            <v>#REF!</v>
          </cell>
          <cell r="O19" t="e">
            <v>#REF!</v>
          </cell>
          <cell r="P19" t="e">
            <v>#REF!</v>
          </cell>
          <cell r="Q19" t="e">
            <v>#REF!</v>
          </cell>
          <cell r="R19" t="e">
            <v>#REF!</v>
          </cell>
          <cell r="S19" t="e">
            <v>#REF!</v>
          </cell>
          <cell r="T19" t="e">
            <v>#REF!</v>
          </cell>
        </row>
        <row r="20">
          <cell r="B20" t="str">
            <v>E_EUIREG</v>
          </cell>
          <cell r="C20" t="e">
            <v>#REF!</v>
          </cell>
          <cell r="F20" t="e">
            <v>#REF!</v>
          </cell>
          <cell r="J20" t="e">
            <v>#REF!</v>
          </cell>
          <cell r="L20" t="e">
            <v>#REF!</v>
          </cell>
          <cell r="M20" t="e">
            <v>#REF!</v>
          </cell>
          <cell r="O20" t="e">
            <v>#REF!</v>
          </cell>
          <cell r="P20" t="e">
            <v>#REF!</v>
          </cell>
          <cell r="Q20" t="e">
            <v>#REF!</v>
          </cell>
          <cell r="S20" t="e">
            <v>#REF!</v>
          </cell>
          <cell r="T20" t="e">
            <v>#REF!</v>
          </cell>
        </row>
        <row r="22">
          <cell r="B22" t="str">
            <v>ElecHtEUITYPHeat</v>
          </cell>
          <cell r="C22">
            <v>2</v>
          </cell>
          <cell r="D22">
            <v>2</v>
          </cell>
          <cell r="E22">
            <v>2</v>
          </cell>
          <cell r="F22">
            <v>2</v>
          </cell>
          <cell r="G22">
            <v>2.2000000000000002</v>
          </cell>
          <cell r="H22">
            <v>3</v>
          </cell>
          <cell r="I22">
            <v>3</v>
          </cell>
          <cell r="J22">
            <v>3</v>
          </cell>
          <cell r="K22">
            <v>4</v>
          </cell>
          <cell r="L22">
            <v>2</v>
          </cell>
          <cell r="M22">
            <v>5</v>
          </cell>
          <cell r="N22">
            <v>4</v>
          </cell>
          <cell r="O22">
            <v>4</v>
          </cell>
          <cell r="P22">
            <v>4</v>
          </cell>
          <cell r="Q22">
            <v>6</v>
          </cell>
          <cell r="R22">
            <v>5</v>
          </cell>
          <cell r="S22">
            <v>4</v>
          </cell>
          <cell r="T22">
            <v>4</v>
          </cell>
        </row>
        <row r="23">
          <cell r="B23" t="str">
            <v>GasHtEUITYPHeat</v>
          </cell>
          <cell r="C23">
            <v>0.1</v>
          </cell>
          <cell r="D23">
            <v>0.1</v>
          </cell>
          <cell r="E23">
            <v>0.1</v>
          </cell>
          <cell r="F23">
            <v>0.1</v>
          </cell>
          <cell r="G23">
            <v>0.1</v>
          </cell>
          <cell r="H23">
            <v>0.1</v>
          </cell>
          <cell r="I23">
            <v>0.1</v>
          </cell>
          <cell r="J23">
            <v>0.1</v>
          </cell>
          <cell r="K23">
            <v>0.1</v>
          </cell>
          <cell r="L23">
            <v>0.1</v>
          </cell>
          <cell r="M23">
            <v>0.1</v>
          </cell>
          <cell r="N23">
            <v>0.1</v>
          </cell>
          <cell r="O23">
            <v>0.1</v>
          </cell>
          <cell r="P23">
            <v>0.1</v>
          </cell>
          <cell r="Q23">
            <v>0.2</v>
          </cell>
          <cell r="R23">
            <v>0.1</v>
          </cell>
          <cell r="S23">
            <v>0.1</v>
          </cell>
          <cell r="T23">
            <v>0.1</v>
          </cell>
        </row>
        <row r="24">
          <cell r="B24" t="str">
            <v>HtPmpHtEUITYPHeat</v>
          </cell>
          <cell r="C24">
            <v>1</v>
          </cell>
          <cell r="D24">
            <v>1</v>
          </cell>
          <cell r="E24">
            <v>1</v>
          </cell>
          <cell r="F24">
            <v>1</v>
          </cell>
          <cell r="G24">
            <v>1.1000000000000001</v>
          </cell>
          <cell r="H24">
            <v>1.5</v>
          </cell>
          <cell r="I24">
            <v>1.5</v>
          </cell>
          <cell r="J24">
            <v>1.5</v>
          </cell>
          <cell r="K24">
            <v>2</v>
          </cell>
          <cell r="L24">
            <v>1</v>
          </cell>
          <cell r="M24">
            <v>2.5</v>
          </cell>
          <cell r="N24">
            <v>2</v>
          </cell>
          <cell r="O24">
            <v>2</v>
          </cell>
          <cell r="P24">
            <v>2</v>
          </cell>
          <cell r="Q24">
            <v>3</v>
          </cell>
          <cell r="R24">
            <v>2.5</v>
          </cell>
          <cell r="S24">
            <v>2</v>
          </cell>
          <cell r="T24">
            <v>2</v>
          </cell>
        </row>
        <row r="25">
          <cell r="B25" t="str">
            <v>ThermsTYPHeat</v>
          </cell>
          <cell r="C25">
            <v>0.27</v>
          </cell>
          <cell r="D25">
            <v>0.27</v>
          </cell>
          <cell r="E25">
            <v>0.27</v>
          </cell>
          <cell r="F25">
            <v>0.28999999999999998</v>
          </cell>
          <cell r="G25">
            <v>0.28999999999999998</v>
          </cell>
          <cell r="H25">
            <v>0.28999999999999998</v>
          </cell>
          <cell r="I25">
            <v>0.28999999999999998</v>
          </cell>
          <cell r="J25">
            <v>0.28999999999999998</v>
          </cell>
          <cell r="K25">
            <v>0.28999999999999998</v>
          </cell>
          <cell r="L25">
            <v>0.17</v>
          </cell>
          <cell r="M25">
            <v>0.5</v>
          </cell>
          <cell r="N25">
            <v>0.5</v>
          </cell>
          <cell r="O25">
            <v>0.5</v>
          </cell>
          <cell r="P25">
            <v>0.3</v>
          </cell>
          <cell r="Q25">
            <v>0.5</v>
          </cell>
          <cell r="R25">
            <v>0.5</v>
          </cell>
          <cell r="S25">
            <v>0.4</v>
          </cell>
          <cell r="T25">
            <v>0.6</v>
          </cell>
        </row>
        <row r="27">
          <cell r="B27" t="str">
            <v>EUITYPCool</v>
          </cell>
          <cell r="C27">
            <v>2.5</v>
          </cell>
          <cell r="D27">
            <v>1.8</v>
          </cell>
          <cell r="E27">
            <v>1</v>
          </cell>
          <cell r="F27">
            <v>1.2</v>
          </cell>
          <cell r="G27">
            <v>2.5</v>
          </cell>
          <cell r="H27">
            <v>3.5</v>
          </cell>
          <cell r="I27">
            <v>4</v>
          </cell>
          <cell r="J27">
            <v>0.7</v>
          </cell>
          <cell r="K27">
            <v>3</v>
          </cell>
          <cell r="L27">
            <v>0.5</v>
          </cell>
          <cell r="M27">
            <v>4</v>
          </cell>
          <cell r="N27">
            <v>6</v>
          </cell>
          <cell r="O27">
            <v>5</v>
          </cell>
          <cell r="P27">
            <v>2.5</v>
          </cell>
          <cell r="Q27">
            <v>2</v>
          </cell>
          <cell r="R27">
            <v>3</v>
          </cell>
          <cell r="S27">
            <v>2.5</v>
          </cell>
          <cell r="T27">
            <v>2.5</v>
          </cell>
        </row>
        <row r="28">
          <cell r="B28" t="str">
            <v>EUITYPVent</v>
          </cell>
          <cell r="C28" t="e">
            <v>#REF!</v>
          </cell>
          <cell r="D28" t="e">
            <v>#REF!</v>
          </cell>
          <cell r="E28" t="e">
            <v>#REF!</v>
          </cell>
          <cell r="F28" t="e">
            <v>#REF!</v>
          </cell>
          <cell r="G28">
            <v>2</v>
          </cell>
          <cell r="H28">
            <v>2.8</v>
          </cell>
          <cell r="I28">
            <v>2.6</v>
          </cell>
          <cell r="J28">
            <v>2.2999999999999998</v>
          </cell>
          <cell r="K28">
            <v>2</v>
          </cell>
          <cell r="L28">
            <v>0.5</v>
          </cell>
          <cell r="M28">
            <v>3.5</v>
          </cell>
          <cell r="N28">
            <v>4</v>
          </cell>
          <cell r="O28">
            <v>5</v>
          </cell>
          <cell r="P28">
            <v>2.5</v>
          </cell>
          <cell r="Q28">
            <v>7</v>
          </cell>
          <cell r="R28">
            <v>4.7</v>
          </cell>
          <cell r="S28">
            <v>2</v>
          </cell>
          <cell r="T28">
            <v>2</v>
          </cell>
        </row>
        <row r="29">
          <cell r="B29" t="str">
            <v>EUITYPWater</v>
          </cell>
          <cell r="C29">
            <v>0.5</v>
          </cell>
          <cell r="D29">
            <v>0.5</v>
          </cell>
          <cell r="E29">
            <v>0.5</v>
          </cell>
          <cell r="F29">
            <v>0.1</v>
          </cell>
          <cell r="G29">
            <v>0.1</v>
          </cell>
          <cell r="H29">
            <v>0.1</v>
          </cell>
          <cell r="I29">
            <v>0.1</v>
          </cell>
          <cell r="J29">
            <v>0.1</v>
          </cell>
          <cell r="K29">
            <v>1</v>
          </cell>
          <cell r="L29">
            <v>0.1</v>
          </cell>
          <cell r="M29">
            <v>1</v>
          </cell>
          <cell r="N29">
            <v>1</v>
          </cell>
          <cell r="O29">
            <v>1</v>
          </cell>
          <cell r="P29">
            <v>1</v>
          </cell>
          <cell r="Q29">
            <v>0.7</v>
          </cell>
          <cell r="R29">
            <v>0.5</v>
          </cell>
          <cell r="S29">
            <v>0.1</v>
          </cell>
          <cell r="T29">
            <v>0.1</v>
          </cell>
        </row>
        <row r="30">
          <cell r="B30" t="str">
            <v>EUITYPCook</v>
          </cell>
          <cell r="C30">
            <v>0.2</v>
          </cell>
          <cell r="D30">
            <v>0.1</v>
          </cell>
          <cell r="E30">
            <v>0</v>
          </cell>
          <cell r="F30">
            <v>1</v>
          </cell>
          <cell r="G30">
            <v>0.2</v>
          </cell>
          <cell r="H30">
            <v>0</v>
          </cell>
          <cell r="I30">
            <v>0</v>
          </cell>
          <cell r="J30">
            <v>0.5</v>
          </cell>
          <cell r="K30">
            <v>1</v>
          </cell>
          <cell r="L30">
            <v>0</v>
          </cell>
          <cell r="M30">
            <v>4</v>
          </cell>
          <cell r="N30">
            <v>8</v>
          </cell>
          <cell r="O30">
            <v>10</v>
          </cell>
          <cell r="P30">
            <v>1.5</v>
          </cell>
          <cell r="Q30">
            <v>0.7</v>
          </cell>
          <cell r="R30">
            <v>0</v>
          </cell>
          <cell r="S30">
            <v>0.1</v>
          </cell>
          <cell r="T30">
            <v>0.1</v>
          </cell>
        </row>
        <row r="31">
          <cell r="B31" t="str">
            <v>EUITYPRefr</v>
          </cell>
          <cell r="C31">
            <v>0.03</v>
          </cell>
          <cell r="D31">
            <v>0.03</v>
          </cell>
          <cell r="E31">
            <v>0.03</v>
          </cell>
          <cell r="F31">
            <v>15</v>
          </cell>
          <cell r="G31">
            <v>0.2</v>
          </cell>
          <cell r="H31">
            <v>0.03</v>
          </cell>
          <cell r="I31">
            <v>0.03</v>
          </cell>
          <cell r="J31">
            <v>0.5</v>
          </cell>
          <cell r="K31">
            <v>1</v>
          </cell>
          <cell r="L31">
            <v>0.03</v>
          </cell>
          <cell r="M31">
            <v>26</v>
          </cell>
          <cell r="N31">
            <v>36</v>
          </cell>
          <cell r="O31">
            <v>11</v>
          </cell>
          <cell r="P31">
            <v>1.5</v>
          </cell>
          <cell r="Q31">
            <v>1</v>
          </cell>
          <cell r="R31">
            <v>0.5</v>
          </cell>
          <cell r="S31">
            <v>2</v>
          </cell>
          <cell r="T31">
            <v>2</v>
          </cell>
        </row>
        <row r="32">
          <cell r="B32" t="str">
            <v>EUITYPLght</v>
          </cell>
          <cell r="C32" t="e">
            <v>#REF!</v>
          </cell>
          <cell r="D32" t="e">
            <v>#REF!</v>
          </cell>
          <cell r="E32" t="e">
            <v>#REF!</v>
          </cell>
          <cell r="F32" t="e">
            <v>#REF!</v>
          </cell>
          <cell r="G32" t="e">
            <v>#REF!</v>
          </cell>
          <cell r="H32" t="e">
            <v>#REF!</v>
          </cell>
          <cell r="I32" t="e">
            <v>#REF!</v>
          </cell>
          <cell r="J32" t="e">
            <v>#REF!</v>
          </cell>
          <cell r="K32" t="e">
            <v>#REF!</v>
          </cell>
          <cell r="L32" t="e">
            <v>#REF!</v>
          </cell>
          <cell r="M32" t="e">
            <v>#REF!</v>
          </cell>
          <cell r="N32" t="e">
            <v>#REF!</v>
          </cell>
          <cell r="O32" t="e">
            <v>#REF!</v>
          </cell>
          <cell r="P32" t="e">
            <v>#REF!</v>
          </cell>
          <cell r="Q32" t="e">
            <v>#REF!</v>
          </cell>
          <cell r="R32" t="e">
            <v>#REF!</v>
          </cell>
          <cell r="S32" t="e">
            <v>#REF!</v>
          </cell>
          <cell r="T32" t="e">
            <v>#REF!</v>
          </cell>
        </row>
        <row r="33">
          <cell r="B33" t="str">
            <v>EUITYPMisc</v>
          </cell>
          <cell r="C33">
            <v>5</v>
          </cell>
          <cell r="D33">
            <v>5</v>
          </cell>
          <cell r="E33">
            <v>4</v>
          </cell>
          <cell r="F33">
            <v>4</v>
          </cell>
          <cell r="G33">
            <v>2</v>
          </cell>
          <cell r="H33">
            <v>2</v>
          </cell>
          <cell r="I33">
            <v>2</v>
          </cell>
          <cell r="J33">
            <v>1</v>
          </cell>
          <cell r="K33">
            <v>6</v>
          </cell>
          <cell r="L33">
            <v>1.2</v>
          </cell>
          <cell r="M33">
            <v>2</v>
          </cell>
          <cell r="N33">
            <v>3</v>
          </cell>
          <cell r="O33">
            <v>3</v>
          </cell>
          <cell r="P33">
            <v>3.5</v>
          </cell>
          <cell r="Q33">
            <v>6</v>
          </cell>
          <cell r="R33">
            <v>3</v>
          </cell>
          <cell r="S33">
            <v>5</v>
          </cell>
          <cell r="T33">
            <v>5</v>
          </cell>
        </row>
        <row r="35">
          <cell r="B35" t="str">
            <v>ElecHtEUITYPTotal</v>
          </cell>
          <cell r="C35" t="e">
            <v>#REF!</v>
          </cell>
          <cell r="D35" t="e">
            <v>#REF!</v>
          </cell>
          <cell r="E35" t="e">
            <v>#REF!</v>
          </cell>
          <cell r="F35" t="e">
            <v>#REF!</v>
          </cell>
          <cell r="G35" t="e">
            <v>#REF!</v>
          </cell>
          <cell r="H35" t="e">
            <v>#REF!</v>
          </cell>
          <cell r="I35" t="e">
            <v>#REF!</v>
          </cell>
          <cell r="J35" t="e">
            <v>#REF!</v>
          </cell>
          <cell r="K35" t="e">
            <v>#REF!</v>
          </cell>
          <cell r="L35" t="e">
            <v>#REF!</v>
          </cell>
          <cell r="M35" t="e">
            <v>#REF!</v>
          </cell>
          <cell r="N35" t="e">
            <v>#REF!</v>
          </cell>
          <cell r="O35" t="e">
            <v>#REF!</v>
          </cell>
          <cell r="P35" t="e">
            <v>#REF!</v>
          </cell>
          <cell r="Q35" t="e">
            <v>#REF!</v>
          </cell>
          <cell r="R35" t="e">
            <v>#REF!</v>
          </cell>
          <cell r="S35" t="e">
            <v>#REF!</v>
          </cell>
          <cell r="T35" t="e">
            <v>#REF!</v>
          </cell>
        </row>
        <row r="36">
          <cell r="B36" t="str">
            <v>GasHtEUITYPTotal</v>
          </cell>
          <cell r="C36" t="e">
            <v>#REF!</v>
          </cell>
          <cell r="D36" t="e">
            <v>#REF!</v>
          </cell>
          <cell r="E36" t="e">
            <v>#REF!</v>
          </cell>
          <cell r="F36" t="e">
            <v>#REF!</v>
          </cell>
          <cell r="G36" t="e">
            <v>#REF!</v>
          </cell>
          <cell r="H36" t="e">
            <v>#REF!</v>
          </cell>
          <cell r="I36" t="e">
            <v>#REF!</v>
          </cell>
          <cell r="J36" t="e">
            <v>#REF!</v>
          </cell>
          <cell r="K36" t="e">
            <v>#REF!</v>
          </cell>
          <cell r="L36" t="e">
            <v>#REF!</v>
          </cell>
          <cell r="M36" t="e">
            <v>#REF!</v>
          </cell>
          <cell r="N36" t="e">
            <v>#REF!</v>
          </cell>
          <cell r="O36" t="e">
            <v>#REF!</v>
          </cell>
          <cell r="P36" t="e">
            <v>#REF!</v>
          </cell>
          <cell r="Q36" t="e">
            <v>#REF!</v>
          </cell>
          <cell r="R36" t="e">
            <v>#REF!</v>
          </cell>
          <cell r="S36" t="e">
            <v>#REF!</v>
          </cell>
          <cell r="T36" t="e">
            <v>#REF!</v>
          </cell>
        </row>
        <row r="37">
          <cell r="B37" t="str">
            <v>HtPmpHtEUITYPTotal</v>
          </cell>
          <cell r="C37" t="e">
            <v>#REF!</v>
          </cell>
          <cell r="D37" t="e">
            <v>#REF!</v>
          </cell>
          <cell r="E37" t="e">
            <v>#REF!</v>
          </cell>
          <cell r="F37" t="e">
            <v>#REF!</v>
          </cell>
          <cell r="G37" t="e">
            <v>#REF!</v>
          </cell>
          <cell r="H37" t="e">
            <v>#REF!</v>
          </cell>
          <cell r="I37" t="e">
            <v>#REF!</v>
          </cell>
          <cell r="J37" t="e">
            <v>#REF!</v>
          </cell>
          <cell r="K37" t="e">
            <v>#REF!</v>
          </cell>
          <cell r="L37" t="e">
            <v>#REF!</v>
          </cell>
          <cell r="M37" t="e">
            <v>#REF!</v>
          </cell>
          <cell r="N37" t="e">
            <v>#REF!</v>
          </cell>
          <cell r="O37" t="e">
            <v>#REF!</v>
          </cell>
          <cell r="P37" t="e">
            <v>#REF!</v>
          </cell>
          <cell r="Q37" t="e">
            <v>#REF!</v>
          </cell>
          <cell r="R37" t="e">
            <v>#REF!</v>
          </cell>
          <cell r="S37" t="e">
            <v>#REF!</v>
          </cell>
          <cell r="T37" t="e">
            <v>#REF!</v>
          </cell>
        </row>
        <row r="38">
          <cell r="C38" t="e">
            <v>#REF!</v>
          </cell>
          <cell r="D38" t="e">
            <v>#REF!</v>
          </cell>
          <cell r="E38" t="e">
            <v>#REF!</v>
          </cell>
          <cell r="F38" t="e">
            <v>#REF!</v>
          </cell>
          <cell r="G38" t="e">
            <v>#REF!</v>
          </cell>
          <cell r="H38" t="e">
            <v>#REF!</v>
          </cell>
          <cell r="I38" t="e">
            <v>#REF!</v>
          </cell>
          <cell r="J38" t="e">
            <v>#REF!</v>
          </cell>
          <cell r="K38" t="e">
            <v>#REF!</v>
          </cell>
          <cell r="L38" t="e">
            <v>#REF!</v>
          </cell>
          <cell r="M38" t="e">
            <v>#REF!</v>
          </cell>
          <cell r="N38" t="e">
            <v>#REF!</v>
          </cell>
          <cell r="O38" t="e">
            <v>#REF!</v>
          </cell>
          <cell r="P38" t="e">
            <v>#REF!</v>
          </cell>
          <cell r="Q38" t="e">
            <v>#REF!</v>
          </cell>
          <cell r="R38" t="e">
            <v>#REF!</v>
          </cell>
          <cell r="S38" t="e">
            <v>#REF!</v>
          </cell>
          <cell r="T38" t="e">
            <v>#REF!</v>
          </cell>
        </row>
        <row r="39">
          <cell r="B39" t="str">
            <v>EUITYP Space Heat Weigheted Elec EUI by Type</v>
          </cell>
          <cell r="C39" t="e">
            <v>#REF!</v>
          </cell>
          <cell r="D39" t="e">
            <v>#REF!</v>
          </cell>
          <cell r="E39" t="e">
            <v>#REF!</v>
          </cell>
          <cell r="F39" t="e">
            <v>#REF!</v>
          </cell>
          <cell r="G39" t="e">
            <v>#REF!</v>
          </cell>
          <cell r="H39" t="e">
            <v>#REF!</v>
          </cell>
          <cell r="I39" t="e">
            <v>#REF!</v>
          </cell>
          <cell r="J39" t="e">
            <v>#REF!</v>
          </cell>
          <cell r="K39" t="e">
            <v>#REF!</v>
          </cell>
          <cell r="L39" t="e">
            <v>#REF!</v>
          </cell>
          <cell r="M39" t="e">
            <v>#REF!</v>
          </cell>
          <cell r="N39" t="e">
            <v>#REF!</v>
          </cell>
          <cell r="O39" t="e">
            <v>#REF!</v>
          </cell>
          <cell r="P39" t="e">
            <v>#REF!</v>
          </cell>
          <cell r="Q39" t="e">
            <v>#REF!</v>
          </cell>
          <cell r="R39" t="e">
            <v>#REF!</v>
          </cell>
          <cell r="S39" t="e">
            <v>#REF!</v>
          </cell>
          <cell r="T39" t="e">
            <v>#REF!</v>
          </cell>
        </row>
        <row r="41">
          <cell r="B41" t="str">
            <v>LPD</v>
          </cell>
          <cell r="C41">
            <v>1.1000000000000001</v>
          </cell>
          <cell r="D41">
            <v>1.3</v>
          </cell>
          <cell r="E41">
            <v>1.6</v>
          </cell>
          <cell r="F41">
            <v>1.5</v>
          </cell>
          <cell r="G41">
            <v>1.5</v>
          </cell>
          <cell r="H41">
            <v>2</v>
          </cell>
          <cell r="I41">
            <v>1.5</v>
          </cell>
          <cell r="J41">
            <v>1.1000000000000001</v>
          </cell>
          <cell r="K41">
            <v>1.2</v>
          </cell>
          <cell r="L41">
            <v>0.9</v>
          </cell>
          <cell r="M41">
            <v>1.6</v>
          </cell>
          <cell r="N41">
            <v>1.4</v>
          </cell>
          <cell r="O41">
            <v>1.3</v>
          </cell>
          <cell r="P41">
            <v>1.4</v>
          </cell>
          <cell r="Q41">
            <v>1.2</v>
          </cell>
          <cell r="R41">
            <v>1.3</v>
          </cell>
          <cell r="S41">
            <v>1</v>
          </cell>
          <cell r="T41">
            <v>1</v>
          </cell>
        </row>
        <row r="42">
          <cell r="B42" t="str">
            <v>HOURSLght</v>
          </cell>
          <cell r="C42" t="e">
            <v>#REF!</v>
          </cell>
          <cell r="D42" t="e">
            <v>#REF!</v>
          </cell>
          <cell r="E42" t="e">
            <v>#REF!</v>
          </cell>
          <cell r="F42" t="e">
            <v>#REF!</v>
          </cell>
          <cell r="G42" t="e">
            <v>#REF!</v>
          </cell>
          <cell r="H42" t="e">
            <v>#REF!</v>
          </cell>
          <cell r="I42" t="e">
            <v>#REF!</v>
          </cell>
          <cell r="J42" t="e">
            <v>#REF!</v>
          </cell>
          <cell r="K42" t="e">
            <v>#REF!</v>
          </cell>
          <cell r="L42" t="e">
            <v>#REF!</v>
          </cell>
          <cell r="M42" t="e">
            <v>#REF!</v>
          </cell>
          <cell r="N42" t="e">
            <v>#REF!</v>
          </cell>
          <cell r="O42" t="e">
            <v>#REF!</v>
          </cell>
          <cell r="P42" t="e">
            <v>#REF!</v>
          </cell>
          <cell r="Q42" t="e">
            <v>#REF!</v>
          </cell>
          <cell r="R42" t="e">
            <v>#REF!</v>
          </cell>
          <cell r="S42" t="e">
            <v>#REF!</v>
          </cell>
          <cell r="T42" t="e">
            <v>#REF!</v>
          </cell>
        </row>
        <row r="43">
          <cell r="B43" t="str">
            <v>LPDAdjust</v>
          </cell>
          <cell r="C43" t="e">
            <v>#REF!</v>
          </cell>
          <cell r="D43" t="e">
            <v>#REF!</v>
          </cell>
          <cell r="E43" t="e">
            <v>#REF!</v>
          </cell>
          <cell r="F43" t="e">
            <v>#REF!</v>
          </cell>
          <cell r="G43" t="e">
            <v>#REF!</v>
          </cell>
          <cell r="H43" t="e">
            <v>#REF!</v>
          </cell>
          <cell r="I43" t="e">
            <v>#REF!</v>
          </cell>
          <cell r="J43" t="e">
            <v>#REF!</v>
          </cell>
          <cell r="K43" t="e">
            <v>#REF!</v>
          </cell>
          <cell r="L43" t="e">
            <v>#REF!</v>
          </cell>
          <cell r="M43" t="e">
            <v>#REF!</v>
          </cell>
          <cell r="N43" t="e">
            <v>#REF!</v>
          </cell>
          <cell r="O43" t="e">
            <v>#REF!</v>
          </cell>
          <cell r="P43" t="e">
            <v>#REF!</v>
          </cell>
          <cell r="Q43" t="e">
            <v>#REF!</v>
          </cell>
          <cell r="R43" t="e">
            <v>#REF!</v>
          </cell>
          <cell r="S43" t="e">
            <v>#REF!</v>
          </cell>
          <cell r="T43" t="e">
            <v>#REF!</v>
          </cell>
        </row>
        <row r="44">
          <cell r="B44" t="str">
            <v>KWHLght</v>
          </cell>
          <cell r="C44" t="e">
            <v>#REF!</v>
          </cell>
          <cell r="D44" t="e">
            <v>#REF!</v>
          </cell>
          <cell r="E44" t="e">
            <v>#REF!</v>
          </cell>
          <cell r="F44" t="e">
            <v>#REF!</v>
          </cell>
          <cell r="G44" t="e">
            <v>#REF!</v>
          </cell>
          <cell r="H44" t="e">
            <v>#REF!</v>
          </cell>
          <cell r="I44" t="e">
            <v>#REF!</v>
          </cell>
          <cell r="J44" t="e">
            <v>#REF!</v>
          </cell>
          <cell r="K44" t="e">
            <v>#REF!</v>
          </cell>
          <cell r="L44" t="e">
            <v>#REF!</v>
          </cell>
          <cell r="M44" t="e">
            <v>#REF!</v>
          </cell>
          <cell r="N44" t="e">
            <v>#REF!</v>
          </cell>
          <cell r="O44" t="e">
            <v>#REF!</v>
          </cell>
          <cell r="P44" t="e">
            <v>#REF!</v>
          </cell>
          <cell r="Q44" t="e">
            <v>#REF!</v>
          </cell>
          <cell r="R44" t="e">
            <v>#REF!</v>
          </cell>
          <cell r="S44" t="e">
            <v>#REF!</v>
          </cell>
          <cell r="T44" t="e">
            <v>#REF!</v>
          </cell>
        </row>
        <row r="46">
          <cell r="B46" t="str">
            <v>VPD</v>
          </cell>
          <cell r="C46">
            <v>0.6</v>
          </cell>
          <cell r="D46">
            <v>0.6</v>
          </cell>
          <cell r="E46">
            <v>0.6</v>
          </cell>
          <cell r="F46">
            <v>0.6</v>
          </cell>
          <cell r="G46">
            <v>0.6</v>
          </cell>
          <cell r="H46">
            <v>0.6</v>
          </cell>
          <cell r="I46">
            <v>0.6</v>
          </cell>
          <cell r="J46">
            <v>0.8</v>
          </cell>
          <cell r="K46">
            <v>0.6</v>
          </cell>
          <cell r="L46">
            <v>0.6</v>
          </cell>
          <cell r="M46">
            <v>1.8</v>
          </cell>
          <cell r="N46">
            <v>1.6</v>
          </cell>
          <cell r="O46">
            <v>2.6</v>
          </cell>
          <cell r="P46">
            <v>1.3</v>
          </cell>
          <cell r="Q46">
            <v>1.3</v>
          </cell>
          <cell r="R46">
            <v>1.3</v>
          </cell>
          <cell r="S46">
            <v>1.3</v>
          </cell>
          <cell r="T46">
            <v>1.3</v>
          </cell>
        </row>
        <row r="47">
          <cell r="B47" t="str">
            <v>KWHVent</v>
          </cell>
          <cell r="C47" t="e">
            <v>#REF!</v>
          </cell>
          <cell r="D47" t="e">
            <v>#REF!</v>
          </cell>
          <cell r="E47" t="e">
            <v>#REF!</v>
          </cell>
          <cell r="F47" t="e">
            <v>#REF!</v>
          </cell>
          <cell r="G47" t="e">
            <v>#REF!</v>
          </cell>
          <cell r="H47" t="e">
            <v>#REF!</v>
          </cell>
          <cell r="I47" t="e">
            <v>#REF!</v>
          </cell>
          <cell r="J47" t="e">
            <v>#REF!</v>
          </cell>
          <cell r="K47" t="e">
            <v>#REF!</v>
          </cell>
          <cell r="L47" t="e">
            <v>#REF!</v>
          </cell>
          <cell r="M47" t="e">
            <v>#REF!</v>
          </cell>
          <cell r="N47" t="e">
            <v>#REF!</v>
          </cell>
          <cell r="O47" t="e">
            <v>#REF!</v>
          </cell>
          <cell r="P47" t="e">
            <v>#REF!</v>
          </cell>
          <cell r="Q47" t="e">
            <v>#REF!</v>
          </cell>
          <cell r="R47" t="e">
            <v>#REF!</v>
          </cell>
          <cell r="S47" t="e">
            <v>#REF!</v>
          </cell>
          <cell r="T47" t="e">
            <v>#REF!</v>
          </cell>
        </row>
        <row r="49">
          <cell r="B49" t="str">
            <v>HVACElecHt</v>
          </cell>
          <cell r="C49" t="e">
            <v>#REF!</v>
          </cell>
          <cell r="D49" t="e">
            <v>#REF!</v>
          </cell>
          <cell r="E49" t="e">
            <v>#REF!</v>
          </cell>
          <cell r="F49" t="e">
            <v>#REF!</v>
          </cell>
          <cell r="G49">
            <v>6.7</v>
          </cell>
          <cell r="H49">
            <v>9.3000000000000007</v>
          </cell>
          <cell r="I49">
            <v>9.6</v>
          </cell>
          <cell r="J49">
            <v>6</v>
          </cell>
          <cell r="K49">
            <v>9</v>
          </cell>
          <cell r="L49">
            <v>3</v>
          </cell>
          <cell r="M49">
            <v>12.5</v>
          </cell>
          <cell r="N49">
            <v>14</v>
          </cell>
          <cell r="O49">
            <v>14</v>
          </cell>
          <cell r="P49">
            <v>9</v>
          </cell>
          <cell r="Q49">
            <v>15</v>
          </cell>
          <cell r="R49">
            <v>12.7</v>
          </cell>
          <cell r="S49">
            <v>8.5</v>
          </cell>
          <cell r="T49">
            <v>8.5</v>
          </cell>
        </row>
        <row r="50">
          <cell r="B50" t="str">
            <v>HVACGasHt</v>
          </cell>
          <cell r="C50" t="e">
            <v>#REF!</v>
          </cell>
          <cell r="D50" t="e">
            <v>#REF!</v>
          </cell>
          <cell r="E50" t="e">
            <v>#REF!</v>
          </cell>
          <cell r="F50" t="e">
            <v>#REF!</v>
          </cell>
          <cell r="G50">
            <v>4.5999999999999996</v>
          </cell>
          <cell r="H50">
            <v>6.4</v>
          </cell>
          <cell r="I50">
            <v>6.6999999999999993</v>
          </cell>
          <cell r="J50">
            <v>3.0999999999999996</v>
          </cell>
          <cell r="K50">
            <v>5.0999999999999996</v>
          </cell>
          <cell r="L50">
            <v>1.1000000000000001</v>
          </cell>
          <cell r="M50">
            <v>7.6</v>
          </cell>
          <cell r="N50">
            <v>10.1</v>
          </cell>
          <cell r="O50">
            <v>10.1</v>
          </cell>
          <cell r="P50">
            <v>5.0999999999999996</v>
          </cell>
          <cell r="Q50">
            <v>9.1999999999999993</v>
          </cell>
          <cell r="R50">
            <v>7.8000000000000007</v>
          </cell>
          <cell r="S50">
            <v>4.5999999999999996</v>
          </cell>
          <cell r="T50">
            <v>4.5999999999999996</v>
          </cell>
        </row>
        <row r="51">
          <cell r="B51" t="str">
            <v>HVACHtPmpHt</v>
          </cell>
          <cell r="C51" t="e">
            <v>#REF!</v>
          </cell>
          <cell r="D51" t="e">
            <v>#REF!</v>
          </cell>
          <cell r="E51" t="e">
            <v>#REF!</v>
          </cell>
          <cell r="F51" t="e">
            <v>#REF!</v>
          </cell>
          <cell r="G51">
            <v>5.6</v>
          </cell>
          <cell r="H51">
            <v>7.8</v>
          </cell>
          <cell r="I51">
            <v>8.1</v>
          </cell>
          <cell r="J51">
            <v>4.5</v>
          </cell>
          <cell r="K51">
            <v>7</v>
          </cell>
          <cell r="L51">
            <v>2</v>
          </cell>
          <cell r="M51">
            <v>10</v>
          </cell>
          <cell r="N51">
            <v>12</v>
          </cell>
          <cell r="O51">
            <v>12</v>
          </cell>
          <cell r="P51">
            <v>7</v>
          </cell>
          <cell r="Q51">
            <v>12</v>
          </cell>
          <cell r="R51">
            <v>10.199999999999999</v>
          </cell>
          <cell r="S51">
            <v>6.5</v>
          </cell>
          <cell r="T51">
            <v>6.5</v>
          </cell>
        </row>
        <row r="52">
          <cell r="B52" t="str">
            <v>Elec HVAC EUI All Fuel Weighted Btype</v>
          </cell>
          <cell r="C52" t="e">
            <v>#REF!</v>
          </cell>
          <cell r="D52" t="e">
            <v>#REF!</v>
          </cell>
          <cell r="E52" t="e">
            <v>#REF!</v>
          </cell>
          <cell r="F52" t="e">
            <v>#REF!</v>
          </cell>
          <cell r="G52" t="e">
            <v>#REF!</v>
          </cell>
          <cell r="H52" t="e">
            <v>#REF!</v>
          </cell>
          <cell r="I52" t="e">
            <v>#REF!</v>
          </cell>
          <cell r="J52" t="e">
            <v>#REF!</v>
          </cell>
          <cell r="K52" t="e">
            <v>#REF!</v>
          </cell>
          <cell r="L52" t="e">
            <v>#REF!</v>
          </cell>
          <cell r="M52" t="e">
            <v>#REF!</v>
          </cell>
          <cell r="N52" t="e">
            <v>#REF!</v>
          </cell>
          <cell r="O52" t="e">
            <v>#REF!</v>
          </cell>
          <cell r="P52" t="e">
            <v>#REF!</v>
          </cell>
          <cell r="Q52" t="e">
            <v>#REF!</v>
          </cell>
          <cell r="R52" t="e">
            <v>#REF!</v>
          </cell>
          <cell r="S52" t="e">
            <v>#REF!</v>
          </cell>
          <cell r="T52" t="e">
            <v>#REF!</v>
          </cell>
        </row>
        <row r="53">
          <cell r="B53" t="str">
            <v>Elec HVAC EUI All Fuel Weighted Act</v>
          </cell>
          <cell r="C53" t="e">
            <v>#REF!</v>
          </cell>
          <cell r="F53" t="e">
            <v>#REF!</v>
          </cell>
          <cell r="J53" t="e">
            <v>#REF!</v>
          </cell>
          <cell r="M53" t="e">
            <v>#REF!</v>
          </cell>
        </row>
        <row r="64">
          <cell r="B64" t="str">
            <v>CBSA2001 e-EUI Raw - GasHt</v>
          </cell>
          <cell r="C64">
            <v>16</v>
          </cell>
          <cell r="D64">
            <v>15</v>
          </cell>
          <cell r="E64">
            <v>13</v>
          </cell>
          <cell r="F64">
            <v>29</v>
          </cell>
          <cell r="G64">
            <v>11</v>
          </cell>
          <cell r="H64">
            <v>16</v>
          </cell>
          <cell r="I64">
            <v>15</v>
          </cell>
          <cell r="J64">
            <v>6.2</v>
          </cell>
          <cell r="K64">
            <v>34</v>
          </cell>
          <cell r="L64">
            <v>12.6</v>
          </cell>
          <cell r="M64">
            <v>52</v>
          </cell>
          <cell r="O64">
            <v>40</v>
          </cell>
          <cell r="P64">
            <v>17</v>
          </cell>
          <cell r="Q64" t="str">
            <v>Q</v>
          </cell>
          <cell r="T64">
            <v>16</v>
          </cell>
        </row>
        <row r="65">
          <cell r="B65" t="str">
            <v>CBSA2001 e-EUI Corrected - GasHt</v>
          </cell>
          <cell r="F65">
            <v>35</v>
          </cell>
          <cell r="L65">
            <v>6.8</v>
          </cell>
          <cell r="Q65" t="str">
            <v>Q</v>
          </cell>
        </row>
        <row r="66">
          <cell r="B66" t="str">
            <v>CBSA2001 e-EUI Raw - GasHt - %ACT</v>
          </cell>
          <cell r="C66">
            <v>15</v>
          </cell>
          <cell r="F66">
            <v>18.5</v>
          </cell>
          <cell r="Q66" t="str">
            <v>Q</v>
          </cell>
        </row>
        <row r="67">
          <cell r="B67" t="str">
            <v>CBSA2001 g-EUI Raw - Gas Ht (kBtu/sf)</v>
          </cell>
          <cell r="J67">
            <v>29</v>
          </cell>
          <cell r="L67">
            <v>17</v>
          </cell>
          <cell r="M67">
            <v>73</v>
          </cell>
          <cell r="O67">
            <v>281</v>
          </cell>
          <cell r="P67">
            <v>120</v>
          </cell>
          <cell r="Q67" t="str">
            <v>Q</v>
          </cell>
          <cell r="T67">
            <v>50</v>
          </cell>
        </row>
        <row r="68">
          <cell r="C68">
            <v>27</v>
          </cell>
          <cell r="F68">
            <v>29</v>
          </cell>
        </row>
        <row r="70">
          <cell r="B70" t="str">
            <v>CBSA2001 e-EUI Raw - ElecHt</v>
          </cell>
          <cell r="C70">
            <v>20</v>
          </cell>
          <cell r="D70">
            <v>23</v>
          </cell>
          <cell r="E70">
            <v>15</v>
          </cell>
          <cell r="F70" t="str">
            <v>Q</v>
          </cell>
          <cell r="G70">
            <v>10</v>
          </cell>
          <cell r="H70">
            <v>28</v>
          </cell>
          <cell r="I70">
            <v>22</v>
          </cell>
          <cell r="J70">
            <v>17</v>
          </cell>
          <cell r="K70" t="str">
            <v>Q</v>
          </cell>
          <cell r="L70">
            <v>6.6</v>
          </cell>
          <cell r="M70">
            <v>38</v>
          </cell>
          <cell r="N70">
            <v>71</v>
          </cell>
          <cell r="O70">
            <v>45</v>
          </cell>
          <cell r="P70">
            <v>20</v>
          </cell>
          <cell r="Q70" t="str">
            <v>Q</v>
          </cell>
          <cell r="T70">
            <v>13</v>
          </cell>
        </row>
        <row r="71">
          <cell r="B71" t="str">
            <v>CBSA2001 e-EUI Corrected - ElectHt</v>
          </cell>
          <cell r="G71">
            <v>12</v>
          </cell>
          <cell r="H71">
            <v>30</v>
          </cell>
          <cell r="I71">
            <v>22</v>
          </cell>
          <cell r="Q71" t="str">
            <v>Q</v>
          </cell>
        </row>
        <row r="72">
          <cell r="B72" t="str">
            <v>CBSA2001 e-EUI Raw - ElecHt - %ACT</v>
          </cell>
          <cell r="C72">
            <v>19</v>
          </cell>
          <cell r="F72">
            <v>17</v>
          </cell>
          <cell r="Q72" t="str">
            <v>Q</v>
          </cell>
        </row>
        <row r="74">
          <cell r="B74" t="str">
            <v>CBECS1999 - West - AllHt - Mean</v>
          </cell>
          <cell r="C74">
            <v>17.600000000000001</v>
          </cell>
          <cell r="F74">
            <v>17.899999999999999</v>
          </cell>
          <cell r="J74">
            <v>8.1999999999999993</v>
          </cell>
          <cell r="L74">
            <v>5.4</v>
          </cell>
          <cell r="M74" t="str">
            <v>Q</v>
          </cell>
          <cell r="O74" t="str">
            <v>Q</v>
          </cell>
          <cell r="P74">
            <v>10.9</v>
          </cell>
          <cell r="Q74">
            <v>25.6</v>
          </cell>
          <cell r="R74">
            <v>15.9</v>
          </cell>
          <cell r="T74" t="str">
            <v>Q</v>
          </cell>
        </row>
        <row r="75">
          <cell r="B75" t="str">
            <v>CBECS1999 - West - AllHt - 95%CI</v>
          </cell>
        </row>
        <row r="76">
          <cell r="B76" t="str">
            <v>CBECS1999 - US - AllHt - Mean</v>
          </cell>
          <cell r="C76">
            <v>18.7</v>
          </cell>
          <cell r="F76">
            <v>14.7</v>
          </cell>
          <cell r="J76">
            <v>8.6999999999999993</v>
          </cell>
          <cell r="L76">
            <v>6.5</v>
          </cell>
          <cell r="M76">
            <v>49</v>
          </cell>
          <cell r="O76">
            <v>34</v>
          </cell>
          <cell r="P76">
            <v>12.7</v>
          </cell>
          <cell r="Q76">
            <v>27</v>
          </cell>
          <cell r="R76">
            <v>16.7</v>
          </cell>
          <cell r="T76">
            <v>24.4</v>
          </cell>
          <cell r="U76">
            <v>2.7</v>
          </cell>
        </row>
        <row r="77">
          <cell r="B77" t="str">
            <v>CBECS1999 - US - AllHt - 95%CI</v>
          </cell>
          <cell r="C77" t="str">
            <v>17 - 21</v>
          </cell>
          <cell r="F77" t="str">
            <v>12 - 19</v>
          </cell>
          <cell r="J77" t="str">
            <v>7.8 - 9.6</v>
          </cell>
          <cell r="L77" t="str">
            <v>5.3 - 7.7</v>
          </cell>
          <cell r="M77" t="str">
            <v>37 - 60</v>
          </cell>
          <cell r="O77" t="str">
            <v>25 - 43</v>
          </cell>
          <cell r="P77" t="str">
            <v xml:space="preserve"> 11 - 14</v>
          </cell>
          <cell r="Q77" t="str">
            <v>25 - 29</v>
          </cell>
          <cell r="R77" t="str">
            <v>14 - 19</v>
          </cell>
          <cell r="T77" t="str">
            <v>18 - 31</v>
          </cell>
          <cell r="U77" t="str">
            <v>1 - 4.4</v>
          </cell>
        </row>
        <row r="79">
          <cell r="B79" t="str">
            <v>CBECS2003 Mean US in kWh/sf</v>
          </cell>
          <cell r="C79">
            <v>17.3</v>
          </cell>
          <cell r="F79">
            <v>19.2</v>
          </cell>
          <cell r="J79">
            <v>11</v>
          </cell>
          <cell r="L79">
            <v>7.6</v>
          </cell>
          <cell r="M79">
            <v>49.4</v>
          </cell>
          <cell r="O79">
            <v>38.4</v>
          </cell>
          <cell r="P79">
            <v>13.5</v>
          </cell>
          <cell r="Q79">
            <v>27.5</v>
          </cell>
          <cell r="R79">
            <v>16.100000000000001</v>
          </cell>
          <cell r="S79">
            <v>12.5</v>
          </cell>
          <cell r="T79">
            <v>22.5</v>
          </cell>
        </row>
        <row r="80">
          <cell r="B80" t="str">
            <v>CBECS2003 Mean US in therms/sf</v>
          </cell>
          <cell r="C80">
            <v>0.28100000000000003</v>
          </cell>
          <cell r="F80">
            <v>0.33500000000000002</v>
          </cell>
          <cell r="J80">
            <v>0.38100000000000001</v>
          </cell>
          <cell r="L80">
            <v>0.24099999999999999</v>
          </cell>
          <cell r="M80">
            <v>0.51700000000000002</v>
          </cell>
          <cell r="O80">
            <v>1.45</v>
          </cell>
          <cell r="P80">
            <v>0.504</v>
          </cell>
          <cell r="Q80">
            <v>1.1299999999999999</v>
          </cell>
          <cell r="R80">
            <v>0.51800000000000002</v>
          </cell>
          <cell r="S80">
            <v>0.375</v>
          </cell>
          <cell r="T80">
            <v>0.69699999999999995</v>
          </cell>
        </row>
        <row r="83">
          <cell r="B83" t="str">
            <v>CBSA 2002-2004 New Bldg Elec in kWh/sf</v>
          </cell>
          <cell r="C83">
            <v>17.8</v>
          </cell>
          <cell r="F83">
            <v>21.6</v>
          </cell>
          <cell r="J83">
            <v>9.6</v>
          </cell>
          <cell r="K83">
            <v>12.7</v>
          </cell>
          <cell r="L83">
            <v>15.1</v>
          </cell>
          <cell r="M83">
            <v>46.6</v>
          </cell>
          <cell r="O83">
            <v>86.2</v>
          </cell>
          <cell r="P83">
            <v>10.6</v>
          </cell>
          <cell r="Q83">
            <v>25.3</v>
          </cell>
          <cell r="R83">
            <v>14.3</v>
          </cell>
          <cell r="S83">
            <v>13.3</v>
          </cell>
          <cell r="T83">
            <v>18.3</v>
          </cell>
        </row>
        <row r="84">
          <cell r="B84" t="str">
            <v>CBSA 2002-2004 New Bldg Gas in therms/sf</v>
          </cell>
          <cell r="C84">
            <v>0.11</v>
          </cell>
          <cell r="F84">
            <v>0.21</v>
          </cell>
          <cell r="J84">
            <v>0.3</v>
          </cell>
          <cell r="K84">
            <v>0.18</v>
          </cell>
          <cell r="L84">
            <v>0.18</v>
          </cell>
          <cell r="M84">
            <v>0.61</v>
          </cell>
          <cell r="O84">
            <v>1.57</v>
          </cell>
          <cell r="P84">
            <v>0.23</v>
          </cell>
          <cell r="Q84">
            <v>1.07</v>
          </cell>
          <cell r="R84">
            <v>0.69</v>
          </cell>
          <cell r="S84">
            <v>0.37</v>
          </cell>
          <cell r="T84">
            <v>0.22</v>
          </cell>
        </row>
        <row r="85">
          <cell r="B85" t="str">
            <v>CBSA 2002-2004 New Bldg All Fuel kBtu/sf</v>
          </cell>
          <cell r="C85">
            <v>71.7</v>
          </cell>
          <cell r="F85">
            <v>95.5</v>
          </cell>
          <cell r="J85">
            <v>61.4</v>
          </cell>
          <cell r="K85">
            <v>62.2</v>
          </cell>
          <cell r="L85">
            <v>70.5</v>
          </cell>
          <cell r="M85">
            <v>219.8</v>
          </cell>
          <cell r="O85">
            <v>451</v>
          </cell>
          <cell r="P85">
            <v>64</v>
          </cell>
          <cell r="Q85">
            <v>193.5</v>
          </cell>
          <cell r="R85">
            <v>111.8</v>
          </cell>
          <cell r="S85">
            <v>83.1</v>
          </cell>
          <cell r="T85">
            <v>102.5</v>
          </cell>
        </row>
        <row r="86">
          <cell r="B86" t="str">
            <v>CBSA 2002-2004 New Bldg Elec in kBtu/sf</v>
          </cell>
          <cell r="C86">
            <v>60.733600000000003</v>
          </cell>
          <cell r="F86">
            <v>73.699200000000005</v>
          </cell>
        </row>
        <row r="87">
          <cell r="B87" t="str">
            <v>CBSA 2002-2004 New Bldg Gas in kBtu/sf</v>
          </cell>
          <cell r="C87">
            <v>11</v>
          </cell>
          <cell r="F87">
            <v>21</v>
          </cell>
        </row>
        <row r="90">
          <cell r="C90" t="str">
            <v>Electricity Energy Intensity (kWh/square foot)</v>
          </cell>
        </row>
        <row r="91">
          <cell r="B91" t="str">
            <v>CBECS2003</v>
          </cell>
          <cell r="C91" t="str">
            <v xml:space="preserve">Total  </v>
          </cell>
          <cell r="D91" t="str">
            <v>Space Heat-
ing</v>
          </cell>
          <cell r="E91" t="str">
            <v>Cool-
ing</v>
          </cell>
          <cell r="F91" t="str">
            <v>Venti-
lation</v>
          </cell>
          <cell r="G91" t="str">
            <v>Water Heat-
ing</v>
          </cell>
          <cell r="H91" t="str">
            <v>Light-
ing</v>
          </cell>
          <cell r="I91" t="str">
            <v>Cook-
ing</v>
          </cell>
          <cell r="J91" t="str">
            <v>Refrig-
eration</v>
          </cell>
          <cell r="K91" t="str">
            <v>Office Equip-
ment</v>
          </cell>
          <cell r="L91" t="str">
            <v>Com-
puters</v>
          </cell>
          <cell r="M91" t="str">
            <v>Other</v>
          </cell>
          <cell r="O91" t="str">
            <v>Sum EQ, COMP, OTH</v>
          </cell>
          <cell r="P91" t="str">
            <v>HVAC EUI</v>
          </cell>
        </row>
        <row r="92">
          <cell r="B92" t="str">
            <v>Principal Building Activity</v>
          </cell>
        </row>
        <row r="93">
          <cell r="B93" t="str">
            <v>Education ....................</v>
          </cell>
          <cell r="C93">
            <v>11</v>
          </cell>
          <cell r="D93">
            <v>0.5</v>
          </cell>
          <cell r="E93">
            <v>2.2000000000000002</v>
          </cell>
          <cell r="F93">
            <v>2.5</v>
          </cell>
          <cell r="G93">
            <v>0.3</v>
          </cell>
          <cell r="H93">
            <v>3.4</v>
          </cell>
          <cell r="I93" t="str">
            <v>(*)</v>
          </cell>
          <cell r="J93">
            <v>0.5</v>
          </cell>
          <cell r="K93">
            <v>0.1</v>
          </cell>
          <cell r="L93">
            <v>1</v>
          </cell>
          <cell r="M93">
            <v>0.6</v>
          </cell>
          <cell r="O93">
            <v>1.7000000000000002</v>
          </cell>
          <cell r="P93">
            <v>5.2</v>
          </cell>
        </row>
        <row r="94">
          <cell r="B94" t="str">
            <v>Food Sales ...................</v>
          </cell>
          <cell r="C94">
            <v>49.4</v>
          </cell>
          <cell r="D94">
            <v>1.5</v>
          </cell>
          <cell r="E94">
            <v>2.9</v>
          </cell>
          <cell r="F94">
            <v>1.8</v>
          </cell>
          <cell r="G94" t="str">
            <v>Q</v>
          </cell>
          <cell r="H94">
            <v>10.9</v>
          </cell>
          <cell r="I94">
            <v>0.6</v>
          </cell>
          <cell r="J94">
            <v>28.2</v>
          </cell>
          <cell r="K94">
            <v>0.5</v>
          </cell>
          <cell r="L94">
            <v>0.4</v>
          </cell>
          <cell r="M94">
            <v>2.4</v>
          </cell>
          <cell r="O94">
            <v>3.3</v>
          </cell>
          <cell r="P94">
            <v>6.2</v>
          </cell>
        </row>
        <row r="95">
          <cell r="B95" t="str">
            <v>Food Service .................</v>
          </cell>
          <cell r="C95">
            <v>38.4</v>
          </cell>
          <cell r="D95">
            <v>1.8</v>
          </cell>
          <cell r="E95">
            <v>5</v>
          </cell>
          <cell r="F95">
            <v>4.3</v>
          </cell>
          <cell r="G95">
            <v>1.8</v>
          </cell>
          <cell r="H95">
            <v>7.5</v>
          </cell>
          <cell r="I95">
            <v>2.4</v>
          </cell>
          <cell r="J95">
            <v>12.3</v>
          </cell>
          <cell r="K95">
            <v>0.3</v>
          </cell>
          <cell r="L95">
            <v>0.3</v>
          </cell>
          <cell r="M95">
            <v>2.6</v>
          </cell>
          <cell r="O95">
            <v>3.2</v>
          </cell>
          <cell r="P95">
            <v>11.1</v>
          </cell>
        </row>
        <row r="96">
          <cell r="B96" t="str">
            <v>Health Care ..................</v>
          </cell>
          <cell r="C96">
            <v>22.9</v>
          </cell>
          <cell r="D96">
            <v>0.5</v>
          </cell>
          <cell r="E96">
            <v>3.1</v>
          </cell>
          <cell r="F96">
            <v>3.9</v>
          </cell>
          <cell r="G96">
            <v>0.2</v>
          </cell>
          <cell r="H96">
            <v>9.6999999999999993</v>
          </cell>
          <cell r="I96">
            <v>0.1</v>
          </cell>
          <cell r="J96">
            <v>0.8</v>
          </cell>
          <cell r="K96">
            <v>0.3</v>
          </cell>
          <cell r="L96">
            <v>0.9</v>
          </cell>
          <cell r="M96">
            <v>3.3</v>
          </cell>
          <cell r="O96">
            <v>4.5</v>
          </cell>
          <cell r="P96">
            <v>7.5</v>
          </cell>
        </row>
        <row r="97">
          <cell r="B97" t="str">
            <v xml:space="preserve">  Inpatient ..................</v>
          </cell>
          <cell r="C97">
            <v>27.5</v>
          </cell>
          <cell r="D97">
            <v>0.5</v>
          </cell>
          <cell r="E97">
            <v>3.8</v>
          </cell>
          <cell r="F97">
            <v>5.9</v>
          </cell>
          <cell r="G97">
            <v>0.3</v>
          </cell>
          <cell r="H97">
            <v>11.7</v>
          </cell>
          <cell r="I97">
            <v>0.1</v>
          </cell>
          <cell r="J97">
            <v>0.6</v>
          </cell>
          <cell r="K97">
            <v>0.3</v>
          </cell>
          <cell r="L97">
            <v>1</v>
          </cell>
          <cell r="M97">
            <v>3.2</v>
          </cell>
          <cell r="O97">
            <v>4.5</v>
          </cell>
          <cell r="P97">
            <v>10.199999999999999</v>
          </cell>
        </row>
        <row r="98">
          <cell r="B98" t="str">
            <v xml:space="preserve">  Outpatient .................</v>
          </cell>
          <cell r="C98">
            <v>16.100000000000001</v>
          </cell>
          <cell r="D98">
            <v>0.7</v>
          </cell>
          <cell r="E98">
            <v>2.1</v>
          </cell>
          <cell r="F98">
            <v>1</v>
          </cell>
          <cell r="G98">
            <v>0.1</v>
          </cell>
          <cell r="H98">
            <v>6.6</v>
          </cell>
          <cell r="I98" t="str">
            <v>(*)</v>
          </cell>
          <cell r="J98">
            <v>1</v>
          </cell>
          <cell r="K98">
            <v>0.4</v>
          </cell>
          <cell r="L98">
            <v>0.8</v>
          </cell>
          <cell r="M98">
            <v>3.5</v>
          </cell>
          <cell r="O98">
            <v>4.7</v>
          </cell>
          <cell r="P98">
            <v>3.8</v>
          </cell>
        </row>
        <row r="99">
          <cell r="B99" t="str">
            <v>Lodging ......................</v>
          </cell>
          <cell r="C99">
            <v>13.5</v>
          </cell>
          <cell r="D99">
            <v>0.8</v>
          </cell>
          <cell r="E99">
            <v>1.4</v>
          </cell>
          <cell r="F99">
            <v>0.8</v>
          </cell>
          <cell r="G99">
            <v>0.7</v>
          </cell>
          <cell r="H99">
            <v>7.1</v>
          </cell>
          <cell r="I99">
            <v>0.1</v>
          </cell>
          <cell r="J99">
            <v>0.7</v>
          </cell>
          <cell r="K99" t="str">
            <v>Q</v>
          </cell>
          <cell r="L99">
            <v>0.4</v>
          </cell>
          <cell r="M99">
            <v>1.4</v>
          </cell>
          <cell r="O99">
            <v>1.7999999999999998</v>
          </cell>
          <cell r="P99">
            <v>3</v>
          </cell>
        </row>
        <row r="100">
          <cell r="B100" t="str">
            <v>Mercantile ...................</v>
          </cell>
          <cell r="C100">
            <v>19.2</v>
          </cell>
          <cell r="D100">
            <v>1.5</v>
          </cell>
          <cell r="E100">
            <v>2.9</v>
          </cell>
          <cell r="F100">
            <v>1.8</v>
          </cell>
          <cell r="G100">
            <v>1</v>
          </cell>
          <cell r="H100">
            <v>8.1</v>
          </cell>
          <cell r="I100">
            <v>0.1</v>
          </cell>
          <cell r="J100">
            <v>1.3</v>
          </cell>
          <cell r="K100">
            <v>0.2</v>
          </cell>
          <cell r="L100">
            <v>0.3</v>
          </cell>
          <cell r="M100">
            <v>2.2000000000000002</v>
          </cell>
          <cell r="O100">
            <v>2.7</v>
          </cell>
          <cell r="P100">
            <v>6.2</v>
          </cell>
        </row>
        <row r="101">
          <cell r="B101" t="str">
            <v xml:space="preserve">  Retail (Other Than Mall) ...</v>
          </cell>
          <cell r="C101">
            <v>14.3</v>
          </cell>
          <cell r="D101">
            <v>0.4</v>
          </cell>
          <cell r="E101">
            <v>1.7</v>
          </cell>
          <cell r="F101">
            <v>1.1000000000000001</v>
          </cell>
          <cell r="G101">
            <v>0.1</v>
          </cell>
          <cell r="H101">
            <v>7.5</v>
          </cell>
          <cell r="I101" t="str">
            <v>(*)</v>
          </cell>
          <cell r="J101">
            <v>1.5</v>
          </cell>
          <cell r="K101">
            <v>0.2</v>
          </cell>
          <cell r="L101">
            <v>0.3</v>
          </cell>
          <cell r="M101">
            <v>1.5</v>
          </cell>
          <cell r="O101">
            <v>2</v>
          </cell>
          <cell r="P101">
            <v>3.2</v>
          </cell>
        </row>
        <row r="102">
          <cell r="B102" t="str">
            <v xml:space="preserve">  Enclosed and Strip Malls ...</v>
          </cell>
          <cell r="C102">
            <v>22.3</v>
          </cell>
          <cell r="D102">
            <v>2.2000000000000002</v>
          </cell>
          <cell r="E102">
            <v>3.6</v>
          </cell>
          <cell r="F102">
            <v>2.2000000000000002</v>
          </cell>
          <cell r="G102">
            <v>1.5</v>
          </cell>
          <cell r="H102">
            <v>8.4</v>
          </cell>
          <cell r="I102">
            <v>0.1</v>
          </cell>
          <cell r="J102">
            <v>1.2</v>
          </cell>
          <cell r="K102">
            <v>0.2</v>
          </cell>
          <cell r="L102">
            <v>0.3</v>
          </cell>
          <cell r="M102">
            <v>2.6</v>
          </cell>
          <cell r="O102">
            <v>3.1</v>
          </cell>
          <cell r="P102">
            <v>8</v>
          </cell>
        </row>
        <row r="103">
          <cell r="B103" t="str">
            <v>Office .......................</v>
          </cell>
          <cell r="C103">
            <v>17.3</v>
          </cell>
          <cell r="D103">
            <v>0.8</v>
          </cell>
          <cell r="E103">
            <v>2.4</v>
          </cell>
          <cell r="F103">
            <v>1.5</v>
          </cell>
          <cell r="G103">
            <v>0.2</v>
          </cell>
          <cell r="H103">
            <v>6.8</v>
          </cell>
          <cell r="I103" t="str">
            <v>(*)</v>
          </cell>
          <cell r="J103">
            <v>0.8</v>
          </cell>
          <cell r="K103">
            <v>0.8</v>
          </cell>
          <cell r="L103">
            <v>1.8</v>
          </cell>
          <cell r="M103">
            <v>2.2000000000000002</v>
          </cell>
          <cell r="O103">
            <v>4.8000000000000007</v>
          </cell>
          <cell r="P103">
            <v>4.7</v>
          </cell>
        </row>
        <row r="104">
          <cell r="B104" t="str">
            <v>Public Assembly ..............</v>
          </cell>
          <cell r="C104">
            <v>12.5</v>
          </cell>
          <cell r="D104">
            <v>0.4</v>
          </cell>
          <cell r="E104">
            <v>2.6</v>
          </cell>
          <cell r="F104">
            <v>4.7</v>
          </cell>
          <cell r="G104" t="str">
            <v>(*)</v>
          </cell>
          <cell r="H104">
            <v>2</v>
          </cell>
          <cell r="I104" t="str">
            <v>(*)</v>
          </cell>
          <cell r="J104">
            <v>0.7</v>
          </cell>
          <cell r="K104" t="str">
            <v>Q</v>
          </cell>
          <cell r="L104">
            <v>0.2</v>
          </cell>
          <cell r="M104">
            <v>1.7</v>
          </cell>
          <cell r="O104">
            <v>1.9</v>
          </cell>
          <cell r="P104">
            <v>7.7</v>
          </cell>
        </row>
        <row r="105">
          <cell r="B105" t="str">
            <v>Public Order and Safety ......</v>
          </cell>
          <cell r="C105">
            <v>15.3</v>
          </cell>
          <cell r="D105">
            <v>0.5</v>
          </cell>
          <cell r="E105">
            <v>2.1</v>
          </cell>
          <cell r="F105">
            <v>2.8</v>
          </cell>
          <cell r="G105">
            <v>0.9</v>
          </cell>
          <cell r="H105">
            <v>4.8</v>
          </cell>
          <cell r="I105" t="str">
            <v>(*)</v>
          </cell>
          <cell r="J105">
            <v>0.9</v>
          </cell>
          <cell r="K105">
            <v>0.2</v>
          </cell>
          <cell r="L105">
            <v>0.4</v>
          </cell>
          <cell r="M105">
            <v>2.7</v>
          </cell>
          <cell r="O105">
            <v>3.3000000000000003</v>
          </cell>
          <cell r="P105">
            <v>5.4</v>
          </cell>
        </row>
        <row r="106">
          <cell r="B106" t="str">
            <v>Religious Worship ............</v>
          </cell>
          <cell r="C106">
            <v>4.9000000000000004</v>
          </cell>
          <cell r="D106">
            <v>0.2</v>
          </cell>
          <cell r="E106">
            <v>0.8</v>
          </cell>
          <cell r="F106">
            <v>0.4</v>
          </cell>
          <cell r="G106" t="str">
            <v>(*)</v>
          </cell>
          <cell r="H106">
            <v>1.3</v>
          </cell>
          <cell r="I106" t="str">
            <v>(*)</v>
          </cell>
          <cell r="J106">
            <v>0.5</v>
          </cell>
          <cell r="K106" t="str">
            <v>(*)</v>
          </cell>
          <cell r="L106">
            <v>0.1</v>
          </cell>
          <cell r="M106">
            <v>1.4</v>
          </cell>
          <cell r="O106">
            <v>1.5</v>
          </cell>
          <cell r="P106">
            <v>1.4</v>
          </cell>
        </row>
        <row r="107">
          <cell r="B107" t="str">
            <v>Service ......................</v>
          </cell>
          <cell r="C107">
            <v>11</v>
          </cell>
          <cell r="D107">
            <v>0.4</v>
          </cell>
          <cell r="E107">
            <v>1.1000000000000001</v>
          </cell>
          <cell r="F107">
            <v>1.8</v>
          </cell>
          <cell r="G107" t="str">
            <v>(*)</v>
          </cell>
          <cell r="H107">
            <v>4.5999999999999996</v>
          </cell>
          <cell r="I107" t="str">
            <v>Q</v>
          </cell>
          <cell r="J107">
            <v>0.6</v>
          </cell>
          <cell r="K107">
            <v>0.1</v>
          </cell>
          <cell r="L107">
            <v>0.2</v>
          </cell>
          <cell r="M107">
            <v>2.1</v>
          </cell>
          <cell r="O107">
            <v>2.4000000000000004</v>
          </cell>
          <cell r="P107">
            <v>3.3</v>
          </cell>
        </row>
        <row r="108">
          <cell r="B108" t="str">
            <v>Warehouse and Storage ........</v>
          </cell>
          <cell r="C108">
            <v>7.6</v>
          </cell>
          <cell r="D108">
            <v>0.2</v>
          </cell>
          <cell r="E108">
            <v>0.4</v>
          </cell>
          <cell r="F108">
            <v>0.6</v>
          </cell>
          <cell r="G108">
            <v>0.1</v>
          </cell>
          <cell r="H108">
            <v>4.0999999999999996</v>
          </cell>
          <cell r="I108" t="str">
            <v>Q</v>
          </cell>
          <cell r="J108">
            <v>1.1000000000000001</v>
          </cell>
          <cell r="K108">
            <v>0.1</v>
          </cell>
          <cell r="L108">
            <v>0.1</v>
          </cell>
          <cell r="M108">
            <v>0.9</v>
          </cell>
          <cell r="O108">
            <v>1.1000000000000001</v>
          </cell>
          <cell r="P108">
            <v>1.2000000000000002</v>
          </cell>
        </row>
        <row r="109">
          <cell r="B109" t="str">
            <v>Other ........................</v>
          </cell>
          <cell r="C109">
            <v>22.5</v>
          </cell>
          <cell r="D109">
            <v>0.4</v>
          </cell>
          <cell r="E109">
            <v>2.7</v>
          </cell>
          <cell r="F109">
            <v>1.8</v>
          </cell>
          <cell r="G109">
            <v>0.1</v>
          </cell>
          <cell r="H109">
            <v>10.1</v>
          </cell>
          <cell r="I109" t="str">
            <v>Q</v>
          </cell>
          <cell r="J109">
            <v>1.8</v>
          </cell>
          <cell r="K109" t="str">
            <v>Q</v>
          </cell>
          <cell r="L109">
            <v>0.9</v>
          </cell>
          <cell r="M109">
            <v>3.7</v>
          </cell>
          <cell r="O109">
            <v>4.6000000000000005</v>
          </cell>
          <cell r="P109">
            <v>4.9000000000000004</v>
          </cell>
        </row>
        <row r="110">
          <cell r="B110" t="str">
            <v>Vacant .......................</v>
          </cell>
          <cell r="C110">
            <v>2.4</v>
          </cell>
          <cell r="D110">
            <v>0.1</v>
          </cell>
          <cell r="E110">
            <v>0.2</v>
          </cell>
          <cell r="F110">
            <v>0.2</v>
          </cell>
          <cell r="G110" t="str">
            <v>Q</v>
          </cell>
          <cell r="H110">
            <v>0.7</v>
          </cell>
          <cell r="I110" t="str">
            <v>Q</v>
          </cell>
          <cell r="J110">
            <v>0.1</v>
          </cell>
          <cell r="K110" t="str">
            <v>Q</v>
          </cell>
          <cell r="L110" t="str">
            <v>(*)</v>
          </cell>
          <cell r="M110">
            <v>1.1000000000000001</v>
          </cell>
          <cell r="O110">
            <v>1.1000000000000001</v>
          </cell>
          <cell r="P110">
            <v>0.5</v>
          </cell>
        </row>
        <row r="113">
          <cell r="C113" t="str">
            <v>Total Natural Gas Consumption
(trillion Btu)</v>
          </cell>
          <cell r="H113" t="str">
            <v>Natural Gas Energy Intensity
(thousand Btu/square foot)</v>
          </cell>
          <cell r="O113">
            <v>0.7</v>
          </cell>
          <cell r="P113">
            <v>2</v>
          </cell>
        </row>
        <row r="114">
          <cell r="B114" t="str">
            <v>CBECS2003</v>
          </cell>
          <cell r="C114" t="str">
            <v xml:space="preserve">Total  </v>
          </cell>
          <cell r="D114" t="str">
            <v>Space Heating</v>
          </cell>
          <cell r="E114" t="str">
            <v>Water Heating</v>
          </cell>
          <cell r="F114" t="str">
            <v>Cook-
ing</v>
          </cell>
          <cell r="G114" t="str">
            <v>Other</v>
          </cell>
          <cell r="H114" t="str">
            <v xml:space="preserve">Total  </v>
          </cell>
          <cell r="I114" t="str">
            <v>Space Heating</v>
          </cell>
          <cell r="J114" t="str">
            <v>Water Heating</v>
          </cell>
          <cell r="K114" t="str">
            <v>Cook-
ing</v>
          </cell>
          <cell r="L114" t="str">
            <v>Other</v>
          </cell>
          <cell r="O114" t="str">
            <v>Space Heating Elec Equiv</v>
          </cell>
          <cell r="P114" t="str">
            <v>Heating HP Equiv</v>
          </cell>
          <cell r="R114" t="str">
            <v>CBSA 2002-2004 New Bldg Gas (kBtu/SF Heat)</v>
          </cell>
          <cell r="S114" t="str">
            <v>CBSA 2002-2004 New Bldg Heat Elec Equiv</v>
          </cell>
          <cell r="T114" t="str">
            <v>NEEA Heat HP Equiv</v>
          </cell>
          <cell r="U114" t="str">
            <v>CEUS Gas (kBtu/SF Heat)</v>
          </cell>
          <cell r="V114" t="str">
            <v>CEUS Heat Elec Equiv</v>
          </cell>
          <cell r="W114" t="str">
            <v>CEUS Heat HP Equiv</v>
          </cell>
        </row>
        <row r="115">
          <cell r="B115" t="str">
            <v>Principal Building Activity</v>
          </cell>
        </row>
        <row r="116">
          <cell r="B116" t="str">
            <v>Education ....................</v>
          </cell>
          <cell r="C116">
            <v>268</v>
          </cell>
          <cell r="D116">
            <v>207</v>
          </cell>
          <cell r="E116">
            <v>37</v>
          </cell>
          <cell r="F116">
            <v>5</v>
          </cell>
          <cell r="G116">
            <v>19</v>
          </cell>
          <cell r="H116">
            <v>38.1</v>
          </cell>
          <cell r="I116">
            <v>29.5</v>
          </cell>
          <cell r="J116">
            <v>5.2</v>
          </cell>
          <cell r="K116">
            <v>0.7</v>
          </cell>
          <cell r="L116">
            <v>2.7</v>
          </cell>
          <cell r="N116" t="str">
            <v>Educ</v>
          </cell>
          <cell r="O116">
            <v>6.0521688159437277</v>
          </cell>
          <cell r="P116">
            <v>3.0260844079718638</v>
          </cell>
          <cell r="R116">
            <v>23.2</v>
          </cell>
          <cell r="S116">
            <v>4.7596717467760836</v>
          </cell>
          <cell r="T116">
            <v>2.3798358733880418</v>
          </cell>
          <cell r="U116">
            <v>24</v>
          </cell>
          <cell r="V116">
            <v>4.9237983587338796</v>
          </cell>
        </row>
        <row r="117">
          <cell r="B117" t="str">
            <v>Food Sales ...................</v>
          </cell>
          <cell r="C117">
            <v>39</v>
          </cell>
          <cell r="D117">
            <v>27</v>
          </cell>
          <cell r="E117">
            <v>2</v>
          </cell>
          <cell r="F117">
            <v>8</v>
          </cell>
          <cell r="G117" t="str">
            <v>Q</v>
          </cell>
          <cell r="H117">
            <v>51.7</v>
          </cell>
          <cell r="I117">
            <v>35.6</v>
          </cell>
          <cell r="J117">
            <v>3.2</v>
          </cell>
          <cell r="K117">
            <v>11.2</v>
          </cell>
          <cell r="L117" t="str">
            <v>Q</v>
          </cell>
          <cell r="N117" t="str">
            <v>Groc</v>
          </cell>
          <cell r="O117">
            <v>7.3036342321219214</v>
          </cell>
          <cell r="P117">
            <v>3.6518171160609607</v>
          </cell>
          <cell r="R117">
            <v>40.299999999999997</v>
          </cell>
          <cell r="S117">
            <v>8.2678780773739735</v>
          </cell>
          <cell r="T117">
            <v>4.1339390386869868</v>
          </cell>
          <cell r="U117">
            <v>21.8</v>
          </cell>
          <cell r="V117">
            <v>4.4724501758499411</v>
          </cell>
        </row>
        <row r="118">
          <cell r="B118" t="str">
            <v>Food Service .................</v>
          </cell>
          <cell r="C118">
            <v>203</v>
          </cell>
          <cell r="D118">
            <v>54</v>
          </cell>
          <cell r="E118">
            <v>56</v>
          </cell>
          <cell r="F118">
            <v>91</v>
          </cell>
          <cell r="G118" t="str">
            <v>Q</v>
          </cell>
          <cell r="H118">
            <v>145.6</v>
          </cell>
          <cell r="I118">
            <v>39</v>
          </cell>
          <cell r="J118">
            <v>40</v>
          </cell>
          <cell r="K118">
            <v>65.400000000000006</v>
          </cell>
          <cell r="L118" t="str">
            <v>Q</v>
          </cell>
          <cell r="N118" t="str">
            <v>Restau</v>
          </cell>
          <cell r="O118">
            <v>8.0011723329425539</v>
          </cell>
          <cell r="P118">
            <v>4.000586166471277</v>
          </cell>
        </row>
        <row r="119">
          <cell r="B119" t="str">
            <v>Health Care ..................</v>
          </cell>
          <cell r="C119">
            <v>243</v>
          </cell>
          <cell r="D119">
            <v>136</v>
          </cell>
          <cell r="E119">
            <v>74</v>
          </cell>
          <cell r="F119">
            <v>10</v>
          </cell>
          <cell r="G119">
            <v>23</v>
          </cell>
          <cell r="H119">
            <v>95.3</v>
          </cell>
          <cell r="I119">
            <v>53.6</v>
          </cell>
          <cell r="J119">
            <v>28.9</v>
          </cell>
          <cell r="K119">
            <v>3.8</v>
          </cell>
          <cell r="L119">
            <v>9.1</v>
          </cell>
          <cell r="N119" t="str">
            <v>Health</v>
          </cell>
          <cell r="O119">
            <v>10.996483001172331</v>
          </cell>
          <cell r="P119">
            <v>5.4982415005861656</v>
          </cell>
        </row>
      </sheetData>
      <sheetData sheetId="17">
        <row r="11">
          <cell r="B11" t="str">
            <v>Water Using Devices</v>
          </cell>
          <cell r="C11" t="str">
            <v>Pre-Rinse Spray Valve</v>
          </cell>
          <cell r="D11" t="str">
            <v>Pre-Rinse Spray Valve</v>
          </cell>
          <cell r="E11" t="str">
            <v>CBSA 2014</v>
          </cell>
          <cell r="F11" t="str">
            <v>Some</v>
          </cell>
          <cell r="H11" t="str">
            <v>Retro</v>
          </cell>
          <cell r="I11">
            <v>0</v>
          </cell>
        </row>
        <row r="12">
          <cell r="B12" t="str">
            <v>Cooking</v>
          </cell>
          <cell r="C12" t="str">
            <v>Cooking Equipment</v>
          </cell>
          <cell r="D12" t="str">
            <v>Cooking Equipment</v>
          </cell>
          <cell r="E12" t="str">
            <v>CBSA 2014</v>
          </cell>
          <cell r="F12" t="str">
            <v>All</v>
          </cell>
          <cell r="H12" t="str">
            <v>NR</v>
          </cell>
          <cell r="I12">
            <v>0</v>
          </cell>
        </row>
        <row r="13">
          <cell r="B13" t="str">
            <v>HVAC System Improvements</v>
          </cell>
          <cell r="C13" t="str">
            <v>Premium HVAC Equipment</v>
          </cell>
          <cell r="D13" t="str">
            <v>Premium HVAC Equipment</v>
          </cell>
          <cell r="E13" t="str">
            <v>CBSA 2014</v>
          </cell>
          <cell r="F13" t="str">
            <v>All</v>
          </cell>
          <cell r="H13" t="str">
            <v>New</v>
          </cell>
          <cell r="I13">
            <v>0</v>
          </cell>
        </row>
        <row r="14">
          <cell r="B14" t="str">
            <v>HVAC System Improvements</v>
          </cell>
          <cell r="C14" t="str">
            <v>Premium HVAC Equipment</v>
          </cell>
          <cell r="D14" t="str">
            <v>Premium HVAC Equipment</v>
          </cell>
          <cell r="E14" t="str">
            <v>CBSA 2014</v>
          </cell>
          <cell r="F14" t="str">
            <v>All</v>
          </cell>
          <cell r="H14" t="str">
            <v>New</v>
          </cell>
          <cell r="I14">
            <v>0</v>
          </cell>
        </row>
        <row r="15">
          <cell r="B15" t="str">
            <v>Envelope</v>
          </cell>
          <cell r="C15" t="str">
            <v>Glass</v>
          </cell>
          <cell r="D15" t="str">
            <v>Windows</v>
          </cell>
          <cell r="E15" t="str">
            <v>CBSA 2014</v>
          </cell>
          <cell r="F15" t="str">
            <v>All</v>
          </cell>
          <cell r="H15" t="str">
            <v>New</v>
          </cell>
          <cell r="I15">
            <v>0</v>
          </cell>
        </row>
        <row r="16">
          <cell r="B16" t="str">
            <v>Envelope</v>
          </cell>
          <cell r="C16" t="str">
            <v>Glass</v>
          </cell>
          <cell r="D16" t="str">
            <v>Windows</v>
          </cell>
          <cell r="E16" t="str">
            <v>CBSA 2014</v>
          </cell>
          <cell r="F16" t="str">
            <v>All</v>
          </cell>
          <cell r="H16" t="str">
            <v>New</v>
          </cell>
          <cell r="I16">
            <v>0</v>
          </cell>
        </row>
        <row r="17">
          <cell r="B17" t="str">
            <v>Envelope</v>
          </cell>
          <cell r="C17" t="str">
            <v>Glass</v>
          </cell>
          <cell r="D17" t="str">
            <v>Windows</v>
          </cell>
          <cell r="E17" t="str">
            <v>CBSA 2014</v>
          </cell>
          <cell r="F17" t="str">
            <v>All</v>
          </cell>
          <cell r="H17" t="str">
            <v>New</v>
          </cell>
          <cell r="I17">
            <v>0</v>
          </cell>
        </row>
        <row r="18">
          <cell r="B18" t="str">
            <v>HVAC System Improvements</v>
          </cell>
          <cell r="C18" t="str">
            <v>Advanced Rooftop Controller</v>
          </cell>
          <cell r="D18" t="str">
            <v>Advanced Rooftop Controller</v>
          </cell>
          <cell r="E18" t="str">
            <v>CBSA 2014</v>
          </cell>
          <cell r="F18" t="str">
            <v>Most</v>
          </cell>
          <cell r="H18" t="str">
            <v>New</v>
          </cell>
          <cell r="I18">
            <v>0</v>
          </cell>
        </row>
        <row r="19">
          <cell r="B19" t="str">
            <v>HVAC System Improvements</v>
          </cell>
          <cell r="C19" t="str">
            <v>Advanced Rooftop Controller</v>
          </cell>
          <cell r="D19" t="str">
            <v>Advanced Rooftop Controller</v>
          </cell>
          <cell r="E19" t="str">
            <v>CBSA 2014</v>
          </cell>
          <cell r="F19" t="str">
            <v>Most</v>
          </cell>
          <cell r="H19" t="str">
            <v>New</v>
          </cell>
          <cell r="I19">
            <v>0</v>
          </cell>
        </row>
        <row r="20">
          <cell r="B20" t="str">
            <v>HVAC System Improvements</v>
          </cell>
          <cell r="C20" t="str">
            <v>Advanced Rooftop Controller</v>
          </cell>
          <cell r="D20" t="str">
            <v>Advanced Rooftop Controller</v>
          </cell>
          <cell r="E20" t="str">
            <v>CBSA 2014</v>
          </cell>
          <cell r="F20" t="str">
            <v>Most</v>
          </cell>
          <cell r="H20" t="str">
            <v>New</v>
          </cell>
          <cell r="I20">
            <v>0</v>
          </cell>
        </row>
        <row r="21">
          <cell r="B21" t="str">
            <v>Envelope</v>
          </cell>
          <cell r="C21" t="str">
            <v>Variable Speed Chiller</v>
          </cell>
          <cell r="D21" t="str">
            <v>Variable Speed Chiller</v>
          </cell>
          <cell r="E21" t="str">
            <v>CBSA 2014</v>
          </cell>
          <cell r="F21" t="str">
            <v>Some</v>
          </cell>
          <cell r="H21" t="str">
            <v>New</v>
          </cell>
          <cell r="I21">
            <v>0</v>
          </cell>
        </row>
        <row r="22">
          <cell r="B22" t="str">
            <v>Envelope</v>
          </cell>
          <cell r="C22" t="str">
            <v>Variable Speed Chiller</v>
          </cell>
          <cell r="D22" t="str">
            <v>Variable Speed Chiller</v>
          </cell>
          <cell r="E22" t="str">
            <v>CBSA 2014</v>
          </cell>
          <cell r="F22" t="str">
            <v>Some</v>
          </cell>
          <cell r="H22" t="str">
            <v>New</v>
          </cell>
          <cell r="I22">
            <v>0</v>
          </cell>
        </row>
        <row r="23">
          <cell r="B23" t="str">
            <v>Whole Bldg/Meter Level System Improvements</v>
          </cell>
          <cell r="C23" t="str">
            <v>Commercial EM</v>
          </cell>
          <cell r="D23" t="str">
            <v>Commercial Energy Management For Complex systems</v>
          </cell>
          <cell r="E23" t="str">
            <v>CBSA 2014</v>
          </cell>
          <cell r="F23" t="str">
            <v>All</v>
          </cell>
          <cell r="H23" t="str">
            <v>New</v>
          </cell>
          <cell r="I23">
            <v>0</v>
          </cell>
        </row>
        <row r="24">
          <cell r="B24" t="str">
            <v>Whole Bldg/Meter Level System Improvements</v>
          </cell>
          <cell r="C24" t="str">
            <v>Commercial EM</v>
          </cell>
          <cell r="D24" t="str">
            <v>Commercial Energy Management For Complex systems</v>
          </cell>
          <cell r="E24" t="str">
            <v>CBSA 2014</v>
          </cell>
          <cell r="F24" t="str">
            <v>All</v>
          </cell>
          <cell r="H24" t="str">
            <v>New</v>
          </cell>
          <cell r="I24">
            <v>0</v>
          </cell>
        </row>
        <row r="25">
          <cell r="B25" t="str">
            <v>Whole Bldg/Meter Level System Improvements</v>
          </cell>
          <cell r="C25" t="str">
            <v>Commercial EM</v>
          </cell>
          <cell r="D25" t="str">
            <v>Commercial Energy Management For Complex systems</v>
          </cell>
          <cell r="E25" t="str">
            <v>CBSA 2014</v>
          </cell>
          <cell r="F25" t="str">
            <v>All</v>
          </cell>
          <cell r="H25" t="str">
            <v>New</v>
          </cell>
          <cell r="I25">
            <v>0</v>
          </cell>
        </row>
        <row r="26">
          <cell r="B26" t="str">
            <v>HVAC System Improvements</v>
          </cell>
          <cell r="C26" t="str">
            <v>Evaporative Assist Cooling</v>
          </cell>
          <cell r="D26" t="str">
            <v>Evaporative Assist Cooling</v>
          </cell>
          <cell r="E26" t="str">
            <v>CBSA 2014</v>
          </cell>
          <cell r="F26" t="str">
            <v>Some</v>
          </cell>
          <cell r="H26" t="str">
            <v>New</v>
          </cell>
          <cell r="I26">
            <v>0</v>
          </cell>
        </row>
        <row r="27">
          <cell r="B27" t="str">
            <v>HVAC System Improvements</v>
          </cell>
          <cell r="C27" t="str">
            <v>Evaporative Assist Cooling</v>
          </cell>
          <cell r="D27" t="str">
            <v>Evaporative Assist Cooling</v>
          </cell>
          <cell r="E27" t="str">
            <v>CBSA 2014</v>
          </cell>
          <cell r="F27" t="str">
            <v>Some</v>
          </cell>
          <cell r="H27" t="str">
            <v>New</v>
          </cell>
          <cell r="I27">
            <v>0</v>
          </cell>
        </row>
        <row r="28">
          <cell r="B28" t="e">
            <v>#N/A</v>
          </cell>
          <cell r="C28" t="str">
            <v>Low Pressure Distribution Complex HVAC</v>
          </cell>
          <cell r="D28" t="e">
            <v>#N/A</v>
          </cell>
          <cell r="E28" t="e">
            <v>#N/A</v>
          </cell>
          <cell r="F28" t="e">
            <v>#N/A</v>
          </cell>
          <cell r="H28" t="e">
            <v>#N/A</v>
          </cell>
          <cell r="I28" t="e">
            <v>#N/A</v>
          </cell>
        </row>
        <row r="29">
          <cell r="B29" t="str">
            <v>HVAC System Controls</v>
          </cell>
          <cell r="C29" t="str">
            <v>Demand Control Ventilation</v>
          </cell>
          <cell r="D29" t="str">
            <v>Demand Control Ventilation</v>
          </cell>
          <cell r="E29" t="str">
            <v>CBSA 2014</v>
          </cell>
          <cell r="F29" t="str">
            <v>All</v>
          </cell>
          <cell r="H29" t="str">
            <v>New</v>
          </cell>
          <cell r="I29">
            <v>0</v>
          </cell>
        </row>
        <row r="30">
          <cell r="B30" t="str">
            <v>HVAC System Controls</v>
          </cell>
          <cell r="C30" t="str">
            <v>Demand Control Ventilation</v>
          </cell>
          <cell r="D30" t="str">
            <v>Demand Control Ventilation</v>
          </cell>
          <cell r="E30" t="str">
            <v>CBSA 2014</v>
          </cell>
          <cell r="F30" t="str">
            <v>All</v>
          </cell>
          <cell r="H30" t="str">
            <v>New</v>
          </cell>
          <cell r="I30">
            <v>0</v>
          </cell>
        </row>
        <row r="31">
          <cell r="B31" t="str">
            <v>HVAC System Controls</v>
          </cell>
          <cell r="C31" t="str">
            <v>Demand Control Ventilation</v>
          </cell>
          <cell r="D31" t="str">
            <v>Demand Control Ventilation</v>
          </cell>
          <cell r="E31" t="str">
            <v>CBSA 2014</v>
          </cell>
          <cell r="F31" t="str">
            <v>All</v>
          </cell>
          <cell r="H31" t="str">
            <v>New</v>
          </cell>
          <cell r="I31">
            <v>0</v>
          </cell>
        </row>
        <row r="32">
          <cell r="B32" t="str">
            <v>Pumps and Fans</v>
          </cell>
          <cell r="C32" t="str">
            <v>Premium Fume Hood</v>
          </cell>
          <cell r="D32" t="str">
            <v>Premium Fume Hood</v>
          </cell>
          <cell r="E32" t="str">
            <v>CBSA 2014</v>
          </cell>
          <cell r="F32" t="str">
            <v>Some</v>
          </cell>
          <cell r="H32" t="str">
            <v>NR</v>
          </cell>
          <cell r="I32">
            <v>0</v>
          </cell>
        </row>
        <row r="33">
          <cell r="B33" t="str">
            <v>Pumps and Fans</v>
          </cell>
          <cell r="C33" t="str">
            <v>DCV Restaurant Hood</v>
          </cell>
          <cell r="D33" t="str">
            <v>DCV Restaurant Hood</v>
          </cell>
          <cell r="E33" t="str">
            <v>CBSA 2014</v>
          </cell>
          <cell r="F33" t="str">
            <v>Restaurant</v>
          </cell>
          <cell r="H33" t="str">
            <v>Retro</v>
          </cell>
          <cell r="I33">
            <v>0</v>
          </cell>
        </row>
        <row r="34">
          <cell r="B34" t="str">
            <v>Pumps and Fans</v>
          </cell>
          <cell r="C34" t="str">
            <v>DCV Parking Garage</v>
          </cell>
          <cell r="D34" t="str">
            <v>DCV Parking Garage</v>
          </cell>
          <cell r="E34" t="str">
            <v>CBSA 2014</v>
          </cell>
          <cell r="F34" t="str">
            <v>All</v>
          </cell>
          <cell r="H34" t="str">
            <v>Retro</v>
          </cell>
          <cell r="I34" t="str">
            <v>x</v>
          </cell>
        </row>
        <row r="35">
          <cell r="B35" t="str">
            <v>Envelope</v>
          </cell>
          <cell r="C35" t="str">
            <v>Weatherization - School</v>
          </cell>
          <cell r="D35" t="str">
            <v>Weatherization - School</v>
          </cell>
          <cell r="E35" t="str">
            <v>CBSA 2014</v>
          </cell>
          <cell r="F35" t="str">
            <v>K-12</v>
          </cell>
          <cell r="H35" t="str">
            <v>Retro</v>
          </cell>
          <cell r="I35" t="str">
            <v>x</v>
          </cell>
        </row>
        <row r="36">
          <cell r="B36" t="str">
            <v>Computer Technologies</v>
          </cell>
          <cell r="C36" t="str">
            <v>Energy Recovery Ventilator</v>
          </cell>
          <cell r="D36" t="str">
            <v>Heat Recovery Ventilation</v>
          </cell>
          <cell r="E36" t="str">
            <v>CBSA 20154</v>
          </cell>
          <cell r="F36" t="str">
            <v>All</v>
          </cell>
          <cell r="H36" t="str">
            <v>NR</v>
          </cell>
          <cell r="I36">
            <v>0</v>
          </cell>
        </row>
        <row r="37">
          <cell r="B37" t="str">
            <v>Heat Recovery</v>
          </cell>
          <cell r="C37" t="str">
            <v>AC Heat Recovery for Water Heating</v>
          </cell>
          <cell r="D37" t="str">
            <v>AC Heat Recovery for Water Heating</v>
          </cell>
          <cell r="E37" t="str">
            <v>CBSA 2014</v>
          </cell>
          <cell r="F37" t="str">
            <v>All</v>
          </cell>
          <cell r="H37" t="str">
            <v>NR</v>
          </cell>
          <cell r="I37" t="str">
            <v>x</v>
          </cell>
        </row>
        <row r="38">
          <cell r="B38" t="str">
            <v>Whole Bldg/Meter Level System Improvements</v>
          </cell>
          <cell r="C38" t="str">
            <v>Room Occupancy Sensors in Lodging</v>
          </cell>
          <cell r="D38" t="str">
            <v>Room Occupancy Sensors in Lodging</v>
          </cell>
          <cell r="E38" t="str">
            <v>CBSA 2014</v>
          </cell>
          <cell r="F38" t="str">
            <v>Lodging</v>
          </cell>
          <cell r="H38" t="str">
            <v>Retro</v>
          </cell>
          <cell r="I38" t="str">
            <v>x</v>
          </cell>
        </row>
        <row r="39">
          <cell r="B39" t="str">
            <v>HVAC System Improvements</v>
          </cell>
          <cell r="C39" t="str">
            <v>Chiller - chilled water retrofit</v>
          </cell>
          <cell r="D39" t="str">
            <v>Chiller - chilled water retrofit</v>
          </cell>
          <cell r="E39" t="str">
            <v>CBSA 2014</v>
          </cell>
          <cell r="F39" t="str">
            <v>Some</v>
          </cell>
          <cell r="H39" t="str">
            <v>Retro</v>
          </cell>
          <cell r="I39" t="str">
            <v>x</v>
          </cell>
        </row>
        <row r="40">
          <cell r="B40" t="str">
            <v>HVAC System Improvements</v>
          </cell>
          <cell r="C40" t="str">
            <v>Chiller - equip retrofits</v>
          </cell>
          <cell r="D40" t="str">
            <v>Chiller - equip retrofits</v>
          </cell>
          <cell r="E40" t="str">
            <v>CBSA 2014</v>
          </cell>
          <cell r="F40" t="str">
            <v>Some</v>
          </cell>
          <cell r="H40" t="str">
            <v>Retro</v>
          </cell>
          <cell r="I40" t="str">
            <v>x</v>
          </cell>
        </row>
        <row r="41">
          <cell r="B41" t="str">
            <v>Pool System Improvements</v>
          </cell>
          <cell r="C41" t="str">
            <v>Pool Blankets</v>
          </cell>
          <cell r="D41" t="str">
            <v>Pool Blankets</v>
          </cell>
          <cell r="E41" t="str">
            <v>CBSA 2014</v>
          </cell>
          <cell r="F41" t="str">
            <v>Some</v>
          </cell>
          <cell r="H41" t="str">
            <v>Retro</v>
          </cell>
          <cell r="I41" t="str">
            <v>x</v>
          </cell>
        </row>
        <row r="42">
          <cell r="B42" t="str">
            <v>HVAC System Controls</v>
          </cell>
          <cell r="C42" t="str">
            <v>Web-Enabled Thermostats</v>
          </cell>
          <cell r="D42" t="str">
            <v>Web-Enabled Thermostats</v>
          </cell>
          <cell r="E42" t="str">
            <v>CBSA 2014</v>
          </cell>
          <cell r="F42" t="str">
            <v>Some</v>
          </cell>
          <cell r="H42" t="str">
            <v>Retro</v>
          </cell>
          <cell r="I42" t="str">
            <v>x</v>
          </cell>
        </row>
        <row r="43">
          <cell r="B43" t="str">
            <v>HVAC System Controls</v>
          </cell>
          <cell r="C43" t="str">
            <v>Garage CO2 ventilation</v>
          </cell>
          <cell r="D43" t="str">
            <v>Garage CO2 ventilation</v>
          </cell>
          <cell r="E43" t="str">
            <v>CBSA 2014</v>
          </cell>
          <cell r="F43" t="str">
            <v>Some</v>
          </cell>
          <cell r="H43" t="str">
            <v>Retro</v>
          </cell>
          <cell r="I43" t="str">
            <v>x</v>
          </cell>
        </row>
        <row r="44">
          <cell r="B44" t="str">
            <v>Pumps and Fans</v>
          </cell>
          <cell r="C44" t="str">
            <v>Circ Pump ECM and drive</v>
          </cell>
          <cell r="D44" t="str">
            <v>Circ Pump ECM and drive</v>
          </cell>
          <cell r="E44" t="str">
            <v>CBSA 2014</v>
          </cell>
          <cell r="F44" t="str">
            <v>Some</v>
          </cell>
          <cell r="H44" t="str">
            <v>Retro</v>
          </cell>
          <cell r="I44" t="str">
            <v>x</v>
          </cell>
        </row>
        <row r="45">
          <cell r="B45" t="str">
            <v>HVAC System Improvements</v>
          </cell>
          <cell r="C45" t="str">
            <v>VRF</v>
          </cell>
          <cell r="D45" t="str">
            <v>Variable Refrigerant Flow</v>
          </cell>
          <cell r="E45" t="str">
            <v>CBSA 2014</v>
          </cell>
          <cell r="F45" t="str">
            <v>Some</v>
          </cell>
          <cell r="H45" t="str">
            <v>New</v>
          </cell>
          <cell r="I45" t="str">
            <v>x</v>
          </cell>
        </row>
        <row r="46">
          <cell r="B46" t="str">
            <v>HVAC System Improvements</v>
          </cell>
          <cell r="C46" t="str">
            <v>VRF</v>
          </cell>
          <cell r="D46" t="str">
            <v>Variable Refrigerant Flow</v>
          </cell>
          <cell r="E46" t="str">
            <v>CBSA 2014</v>
          </cell>
          <cell r="F46" t="str">
            <v>Some</v>
          </cell>
          <cell r="H46" t="str">
            <v>New</v>
          </cell>
          <cell r="I46" t="str">
            <v>x</v>
          </cell>
        </row>
        <row r="47">
          <cell r="B47" t="str">
            <v>HVAC System Improvements</v>
          </cell>
          <cell r="C47" t="str">
            <v>Evaporator Roof Top HVAC</v>
          </cell>
          <cell r="D47" t="str">
            <v>Evaporator Roof Top HVAC</v>
          </cell>
          <cell r="E47" t="str">
            <v>CBSA 2014</v>
          </cell>
          <cell r="F47" t="str">
            <v>Some</v>
          </cell>
          <cell r="H47" t="str">
            <v>Retro</v>
          </cell>
          <cell r="I47" t="str">
            <v>x</v>
          </cell>
        </row>
        <row r="48">
          <cell r="B48" t="str">
            <v>Envelope</v>
          </cell>
          <cell r="C48" t="str">
            <v>Secondary Glazing Systems</v>
          </cell>
          <cell r="D48" t="str">
            <v>Secondary Glazing Systems</v>
          </cell>
          <cell r="E48" t="str">
            <v>CBSA 2014</v>
          </cell>
          <cell r="F48" t="str">
            <v>All</v>
          </cell>
          <cell r="H48" t="str">
            <v>Retro</v>
          </cell>
          <cell r="I48" t="str">
            <v>x</v>
          </cell>
        </row>
        <row r="49">
          <cell r="B49" t="str">
            <v>Lamps/Ballasts/Fixtures</v>
          </cell>
          <cell r="C49" t="str">
            <v>LPD Package</v>
          </cell>
          <cell r="D49" t="str">
            <v>Lighting Power Density</v>
          </cell>
          <cell r="E49" t="str">
            <v>CBSA 2014</v>
          </cell>
          <cell r="F49" t="str">
            <v>All</v>
          </cell>
          <cell r="H49" t="str">
            <v>New</v>
          </cell>
          <cell r="I49">
            <v>0</v>
          </cell>
        </row>
        <row r="50">
          <cell r="B50" t="str">
            <v>Lamps/Ballasts/Fixtures</v>
          </cell>
          <cell r="C50" t="str">
            <v>LPD Package</v>
          </cell>
          <cell r="D50" t="str">
            <v>Lighting Power Density</v>
          </cell>
          <cell r="E50" t="str">
            <v>CBSA 2014</v>
          </cell>
          <cell r="F50" t="str">
            <v>All</v>
          </cell>
          <cell r="H50" t="str">
            <v>New</v>
          </cell>
          <cell r="I50">
            <v>0</v>
          </cell>
        </row>
        <row r="51">
          <cell r="B51" t="str">
            <v>Lamps/Ballasts/Fixtures</v>
          </cell>
          <cell r="C51" t="str">
            <v>LPD Package</v>
          </cell>
          <cell r="D51" t="str">
            <v>Lighting Power Density</v>
          </cell>
          <cell r="E51" t="str">
            <v>CBSA 2014</v>
          </cell>
          <cell r="F51" t="str">
            <v>All</v>
          </cell>
          <cell r="H51" t="str">
            <v>New</v>
          </cell>
          <cell r="I51">
            <v>0</v>
          </cell>
        </row>
        <row r="52">
          <cell r="B52" t="str">
            <v>Lighting Controls</v>
          </cell>
          <cell r="C52" t="str">
            <v>Top Daylighting</v>
          </cell>
          <cell r="D52" t="str">
            <v>Daylighting with Skylights</v>
          </cell>
          <cell r="E52" t="str">
            <v>CBSA 2014</v>
          </cell>
          <cell r="F52" t="str">
            <v>All</v>
          </cell>
          <cell r="H52" t="str">
            <v>New</v>
          </cell>
          <cell r="I52">
            <v>0</v>
          </cell>
        </row>
        <row r="53">
          <cell r="B53" t="str">
            <v>Lighting Controls</v>
          </cell>
          <cell r="C53" t="str">
            <v>Perimeter Daylighting Controls Advanced</v>
          </cell>
          <cell r="D53" t="str">
            <v>Daylighting with Windows</v>
          </cell>
          <cell r="E53" t="str">
            <v>CBSA 2014</v>
          </cell>
          <cell r="F53" t="str">
            <v>All</v>
          </cell>
          <cell r="H53" t="str">
            <v>New</v>
          </cell>
          <cell r="I53">
            <v>0</v>
          </cell>
        </row>
        <row r="54">
          <cell r="B54" t="str">
            <v>Lighting Controls</v>
          </cell>
          <cell r="C54" t="str">
            <v>Perimeter Daylighting Controls Advanced</v>
          </cell>
          <cell r="D54" t="str">
            <v>Daylighting with Windows</v>
          </cell>
          <cell r="E54" t="str">
            <v>CBSA 2014</v>
          </cell>
          <cell r="F54" t="str">
            <v>All</v>
          </cell>
          <cell r="H54" t="str">
            <v>New</v>
          </cell>
          <cell r="I54">
            <v>0</v>
          </cell>
        </row>
        <row r="55">
          <cell r="B55" t="str">
            <v>Lighting Controls</v>
          </cell>
          <cell r="C55" t="str">
            <v>Lighting Controls Interior</v>
          </cell>
          <cell r="D55" t="str">
            <v>Lighting Controls Interior</v>
          </cell>
          <cell r="E55" t="str">
            <v>CBSA 2014</v>
          </cell>
          <cell r="F55" t="str">
            <v>All</v>
          </cell>
          <cell r="H55" t="str">
            <v>New</v>
          </cell>
          <cell r="I55">
            <v>0</v>
          </cell>
        </row>
        <row r="56">
          <cell r="B56" t="str">
            <v>Lighting Controls</v>
          </cell>
          <cell r="C56" t="str">
            <v>Lighting Controls Interior</v>
          </cell>
          <cell r="D56" t="str">
            <v>Lighting Controls Interior</v>
          </cell>
          <cell r="E56" t="str">
            <v>CBSA 2014</v>
          </cell>
          <cell r="F56" t="str">
            <v>All</v>
          </cell>
          <cell r="H56" t="str">
            <v>New</v>
          </cell>
          <cell r="I56">
            <v>0</v>
          </cell>
        </row>
        <row r="57">
          <cell r="B57" t="str">
            <v>Lamps/Ballasts/Fixtures</v>
          </cell>
          <cell r="C57" t="str">
            <v>Exterior Building Lighting</v>
          </cell>
          <cell r="D57" t="str">
            <v>Exterior Building Lighting</v>
          </cell>
          <cell r="E57" t="str">
            <v>CBSA 2014</v>
          </cell>
          <cell r="F57" t="str">
            <v>All</v>
          </cell>
          <cell r="H57" t="str">
            <v>New</v>
          </cell>
          <cell r="I57">
            <v>0</v>
          </cell>
        </row>
        <row r="58">
          <cell r="B58" t="str">
            <v>Lamps/Ballasts/Fixtures</v>
          </cell>
          <cell r="C58" t="str">
            <v>Exterior Building Lighting</v>
          </cell>
          <cell r="D58" t="str">
            <v>Exterior Building Lighting</v>
          </cell>
          <cell r="E58" t="str">
            <v>CBSA 2014</v>
          </cell>
          <cell r="F58" t="str">
            <v>All</v>
          </cell>
          <cell r="H58" t="str">
            <v>New</v>
          </cell>
          <cell r="I58">
            <v>0</v>
          </cell>
        </row>
        <row r="59">
          <cell r="B59" t="str">
            <v>Lamps/Ballasts/Fixtures</v>
          </cell>
          <cell r="C59" t="str">
            <v>Street and Roadway Lighting</v>
          </cell>
          <cell r="D59" t="str">
            <v>Street and Roadway Lighting</v>
          </cell>
          <cell r="E59" t="str">
            <v>Navigant 2014</v>
          </cell>
          <cell r="F59" t="str">
            <v>Non-Building</v>
          </cell>
          <cell r="H59" t="str">
            <v>New</v>
          </cell>
          <cell r="I59">
            <v>0</v>
          </cell>
        </row>
        <row r="60">
          <cell r="B60" t="str">
            <v>Lamps/Ballasts/Fixtures</v>
          </cell>
          <cell r="C60" t="str">
            <v>Street and Roadway Lighting</v>
          </cell>
          <cell r="D60" t="str">
            <v>Street and Roadway Lighting</v>
          </cell>
          <cell r="E60" t="str">
            <v>Navigant 2014</v>
          </cell>
          <cell r="F60" t="str">
            <v>Non-Building</v>
          </cell>
          <cell r="H60" t="str">
            <v>New</v>
          </cell>
          <cell r="I60">
            <v>0</v>
          </cell>
        </row>
        <row r="61">
          <cell r="B61" t="str">
            <v>Lamps/Ballasts/Fixtures</v>
          </cell>
          <cell r="C61" t="str">
            <v>Parking Lighting</v>
          </cell>
          <cell r="D61" t="str">
            <v>Parking Lighting</v>
          </cell>
          <cell r="E61" t="str">
            <v>CBSA 2014</v>
          </cell>
          <cell r="F61" t="str">
            <v>All</v>
          </cell>
          <cell r="H61" t="str">
            <v>New</v>
          </cell>
          <cell r="I61">
            <v>0</v>
          </cell>
        </row>
        <row r="62">
          <cell r="B62" t="str">
            <v>Lamps/Ballasts/Fixtures</v>
          </cell>
          <cell r="C62" t="str">
            <v>Parking Lighting</v>
          </cell>
          <cell r="D62" t="str">
            <v>Parking Lighting</v>
          </cell>
          <cell r="E62" t="str">
            <v>CBSA 2014</v>
          </cell>
          <cell r="F62" t="str">
            <v>All</v>
          </cell>
          <cell r="H62" t="str">
            <v>New</v>
          </cell>
          <cell r="I62">
            <v>0</v>
          </cell>
        </row>
        <row r="63">
          <cell r="B63" t="e">
            <v>#N/A</v>
          </cell>
          <cell r="C63" t="str">
            <v>Bi-Level Stiarwell Lighting</v>
          </cell>
          <cell r="D63" t="e">
            <v>#N/A</v>
          </cell>
          <cell r="E63" t="e">
            <v>#N/A</v>
          </cell>
          <cell r="F63" t="e">
            <v>#N/A</v>
          </cell>
          <cell r="H63" t="e">
            <v>#N/A</v>
          </cell>
          <cell r="I63" t="e">
            <v>#N/A</v>
          </cell>
        </row>
        <row r="64">
          <cell r="B64" t="str">
            <v>Motors</v>
          </cell>
          <cell r="C64" t="str">
            <v>ECM-VAV</v>
          </cell>
          <cell r="D64" t="str">
            <v>ECM Motors on Variable Air Volume Boxes</v>
          </cell>
          <cell r="E64" t="str">
            <v>CBSA 2014</v>
          </cell>
          <cell r="F64" t="str">
            <v>All</v>
          </cell>
          <cell r="H64" t="str">
            <v>New</v>
          </cell>
          <cell r="I64">
            <v>0</v>
          </cell>
        </row>
        <row r="65">
          <cell r="B65" t="str">
            <v>Motors</v>
          </cell>
          <cell r="C65" t="str">
            <v>ECM-VAV</v>
          </cell>
          <cell r="D65" t="str">
            <v>ECM Motors on Variable Air Volume Boxes</v>
          </cell>
          <cell r="E65" t="str">
            <v>CBSA 2014</v>
          </cell>
          <cell r="F65" t="str">
            <v>All</v>
          </cell>
          <cell r="H65" t="str">
            <v>New</v>
          </cell>
          <cell r="I65">
            <v>0</v>
          </cell>
        </row>
        <row r="66">
          <cell r="B66" t="str">
            <v>Pool System Improvements</v>
          </cell>
          <cell r="C66" t="str">
            <v>Pool pumps</v>
          </cell>
          <cell r="D66" t="str">
            <v>Pool pumps</v>
          </cell>
          <cell r="E66" t="str">
            <v>CBSA 2014</v>
          </cell>
          <cell r="F66" t="str">
            <v>Some</v>
          </cell>
          <cell r="H66" t="str">
            <v>Retro</v>
          </cell>
          <cell r="I66" t="str">
            <v>x</v>
          </cell>
        </row>
        <row r="67">
          <cell r="B67" t="str">
            <v>Motors</v>
          </cell>
          <cell r="C67" t="str">
            <v>MotorsRewind</v>
          </cell>
          <cell r="D67" t="str">
            <v>Motors - Rewind</v>
          </cell>
          <cell r="E67" t="str">
            <v>CBSA 2014</v>
          </cell>
          <cell r="F67" t="str">
            <v>All</v>
          </cell>
          <cell r="H67" t="str">
            <v>New</v>
          </cell>
          <cell r="I67" t="str">
            <v>x</v>
          </cell>
        </row>
        <row r="68">
          <cell r="B68" t="str">
            <v>Motors</v>
          </cell>
          <cell r="C68" t="str">
            <v>MotorsRewind</v>
          </cell>
          <cell r="D68" t="str">
            <v>Motors - Rewind</v>
          </cell>
          <cell r="E68" t="str">
            <v>CBSA 2014</v>
          </cell>
          <cell r="F68" t="str">
            <v>All</v>
          </cell>
          <cell r="H68" t="str">
            <v>New</v>
          </cell>
          <cell r="I68" t="str">
            <v>x</v>
          </cell>
        </row>
        <row r="69">
          <cell r="B69" t="str">
            <v>Process Loads System Improvements</v>
          </cell>
          <cell r="C69" t="str">
            <v>Municipal Sewage Treatment</v>
          </cell>
          <cell r="D69" t="str">
            <v>Municipal Sewage Treatment</v>
          </cell>
          <cell r="E69" t="str">
            <v>2013 EPA Flow rates</v>
          </cell>
          <cell r="F69" t="str">
            <v>Non-Building</v>
          </cell>
          <cell r="H69" t="str">
            <v>Retro</v>
          </cell>
          <cell r="I69">
            <v>0</v>
          </cell>
        </row>
        <row r="70">
          <cell r="B70" t="str">
            <v>Process Loads System Improvements</v>
          </cell>
          <cell r="C70" t="str">
            <v>Municipal Water Supply</v>
          </cell>
          <cell r="D70" t="str">
            <v>Municipal Water Supply</v>
          </cell>
          <cell r="E70" t="str">
            <v>2013 EPA Flow rates</v>
          </cell>
          <cell r="F70" t="str">
            <v>Non-Building</v>
          </cell>
          <cell r="H70" t="str">
            <v>Retro</v>
          </cell>
          <cell r="I70">
            <v>0</v>
          </cell>
        </row>
        <row r="71">
          <cell r="B71" t="str">
            <v>Process Loads System Controls</v>
          </cell>
          <cell r="C71" t="str">
            <v>Engine Generator Block Heaters</v>
          </cell>
          <cell r="D71" t="str">
            <v>Engine Generator Block Heaters</v>
          </cell>
          <cell r="E71" t="str">
            <v>No Control</v>
          </cell>
          <cell r="F71" t="str">
            <v>All</v>
          </cell>
          <cell r="H71" t="str">
            <v>Retro</v>
          </cell>
          <cell r="I71" t="str">
            <v>x</v>
          </cell>
        </row>
        <row r="72">
          <cell r="B72" t="str">
            <v>Refrigeration System Improvements</v>
          </cell>
          <cell r="C72" t="str">
            <v>Grocery Refrigeration Bundle</v>
          </cell>
          <cell r="D72" t="str">
            <v>Grocery Refrigeration Bundle</v>
          </cell>
          <cell r="E72" t="str">
            <v>CBSA 2014</v>
          </cell>
          <cell r="F72" t="str">
            <v>Grocery</v>
          </cell>
          <cell r="H72" t="str">
            <v>Retro</v>
          </cell>
          <cell r="I72">
            <v>0</v>
          </cell>
        </row>
        <row r="73">
          <cell r="B73" t="str">
            <v>Packaged Refrigeration</v>
          </cell>
          <cell r="C73" t="str">
            <v>Packaged Refrigeration Equipment</v>
          </cell>
          <cell r="D73" t="str">
            <v>Packaged Refrigeration Equipment</v>
          </cell>
          <cell r="E73" t="str">
            <v>CBSA 2014</v>
          </cell>
          <cell r="F73" t="str">
            <v>Grocery</v>
          </cell>
          <cell r="H73" t="str">
            <v>New</v>
          </cell>
          <cell r="I73">
            <v>0</v>
          </cell>
        </row>
        <row r="74">
          <cell r="B74" t="str">
            <v>Refrigeration System Improvements</v>
          </cell>
          <cell r="C74" t="str">
            <v>Appliances - Freezers</v>
          </cell>
          <cell r="D74" t="str">
            <v>Appliances - Freezers</v>
          </cell>
          <cell r="E74" t="str">
            <v>Fed Std 2014</v>
          </cell>
          <cell r="F74" t="str">
            <v>All</v>
          </cell>
          <cell r="H74" t="str">
            <v>NR</v>
          </cell>
          <cell r="I74" t="str">
            <v>x</v>
          </cell>
        </row>
        <row r="75">
          <cell r="B75" t="str">
            <v>Refrigeration System Improvements</v>
          </cell>
          <cell r="C75" t="str">
            <v>Appliances - Refrigerators</v>
          </cell>
          <cell r="D75" t="str">
            <v>Appliances - Refrigerators</v>
          </cell>
          <cell r="E75" t="str">
            <v>Fed Std 2014</v>
          </cell>
          <cell r="F75" t="str">
            <v>All</v>
          </cell>
          <cell r="H75" t="str">
            <v>NR</v>
          </cell>
          <cell r="I75" t="str">
            <v>x</v>
          </cell>
        </row>
        <row r="76">
          <cell r="B76" t="str">
            <v>Refrigeration System Controls</v>
          </cell>
          <cell r="C76" t="str">
            <v>Water Cooler Controls</v>
          </cell>
          <cell r="D76" t="str">
            <v>Water Cooler Controls</v>
          </cell>
          <cell r="E76" t="str">
            <v>Uncontrolled</v>
          </cell>
          <cell r="F76" t="str">
            <v>Some</v>
          </cell>
          <cell r="H76" t="str">
            <v>NR</v>
          </cell>
          <cell r="I76" t="str">
            <v>x</v>
          </cell>
        </row>
        <row r="77">
          <cell r="B77" t="str">
            <v>Water Using Devices</v>
          </cell>
          <cell r="C77" t="str">
            <v>WHTanks</v>
          </cell>
          <cell r="D77" t="str">
            <v>DHW - Efficient Tanks</v>
          </cell>
          <cell r="E77" t="str">
            <v>CBSA 2014</v>
          </cell>
          <cell r="F77" t="str">
            <v>Some</v>
          </cell>
          <cell r="H77" t="str">
            <v>New</v>
          </cell>
          <cell r="I77">
            <v>0</v>
          </cell>
        </row>
        <row r="78">
          <cell r="B78" t="str">
            <v>Water Using Devices</v>
          </cell>
          <cell r="C78" t="str">
            <v>WHTanks</v>
          </cell>
          <cell r="D78" t="str">
            <v>DHW - Efficient Tanks</v>
          </cell>
          <cell r="E78" t="str">
            <v>CBSA 2014</v>
          </cell>
          <cell r="F78" t="str">
            <v>Some</v>
          </cell>
          <cell r="H78" t="str">
            <v>New</v>
          </cell>
          <cell r="I78">
            <v>0</v>
          </cell>
        </row>
        <row r="79">
          <cell r="B79" t="str">
            <v>Water Using Devices</v>
          </cell>
          <cell r="C79" t="str">
            <v>Appliances - Clothes Washers</v>
          </cell>
          <cell r="D79" t="str">
            <v>Appliances - Clothes Washers</v>
          </cell>
          <cell r="E79" t="str">
            <v>CBSA 2014</v>
          </cell>
          <cell r="F79" t="str">
            <v>Some</v>
          </cell>
          <cell r="H79" t="str">
            <v>NR</v>
          </cell>
          <cell r="I79" t="str">
            <v>x</v>
          </cell>
        </row>
        <row r="80">
          <cell r="B80" t="str">
            <v>Water Using Devices</v>
          </cell>
          <cell r="C80" t="str">
            <v>Showerheads</v>
          </cell>
          <cell r="D80" t="str">
            <v>DHW - Showerheads</v>
          </cell>
          <cell r="E80" t="str">
            <v>2.5 GPM</v>
          </cell>
          <cell r="F80" t="str">
            <v>Some</v>
          </cell>
          <cell r="H80" t="str">
            <v>Retro</v>
          </cell>
          <cell r="I80" t="str">
            <v>x</v>
          </cell>
        </row>
        <row r="81">
          <cell r="B81" t="str">
            <v>Water Using Devices</v>
          </cell>
          <cell r="C81" t="str">
            <v>Water Heating - GFHX</v>
          </cell>
          <cell r="D81" t="str">
            <v>Water Heating - GFHX</v>
          </cell>
          <cell r="E81" t="str">
            <v>No Heat Recovery</v>
          </cell>
          <cell r="F81" t="str">
            <v>All</v>
          </cell>
          <cell r="H81" t="str">
            <v>New</v>
          </cell>
          <cell r="I81" t="str">
            <v>x</v>
          </cell>
        </row>
        <row r="82">
          <cell r="B82" t="str">
            <v>Water Using Devices</v>
          </cell>
          <cell r="C82" t="str">
            <v>Demand Control Circulating system DHW</v>
          </cell>
          <cell r="D82" t="str">
            <v>Demand Control Circulating system DHW</v>
          </cell>
          <cell r="E82" t="str">
            <v>CBSA 2014</v>
          </cell>
          <cell r="F82" t="str">
            <v>Some</v>
          </cell>
          <cell r="H82" t="str">
            <v>Retro</v>
          </cell>
          <cell r="I82" t="str">
            <v>x</v>
          </cell>
        </row>
        <row r="83">
          <cell r="B83" t="str">
            <v>Water Heaters</v>
          </cell>
          <cell r="C83" t="str">
            <v>Central HPWH MF</v>
          </cell>
          <cell r="D83" t="str">
            <v>Central HPWH MF</v>
          </cell>
          <cell r="E83" t="str">
            <v>CBSA 2014</v>
          </cell>
          <cell r="F83" t="str">
            <v>Multifamily</v>
          </cell>
          <cell r="H83" t="str">
            <v>Retro</v>
          </cell>
          <cell r="I83" t="str">
            <v>x</v>
          </cell>
        </row>
        <row r="84">
          <cell r="B84" t="str">
            <v>Whole Bldg/Meter Level System Improvements</v>
          </cell>
          <cell r="C84" t="str">
            <v>Ultra Low Energy Building</v>
          </cell>
          <cell r="D84" t="str">
            <v>Ultra Low Energy Building</v>
          </cell>
          <cell r="E84" t="str">
            <v>Code</v>
          </cell>
          <cell r="F84" t="str">
            <v>Some</v>
          </cell>
          <cell r="H84" t="str">
            <v>New</v>
          </cell>
          <cell r="I84">
            <v>0</v>
          </cell>
        </row>
        <row r="85">
          <cell r="B85" t="e">
            <v>#N/A</v>
          </cell>
          <cell r="C85" t="str">
            <v>HPLowPowerGSFL</v>
          </cell>
          <cell r="D85" t="e">
            <v>#N/A</v>
          </cell>
          <cell r="E85" t="e">
            <v>#N/A</v>
          </cell>
          <cell r="F85" t="e">
            <v>#N/A</v>
          </cell>
          <cell r="H85" t="e">
            <v>#N/A</v>
          </cell>
          <cell r="I85" t="e">
            <v>#N/A</v>
          </cell>
        </row>
      </sheetData>
      <sheetData sheetId="18">
        <row r="11">
          <cell r="B11" t="str">
            <v>Assembly</v>
          </cell>
          <cell r="C11">
            <v>0.22184609974487568</v>
          </cell>
          <cell r="D11">
            <v>0.77815390025512432</v>
          </cell>
          <cell r="E11">
            <v>1</v>
          </cell>
          <cell r="G11" t="str">
            <v>Assembly</v>
          </cell>
          <cell r="H11">
            <v>0.47962038771740423</v>
          </cell>
          <cell r="I11">
            <v>0.52037961228259577</v>
          </cell>
          <cell r="J11">
            <v>1</v>
          </cell>
          <cell r="L11">
            <v>0.10640191237323121</v>
          </cell>
          <cell r="M11">
            <v>0.77815390025512432</v>
          </cell>
          <cell r="N11">
            <v>0.11544418737164447</v>
          </cell>
          <cell r="O11">
            <v>1</v>
          </cell>
        </row>
        <row r="12">
          <cell r="B12" t="str">
            <v>Grocery</v>
          </cell>
          <cell r="C12">
            <v>0.19141181754336017</v>
          </cell>
          <cell r="D12">
            <v>0.80858818245663977</v>
          </cell>
          <cell r="E12">
            <v>1</v>
          </cell>
          <cell r="G12" t="str">
            <v>Grocery</v>
          </cell>
          <cell r="H12">
            <v>0.38592097461312147</v>
          </cell>
          <cell r="I12">
            <v>0.61407902538687853</v>
          </cell>
          <cell r="J12">
            <v>1</v>
          </cell>
          <cell r="L12">
            <v>7.3869835178802537E-2</v>
          </cell>
          <cell r="M12">
            <v>0.80858818245663977</v>
          </cell>
          <cell r="N12">
            <v>0.11754198236455764</v>
          </cell>
          <cell r="O12">
            <v>0.99999999999999989</v>
          </cell>
        </row>
        <row r="13">
          <cell r="B13" t="str">
            <v>Lodging</v>
          </cell>
          <cell r="C13">
            <v>0.75058251470213166</v>
          </cell>
          <cell r="D13">
            <v>0.24941748529786834</v>
          </cell>
          <cell r="E13">
            <v>1</v>
          </cell>
          <cell r="G13" t="str">
            <v>Lodging</v>
          </cell>
          <cell r="H13">
            <v>0.59526013213262075</v>
          </cell>
          <cell r="I13">
            <v>0.40473986786737931</v>
          </cell>
          <cell r="J13">
            <v>1</v>
          </cell>
          <cell r="L13">
            <v>0.44679184687802564</v>
          </cell>
          <cell r="M13">
            <v>0.24941748529786834</v>
          </cell>
          <cell r="N13">
            <v>0.30379066782410608</v>
          </cell>
          <cell r="O13">
            <v>1</v>
          </cell>
        </row>
        <row r="14">
          <cell r="B14" t="str">
            <v>Office</v>
          </cell>
          <cell r="C14">
            <v>0.51635908187299928</v>
          </cell>
          <cell r="D14">
            <v>0.48364091812700072</v>
          </cell>
          <cell r="E14">
            <v>1</v>
          </cell>
          <cell r="G14" t="str">
            <v>Office</v>
          </cell>
          <cell r="H14">
            <v>0.45565580415878149</v>
          </cell>
          <cell r="I14">
            <v>0.54434419584121851</v>
          </cell>
          <cell r="J14">
            <v>1</v>
          </cell>
          <cell r="L14">
            <v>0.23528201268553159</v>
          </cell>
          <cell r="M14">
            <v>0.48364091812700072</v>
          </cell>
          <cell r="N14">
            <v>0.28107706918746772</v>
          </cell>
          <cell r="O14">
            <v>1</v>
          </cell>
        </row>
        <row r="15">
          <cell r="B15" t="str">
            <v>Other</v>
          </cell>
          <cell r="C15">
            <v>0.27428395672737665</v>
          </cell>
          <cell r="D15">
            <v>0.7257160432726234</v>
          </cell>
          <cell r="E15">
            <v>1</v>
          </cell>
          <cell r="G15" t="str">
            <v>Other</v>
          </cell>
          <cell r="H15">
            <v>0.6175903960921354</v>
          </cell>
          <cell r="I15">
            <v>0.38240960390786466</v>
          </cell>
          <cell r="J15">
            <v>1</v>
          </cell>
          <cell r="L15">
            <v>0.16939513747697868</v>
          </cell>
          <cell r="M15">
            <v>0.7257160432726234</v>
          </cell>
          <cell r="N15">
            <v>0.104888819250398</v>
          </cell>
          <cell r="O15">
            <v>1</v>
          </cell>
        </row>
        <row r="16">
          <cell r="B16" t="str">
            <v>Residential Care</v>
          </cell>
          <cell r="C16">
            <v>0.59443378738060659</v>
          </cell>
          <cell r="D16">
            <v>0.40556621261939335</v>
          </cell>
          <cell r="E16">
            <v>1</v>
          </cell>
          <cell r="G16" t="str">
            <v>Residential Care</v>
          </cell>
          <cell r="H16">
            <v>0.57173215680136025</v>
          </cell>
          <cell r="I16">
            <v>0.42826784319863981</v>
          </cell>
          <cell r="J16">
            <v>1</v>
          </cell>
          <cell r="L16">
            <v>0.33985691133471541</v>
          </cell>
          <cell r="M16">
            <v>0.40556621261939335</v>
          </cell>
          <cell r="N16">
            <v>0.25457687604589124</v>
          </cell>
          <cell r="O16">
            <v>1</v>
          </cell>
        </row>
        <row r="17">
          <cell r="B17" t="str">
            <v>Restaurant</v>
          </cell>
          <cell r="C17">
            <v>0.20634715054031719</v>
          </cell>
          <cell r="D17">
            <v>0.79365284945968273</v>
          </cell>
          <cell r="E17">
            <v>1</v>
          </cell>
          <cell r="G17" t="str">
            <v>Restaurant</v>
          </cell>
          <cell r="H17">
            <v>0.1456310681449533</v>
          </cell>
          <cell r="I17">
            <v>0.8543689318550467</v>
          </cell>
          <cell r="J17">
            <v>1</v>
          </cell>
          <cell r="L17">
            <v>3.0050555941853869E-2</v>
          </cell>
          <cell r="M17">
            <v>0.79365284945968273</v>
          </cell>
          <cell r="N17">
            <v>0.17629659459846331</v>
          </cell>
          <cell r="O17">
            <v>1</v>
          </cell>
        </row>
        <row r="18">
          <cell r="B18" t="str">
            <v>Retail/Service</v>
          </cell>
          <cell r="C18">
            <v>0.17516537112508487</v>
          </cell>
          <cell r="D18">
            <v>0.8248346288749151</v>
          </cell>
          <cell r="E18">
            <v>1</v>
          </cell>
          <cell r="G18" t="str">
            <v>Retail/Service</v>
          </cell>
          <cell r="H18">
            <v>0.63140923348225164</v>
          </cell>
          <cell r="I18">
            <v>0.3685907665177483</v>
          </cell>
          <cell r="J18">
            <v>1</v>
          </cell>
          <cell r="L18">
            <v>0.11060103271472398</v>
          </cell>
          <cell r="M18">
            <v>0.8248346288749151</v>
          </cell>
          <cell r="N18">
            <v>6.4564338410360883E-2</v>
          </cell>
          <cell r="O18">
            <v>1</v>
          </cell>
        </row>
        <row r="19">
          <cell r="B19" t="str">
            <v>School K-12</v>
          </cell>
          <cell r="C19">
            <v>0.15222217778811709</v>
          </cell>
          <cell r="D19">
            <v>0.84777782221188291</v>
          </cell>
          <cell r="E19">
            <v>1</v>
          </cell>
          <cell r="G19" t="str">
            <v>School K-12</v>
          </cell>
          <cell r="H19">
            <v>0.38344835656863396</v>
          </cell>
          <cell r="I19">
            <v>0.61655164343136604</v>
          </cell>
          <cell r="J19">
            <v>1</v>
          </cell>
          <cell r="L19">
            <v>5.8369343906151915E-2</v>
          </cell>
          <cell r="M19">
            <v>0.84777782221188291</v>
          </cell>
          <cell r="N19">
            <v>9.3852833881965178E-2</v>
          </cell>
          <cell r="O19">
            <v>1</v>
          </cell>
        </row>
        <row r="20">
          <cell r="B20" t="str">
            <v>Warehouse</v>
          </cell>
          <cell r="C20">
            <v>1.2996176702745714E-2</v>
          </cell>
          <cell r="D20">
            <v>0.98700382329725422</v>
          </cell>
          <cell r="E20">
            <v>1</v>
          </cell>
          <cell r="G20" t="str">
            <v>Warehouse</v>
          </cell>
          <cell r="H20">
            <v>0.49190726224873216</v>
          </cell>
          <cell r="I20">
            <v>0.50809273775126784</v>
          </cell>
          <cell r="J20">
            <v>1</v>
          </cell>
          <cell r="L20">
            <v>6.3929137015483993E-3</v>
          </cell>
          <cell r="M20">
            <v>0.98700382329725422</v>
          </cell>
          <cell r="N20">
            <v>6.6032630011973147E-3</v>
          </cell>
          <cell r="O20">
            <v>0.99999999999999989</v>
          </cell>
        </row>
        <row r="21">
          <cell r="B21" t="str">
            <v>Grand Total</v>
          </cell>
          <cell r="C21">
            <v>0.31549365790667433</v>
          </cell>
          <cell r="D21">
            <v>0.68450634209332561</v>
          </cell>
          <cell r="E21">
            <v>1</v>
          </cell>
          <cell r="G21" t="str">
            <v>Grand Total</v>
          </cell>
          <cell r="H21">
            <v>0.51592151636315642</v>
          </cell>
          <cell r="I21">
            <v>0.48407848363684358</v>
          </cell>
          <cell r="J21">
            <v>1</v>
          </cell>
          <cell r="L21">
            <v>0.16276996639017036</v>
          </cell>
          <cell r="M21">
            <v>0.68450634209332561</v>
          </cell>
          <cell r="N21">
            <v>0.15272369151650397</v>
          </cell>
          <cell r="O21">
            <v>1</v>
          </cell>
        </row>
        <row r="25">
          <cell r="B25" t="str">
            <v>Built-up share - for Com_Master -CHAR</v>
          </cell>
        </row>
        <row r="27">
          <cell r="B27" t="str">
            <v>Multizone Systems Only</v>
          </cell>
          <cell r="C27" t="str">
            <v>Everything But SZ ducted systems</v>
          </cell>
          <cell r="G27" t="str">
            <v>Custom work in this table</v>
          </cell>
          <cell r="K27" t="str">
            <v>Electric</v>
          </cell>
          <cell r="L27" t="str">
            <v>Gas</v>
          </cell>
          <cell r="M27" t="str">
            <v>HP</v>
          </cell>
          <cell r="N27" t="str">
            <v>Total</v>
          </cell>
          <cell r="P27" t="str">
            <v>Everything But SZ Ducted</v>
          </cell>
        </row>
        <row r="28">
          <cell r="B28">
            <v>0.13911514778937467</v>
          </cell>
          <cell r="C28">
            <v>0.27379566641599334</v>
          </cell>
          <cell r="G28" t="str">
            <v>Not all formulas are the same</v>
          </cell>
          <cell r="I28" t="str">
            <v>Large Off</v>
          </cell>
          <cell r="J28" t="str">
            <v>&gt;50,000</v>
          </cell>
          <cell r="K28">
            <v>0.20943280302167308</v>
          </cell>
          <cell r="L28">
            <v>0.54037060186620078</v>
          </cell>
          <cell r="M28">
            <v>0.25019659511212627</v>
          </cell>
          <cell r="N28">
            <v>1.0000000000000002</v>
          </cell>
          <cell r="P28">
            <v>0.72977881629252517</v>
          </cell>
        </row>
        <row r="29">
          <cell r="B29">
            <v>0</v>
          </cell>
          <cell r="C29">
            <v>0.20656505403266429</v>
          </cell>
          <cell r="G29" t="str">
            <v>Pulling from different parts of this worksheet</v>
          </cell>
          <cell r="I29" t="str">
            <v>Medium Off</v>
          </cell>
          <cell r="J29" t="str">
            <v>5,000 to 50,000</v>
          </cell>
          <cell r="K29">
            <v>0.22131165109110185</v>
          </cell>
          <cell r="L29">
            <v>0.51430081857580845</v>
          </cell>
          <cell r="M29">
            <v>0.26438753033308959</v>
          </cell>
          <cell r="N29">
            <v>0.99999999999999989</v>
          </cell>
          <cell r="P29">
            <v>0.46635610541382266</v>
          </cell>
        </row>
        <row r="30">
          <cell r="B30">
            <v>0.53</v>
          </cell>
          <cell r="C30">
            <v>0.53</v>
          </cell>
          <cell r="I30" t="str">
            <v>Small Off</v>
          </cell>
          <cell r="J30" t="str">
            <v>&lt;5,000</v>
          </cell>
          <cell r="K30">
            <v>0.30640942705415353</v>
          </cell>
          <cell r="L30">
            <v>0.3275419203320854</v>
          </cell>
          <cell r="M30">
            <v>0.36604865261376096</v>
          </cell>
          <cell r="N30">
            <v>0.99999999999999989</v>
          </cell>
          <cell r="P30">
            <v>0.18010901567330029</v>
          </cell>
        </row>
        <row r="31">
          <cell r="B31">
            <v>5.6924185465057203E-2</v>
          </cell>
          <cell r="C31">
            <v>0.68482020855141457</v>
          </cell>
          <cell r="I31" t="str">
            <v>Xlarge Ret</v>
          </cell>
          <cell r="J31" t="str">
            <v>&gt;100,000</v>
          </cell>
          <cell r="K31">
            <v>5.2995881766435368E-2</v>
          </cell>
          <cell r="L31">
            <v>0.91606730000738101</v>
          </cell>
          <cell r="M31">
            <v>3.0936818226183656E-2</v>
          </cell>
          <cell r="N31">
            <v>1</v>
          </cell>
          <cell r="P31">
            <v>0.2530928144049488</v>
          </cell>
        </row>
        <row r="32">
          <cell r="B32">
            <v>0.25506362599984067</v>
          </cell>
          <cell r="C32">
            <v>0.37830047353246543</v>
          </cell>
          <cell r="I32" t="str">
            <v>Large Ret</v>
          </cell>
          <cell r="J32" t="str">
            <v>50,000 - 100,000</v>
          </cell>
          <cell r="K32">
            <v>1.0593107738682607E-2</v>
          </cell>
          <cell r="L32">
            <v>0.98322307122393326</v>
          </cell>
          <cell r="M32">
            <v>6.1838210373840949E-3</v>
          </cell>
          <cell r="N32">
            <v>1</v>
          </cell>
          <cell r="P32">
            <v>0.2530928144049488</v>
          </cell>
        </row>
        <row r="33">
          <cell r="B33">
            <v>0.16716328428783481</v>
          </cell>
          <cell r="C33">
            <v>0.46120223430256424</v>
          </cell>
          <cell r="I33" t="str">
            <v>Medium Ret</v>
          </cell>
          <cell r="J33" t="str">
            <v>5000 - 50,000</v>
          </cell>
          <cell r="K33">
            <v>0.12006240959495594</v>
          </cell>
          <cell r="L33">
            <v>0.80985008893074606</v>
          </cell>
          <cell r="M33">
            <v>7.0087501474297986E-2</v>
          </cell>
          <cell r="N33">
            <v>1</v>
          </cell>
          <cell r="P33">
            <v>0.2530928144049488</v>
          </cell>
        </row>
        <row r="34">
          <cell r="B34">
            <v>2.8348285792584815E-2</v>
          </cell>
          <cell r="C34">
            <v>0.52265270042747103</v>
          </cell>
          <cell r="I34" t="str">
            <v>Small Ret</v>
          </cell>
          <cell r="J34" t="str">
            <v>&lt;5000</v>
          </cell>
          <cell r="K34">
            <v>0.2732917310450087</v>
          </cell>
          <cell r="L34">
            <v>0.56717178566142912</v>
          </cell>
          <cell r="M34">
            <v>0.15953648329356207</v>
          </cell>
          <cell r="N34">
            <v>0.99999999999999989</v>
          </cell>
          <cell r="P34">
            <v>0.2530928144049488</v>
          </cell>
        </row>
        <row r="35">
          <cell r="B35">
            <v>0</v>
          </cell>
          <cell r="C35">
            <v>5.8610362131589246E-2</v>
          </cell>
          <cell r="I35" t="str">
            <v>School K-12</v>
          </cell>
          <cell r="J35" t="str">
            <v>Any</v>
          </cell>
          <cell r="K35">
            <v>5.8369343906151915E-2</v>
          </cell>
          <cell r="L35">
            <v>0.84777782221188291</v>
          </cell>
          <cell r="M35">
            <v>9.3852833881965178E-2</v>
          </cell>
          <cell r="N35">
            <v>1</v>
          </cell>
          <cell r="P35">
            <v>0.45489304544728093</v>
          </cell>
        </row>
        <row r="36">
          <cell r="B36">
            <v>1.9041724473909054E-2</v>
          </cell>
          <cell r="C36">
            <v>0.2530928144049488</v>
          </cell>
          <cell r="I36" t="str">
            <v>University</v>
          </cell>
          <cell r="J36" t="str">
            <v>Any</v>
          </cell>
          <cell r="K36">
            <v>5.8369343906151915E-2</v>
          </cell>
          <cell r="L36">
            <v>0.84777782221188291</v>
          </cell>
          <cell r="M36">
            <v>9.3852833881965178E-2</v>
          </cell>
          <cell r="N36">
            <v>1</v>
          </cell>
          <cell r="P36">
            <v>0.45489304544728093</v>
          </cell>
        </row>
        <row r="37">
          <cell r="B37">
            <v>0.21392277044122734</v>
          </cell>
          <cell r="C37">
            <v>0.45489304544728093</v>
          </cell>
          <cell r="I37" t="str">
            <v>Warehouse</v>
          </cell>
          <cell r="J37" t="str">
            <v>Any</v>
          </cell>
          <cell r="K37">
            <v>6.3929137015483993E-3</v>
          </cell>
          <cell r="L37">
            <v>0.98700382329725422</v>
          </cell>
          <cell r="M37">
            <v>6.6032630011973147E-3</v>
          </cell>
          <cell r="N37">
            <v>0.99999999999999989</v>
          </cell>
          <cell r="P37">
            <v>0.68364721407456519</v>
          </cell>
        </row>
        <row r="38">
          <cell r="B38">
            <v>0.72</v>
          </cell>
          <cell r="C38">
            <v>0.72</v>
          </cell>
          <cell r="I38" t="str">
            <v>Supermarket</v>
          </cell>
          <cell r="J38" t="str">
            <v>&gt; 5000</v>
          </cell>
          <cell r="K38">
            <v>3.9182634298973458E-2</v>
          </cell>
          <cell r="L38">
            <v>0.46957192737561176</v>
          </cell>
          <cell r="M38">
            <v>6.234756715808213E-2</v>
          </cell>
          <cell r="N38">
            <v>0.57110212883266731</v>
          </cell>
          <cell r="P38">
            <v>0.20656505403266429</v>
          </cell>
        </row>
        <row r="39">
          <cell r="B39">
            <v>0</v>
          </cell>
          <cell r="C39">
            <v>0.68364721407456519</v>
          </cell>
          <cell r="I39" t="str">
            <v>MiniMart</v>
          </cell>
          <cell r="J39" t="str">
            <v>&lt; 5000</v>
          </cell>
          <cell r="K39">
            <v>9.8940421863423066E-3</v>
          </cell>
          <cell r="L39">
            <v>0.86606113087441317</v>
          </cell>
          <cell r="M39">
            <v>1.5743440192688529E-2</v>
          </cell>
          <cell r="N39">
            <v>0.89169861325344391</v>
          </cell>
          <cell r="P39">
            <v>0.20656505403266429</v>
          </cell>
        </row>
        <row r="40">
          <cell r="I40" t="str">
            <v>Restaurant</v>
          </cell>
          <cell r="J40" t="str">
            <v>Any</v>
          </cell>
          <cell r="K40">
            <v>3.0050555941853869E-2</v>
          </cell>
          <cell r="L40">
            <v>0.79365284945968273</v>
          </cell>
          <cell r="M40">
            <v>0.17629659459846331</v>
          </cell>
          <cell r="N40">
            <v>1</v>
          </cell>
          <cell r="P40">
            <v>5.8610362131589246E-2</v>
          </cell>
        </row>
        <row r="41">
          <cell r="I41" t="str">
            <v>Lodging</v>
          </cell>
          <cell r="J41" t="str">
            <v>Any</v>
          </cell>
          <cell r="K41">
            <v>0.44679184687802564</v>
          </cell>
          <cell r="L41">
            <v>0.24941748529786834</v>
          </cell>
          <cell r="M41">
            <v>0.30379066782410608</v>
          </cell>
          <cell r="N41">
            <v>1</v>
          </cell>
          <cell r="P41">
            <v>0.68482020855141457</v>
          </cell>
        </row>
        <row r="42">
          <cell r="I42" t="str">
            <v>Hospital</v>
          </cell>
          <cell r="J42" t="str">
            <v>Any</v>
          </cell>
          <cell r="K42">
            <v>0.33985691133471541</v>
          </cell>
          <cell r="L42">
            <v>0.40556621261939335</v>
          </cell>
          <cell r="M42">
            <v>0.25457687604589124</v>
          </cell>
          <cell r="N42">
            <v>1</v>
          </cell>
          <cell r="P42">
            <v>0.53</v>
          </cell>
        </row>
        <row r="43">
          <cell r="I43" t="str">
            <v>Residential Care</v>
          </cell>
          <cell r="J43" t="str">
            <v>Any</v>
          </cell>
          <cell r="K43">
            <v>0.33985691133471541</v>
          </cell>
          <cell r="L43">
            <v>0.40556621261939335</v>
          </cell>
          <cell r="M43">
            <v>0.25457687604589124</v>
          </cell>
          <cell r="N43">
            <v>1</v>
          </cell>
          <cell r="P43">
            <v>0.53</v>
          </cell>
        </row>
        <row r="44">
          <cell r="I44" t="str">
            <v>Assembly</v>
          </cell>
          <cell r="J44" t="str">
            <v>Any</v>
          </cell>
          <cell r="K44">
            <v>0.10640191237323121</v>
          </cell>
          <cell r="L44">
            <v>0.77815390025512432</v>
          </cell>
          <cell r="M44">
            <v>0.11544418737164447</v>
          </cell>
          <cell r="N44">
            <v>1</v>
          </cell>
          <cell r="P44">
            <v>0.27379566641599334</v>
          </cell>
        </row>
        <row r="45">
          <cell r="I45" t="str">
            <v>Other</v>
          </cell>
          <cell r="J45" t="str">
            <v>Any</v>
          </cell>
          <cell r="K45">
            <v>0.16939513747697868</v>
          </cell>
          <cell r="L45">
            <v>0.7257160432726234</v>
          </cell>
          <cell r="M45">
            <v>0.104888819250398</v>
          </cell>
          <cell r="N45">
            <v>1</v>
          </cell>
          <cell r="P45">
            <v>0.46120223430256424</v>
          </cell>
        </row>
        <row r="48">
          <cell r="B48" t="str">
            <v>Site_ID</v>
          </cell>
          <cell r="C48" t="str">
            <v>(All)</v>
          </cell>
        </row>
        <row r="49">
          <cell r="B49" t="str">
            <v>Fan_Ctr</v>
          </cell>
          <cell r="C49" t="str">
            <v>(All)</v>
          </cell>
        </row>
        <row r="50">
          <cell r="B50" t="str">
            <v>DistSys</v>
          </cell>
          <cell r="C50" t="str">
            <v>(All)</v>
          </cell>
        </row>
        <row r="51">
          <cell r="B51" t="str">
            <v>Equip_Type</v>
          </cell>
          <cell r="C51" t="str">
            <v>(All)</v>
          </cell>
        </row>
        <row r="52">
          <cell r="B52" t="str">
            <v>DistSys_Detail</v>
          </cell>
          <cell r="C52" t="str">
            <v>(All)</v>
          </cell>
        </row>
        <row r="54">
          <cell r="B54" t="str">
            <v>Sum of Heat_Frac_Sf_PNW_Heated</v>
          </cell>
          <cell r="D54" t="str">
            <v>Column Labels</v>
          </cell>
        </row>
        <row r="55">
          <cell r="B55" t="str">
            <v>Row Labels</v>
          </cell>
          <cell r="C55" t="str">
            <v>Size_Group</v>
          </cell>
          <cell r="D55" t="str">
            <v>Electricity</v>
          </cell>
          <cell r="E55" t="str">
            <v>Natural Gas</v>
          </cell>
          <cell r="F55" t="str">
            <v>Grand Total</v>
          </cell>
          <cell r="G55" t="str">
            <v>SF</v>
          </cell>
        </row>
        <row r="56">
          <cell r="B56" t="str">
            <v>Assembly</v>
          </cell>
          <cell r="C56" t="str">
            <v>&lt;5,001</v>
          </cell>
          <cell r="D56">
            <v>0.28968678369813988</v>
          </cell>
          <cell r="E56">
            <v>0.71031321630186006</v>
          </cell>
          <cell r="F56">
            <v>1</v>
          </cell>
          <cell r="G56">
            <v>10791889.418072201</v>
          </cell>
        </row>
        <row r="57">
          <cell r="C57" t="str">
            <v>100,001+</v>
          </cell>
          <cell r="D57">
            <v>0.18435982906228074</v>
          </cell>
          <cell r="E57">
            <v>0.81564017093771923</v>
          </cell>
          <cell r="F57">
            <v>1</v>
          </cell>
          <cell r="G57">
            <v>47585686.482744053</v>
          </cell>
        </row>
        <row r="58">
          <cell r="C58" t="str">
            <v>20,001-50,000</v>
          </cell>
          <cell r="D58">
            <v>0.20157557375693722</v>
          </cell>
          <cell r="E58">
            <v>0.79842442624306276</v>
          </cell>
          <cell r="F58">
            <v>1</v>
          </cell>
          <cell r="G58">
            <v>75093057.6555399</v>
          </cell>
        </row>
        <row r="59">
          <cell r="C59" t="str">
            <v>5,001-20,000</v>
          </cell>
          <cell r="D59">
            <v>0.28320940685422302</v>
          </cell>
          <cell r="E59">
            <v>0.71679059314577698</v>
          </cell>
          <cell r="F59">
            <v>1</v>
          </cell>
          <cell r="G59">
            <v>133312634.77726388</v>
          </cell>
        </row>
        <row r="60">
          <cell r="C60" t="str">
            <v>50,001-100,000</v>
          </cell>
          <cell r="D60">
            <v>0.12313805305365039</v>
          </cell>
          <cell r="E60">
            <v>0.87686194694634967</v>
          </cell>
          <cell r="F60">
            <v>1</v>
          </cell>
          <cell r="G60">
            <v>56800309.557055436</v>
          </cell>
          <cell r="O60" t="str">
            <v>Electric</v>
          </cell>
          <cell r="P60" t="str">
            <v>Gas</v>
          </cell>
        </row>
        <row r="61">
          <cell r="B61" t="str">
            <v>Grocery</v>
          </cell>
          <cell r="C61" t="str">
            <v>&lt;5,001</v>
          </cell>
          <cell r="D61">
            <v>0.53042807262438818</v>
          </cell>
          <cell r="E61">
            <v>0.46957192737561176</v>
          </cell>
          <cell r="F61">
            <v>1</v>
          </cell>
          <cell r="G61">
            <v>9815889.4471183456</v>
          </cell>
          <cell r="I61" t="str">
            <v>&lt;5,001</v>
          </cell>
          <cell r="J61">
            <v>0.53042807262438818</v>
          </cell>
          <cell r="K61">
            <v>0.46957192737561176</v>
          </cell>
          <cell r="L61">
            <v>1</v>
          </cell>
          <cell r="M61">
            <v>9815889.4471183456</v>
          </cell>
          <cell r="N61" t="str">
            <v>&gt; 5000</v>
          </cell>
          <cell r="O61">
            <v>0.53042807262438818</v>
          </cell>
          <cell r="P61">
            <v>0.46957192737561176</v>
          </cell>
        </row>
        <row r="62">
          <cell r="C62" t="str">
            <v>20,001-50,000</v>
          </cell>
          <cell r="D62">
            <v>3.5142286878275322E-2</v>
          </cell>
          <cell r="E62">
            <v>0.96485771312172464</v>
          </cell>
          <cell r="F62">
            <v>1</v>
          </cell>
          <cell r="G62">
            <v>23241500.137925949</v>
          </cell>
          <cell r="I62" t="str">
            <v>20,001-50,000</v>
          </cell>
          <cell r="J62">
            <v>3.5142286878275322E-2</v>
          </cell>
          <cell r="K62">
            <v>0.96485771312172464</v>
          </cell>
          <cell r="L62">
            <v>1</v>
          </cell>
          <cell r="M62">
            <v>23241500.137925949</v>
          </cell>
          <cell r="N62" t="str">
            <v>&lt; 5000</v>
          </cell>
          <cell r="O62">
            <v>0.13393886912558689</v>
          </cell>
          <cell r="P62">
            <v>0.86606113087441317</v>
          </cell>
        </row>
        <row r="63">
          <cell r="C63" t="str">
            <v>5,001-20,000</v>
          </cell>
          <cell r="D63">
            <v>0.24107220109261876</v>
          </cell>
          <cell r="E63">
            <v>0.75892779890738127</v>
          </cell>
          <cell r="F63">
            <v>1</v>
          </cell>
          <cell r="G63">
            <v>16084444.905748043</v>
          </cell>
          <cell r="I63" t="str">
            <v>5,001-20,000</v>
          </cell>
          <cell r="J63">
            <v>0.24107220109261876</v>
          </cell>
          <cell r="K63">
            <v>0.75892779890738127</v>
          </cell>
          <cell r="L63">
            <v>1</v>
          </cell>
          <cell r="M63">
            <v>16084444.905748043</v>
          </cell>
        </row>
        <row r="64">
          <cell r="C64" t="str">
            <v>50,001-100,000</v>
          </cell>
          <cell r="D64">
            <v>0.16478658283274414</v>
          </cell>
          <cell r="E64">
            <v>0.83521341716725583</v>
          </cell>
          <cell r="F64">
            <v>1</v>
          </cell>
          <cell r="G64">
            <v>18575140.114893399</v>
          </cell>
          <cell r="I64" t="str">
            <v>50,001-100,000</v>
          </cell>
          <cell r="J64">
            <v>0.16478658283274414</v>
          </cell>
          <cell r="K64">
            <v>0.83521341716725583</v>
          </cell>
          <cell r="L64">
            <v>1</v>
          </cell>
          <cell r="M64">
            <v>18575140.114893399</v>
          </cell>
        </row>
        <row r="65">
          <cell r="B65" t="str">
            <v>Lodging</v>
          </cell>
          <cell r="C65" t="str">
            <v>&lt;5,001</v>
          </cell>
          <cell r="D65">
            <v>1</v>
          </cell>
          <cell r="E65">
            <v>0</v>
          </cell>
          <cell r="F65">
            <v>1</v>
          </cell>
          <cell r="G65">
            <v>771154.95824772085</v>
          </cell>
        </row>
        <row r="66">
          <cell r="C66" t="str">
            <v>100,001+</v>
          </cell>
          <cell r="D66">
            <v>0.66932609944359711</v>
          </cell>
          <cell r="E66">
            <v>0.33067390055640283</v>
          </cell>
          <cell r="F66">
            <v>1</v>
          </cell>
          <cell r="G66">
            <v>37478802.645819291</v>
          </cell>
        </row>
        <row r="67">
          <cell r="C67" t="str">
            <v>20,001-50,000</v>
          </cell>
          <cell r="D67">
            <v>0.80938461207249257</v>
          </cell>
          <cell r="E67">
            <v>0.19061538792750743</v>
          </cell>
          <cell r="F67">
            <v>1</v>
          </cell>
          <cell r="G67">
            <v>44511439.869276322</v>
          </cell>
        </row>
        <row r="68">
          <cell r="C68" t="str">
            <v>5,001-20,000</v>
          </cell>
          <cell r="D68">
            <v>0.708233600439651</v>
          </cell>
          <cell r="E68">
            <v>0.29176639956034905</v>
          </cell>
          <cell r="F68">
            <v>1</v>
          </cell>
          <cell r="G68">
            <v>8867151.9690522291</v>
          </cell>
        </row>
        <row r="69">
          <cell r="C69" t="str">
            <v>50,001-100,000</v>
          </cell>
          <cell r="D69">
            <v>0.75967537196550394</v>
          </cell>
          <cell r="E69">
            <v>0.24032462803449609</v>
          </cell>
          <cell r="F69">
            <v>1</v>
          </cell>
          <cell r="G69">
            <v>67217799.666102752</v>
          </cell>
          <cell r="O69" t="str">
            <v>Electric</v>
          </cell>
          <cell r="P69" t="str">
            <v>Gas</v>
          </cell>
          <cell r="T69" t="str">
            <v>SZ Ducted</v>
          </cell>
          <cell r="V69" t="str">
            <v>SZ Ducted</v>
          </cell>
          <cell r="W69" t="str">
            <v>Everything but</v>
          </cell>
          <cell r="Y69" t="str">
            <v>Multizone systems</v>
          </cell>
        </row>
        <row r="70">
          <cell r="B70" t="str">
            <v>Office</v>
          </cell>
          <cell r="C70" t="str">
            <v>&lt;5,001</v>
          </cell>
          <cell r="D70">
            <v>0.67245807966791449</v>
          </cell>
          <cell r="E70">
            <v>0.3275419203320854</v>
          </cell>
          <cell r="F70">
            <v>1</v>
          </cell>
          <cell r="G70">
            <v>88922415.770519257</v>
          </cell>
          <cell r="I70" t="str">
            <v>100,001+</v>
          </cell>
          <cell r="J70">
            <v>0.56343603427674449</v>
          </cell>
          <cell r="K70">
            <v>0.43656396572325545</v>
          </cell>
          <cell r="L70">
            <v>1</v>
          </cell>
          <cell r="M70">
            <v>161400968.09734377</v>
          </cell>
          <cell r="N70" t="str">
            <v>&gt;50,000</v>
          </cell>
          <cell r="O70">
            <v>0.45962939813379933</v>
          </cell>
          <cell r="P70">
            <v>0.54037060186620078</v>
          </cell>
          <cell r="S70" t="str">
            <v>100,001+</v>
          </cell>
          <cell r="T70">
            <v>0.20317755500773604</v>
          </cell>
          <cell r="U70" t="str">
            <v>&gt;50,000</v>
          </cell>
          <cell r="V70">
            <v>0.27022118370747483</v>
          </cell>
          <cell r="W70">
            <v>0.72977881629252517</v>
          </cell>
          <cell r="Y70" t="str">
            <v>&lt;5,001</v>
          </cell>
        </row>
        <row r="71">
          <cell r="C71" t="str">
            <v>100,001+</v>
          </cell>
          <cell r="D71">
            <v>0.56343603427674449</v>
          </cell>
          <cell r="E71">
            <v>0.43656396572325545</v>
          </cell>
          <cell r="F71">
            <v>1</v>
          </cell>
          <cell r="G71">
            <v>161400968.09734377</v>
          </cell>
          <cell r="I71" t="str">
            <v>50,001-100,000</v>
          </cell>
          <cell r="J71">
            <v>0.25807624626210907</v>
          </cell>
          <cell r="K71">
            <v>0.74192375373789099</v>
          </cell>
          <cell r="L71">
            <v>1</v>
          </cell>
          <cell r="M71">
            <v>83126914.229880497</v>
          </cell>
          <cell r="N71" t="str">
            <v>5,000 to 50,000</v>
          </cell>
          <cell r="O71">
            <v>0.48569918142419144</v>
          </cell>
          <cell r="P71">
            <v>0.51430081857580845</v>
          </cell>
          <cell r="S71" t="str">
            <v>50,001-100,000</v>
          </cell>
          <cell r="T71">
            <v>0.40039450575540259</v>
          </cell>
          <cell r="U71" t="str">
            <v>5,000 to 50,000</v>
          </cell>
          <cell r="V71">
            <v>0.53364389458617734</v>
          </cell>
          <cell r="W71">
            <v>0.46635610541382266</v>
          </cell>
          <cell r="Y71" t="str">
            <v>100,001+</v>
          </cell>
        </row>
        <row r="72">
          <cell r="C72" t="str">
            <v>20,001-50,000</v>
          </cell>
          <cell r="D72">
            <v>0.34614420585949485</v>
          </cell>
          <cell r="E72">
            <v>0.6538557941405051</v>
          </cell>
          <cell r="F72">
            <v>1</v>
          </cell>
          <cell r="G72">
            <v>121088778.65134136</v>
          </cell>
          <cell r="I72" t="str">
            <v>20,001-50,000</v>
          </cell>
          <cell r="J72">
            <v>0.34614420585949485</v>
          </cell>
          <cell r="K72">
            <v>0.6538557941405051</v>
          </cell>
          <cell r="L72">
            <v>1</v>
          </cell>
          <cell r="M72">
            <v>121088778.65134136</v>
          </cell>
          <cell r="N72" t="str">
            <v>&lt;5,000</v>
          </cell>
          <cell r="O72">
            <v>0.67245807966791449</v>
          </cell>
          <cell r="P72">
            <v>0.3275419203320854</v>
          </cell>
          <cell r="S72" t="str">
            <v>20,001-50,000</v>
          </cell>
          <cell r="T72">
            <v>0.79236371541570771</v>
          </cell>
          <cell r="U72" t="str">
            <v>&lt;5,000</v>
          </cell>
          <cell r="V72">
            <v>0.81989098432669971</v>
          </cell>
          <cell r="W72">
            <v>0.18010901567330029</v>
          </cell>
          <cell r="Y72" t="str">
            <v>20,001-50,000</v>
          </cell>
        </row>
        <row r="73">
          <cell r="C73" t="str">
            <v>5,001-20,000</v>
          </cell>
          <cell r="D73">
            <v>0.59535158312648861</v>
          </cell>
          <cell r="E73">
            <v>0.40464841687351133</v>
          </cell>
          <cell r="F73">
            <v>1</v>
          </cell>
          <cell r="G73">
            <v>154110090.46318847</v>
          </cell>
          <cell r="I73" t="str">
            <v>5,001-20,000</v>
          </cell>
          <cell r="J73">
            <v>0.59535158312648861</v>
          </cell>
          <cell r="K73">
            <v>0.40464841687351133</v>
          </cell>
          <cell r="L73">
            <v>1</v>
          </cell>
          <cell r="M73">
            <v>154110090.46318847</v>
          </cell>
          <cell r="S73" t="str">
            <v>5,001-20,000</v>
          </cell>
          <cell r="T73">
            <v>0.87333850962546711</v>
          </cell>
          <cell r="Y73" t="str">
            <v>5,001-20,000</v>
          </cell>
        </row>
        <row r="74">
          <cell r="C74" t="str">
            <v>50,001-100,000</v>
          </cell>
          <cell r="D74">
            <v>0.25807624626210907</v>
          </cell>
          <cell r="E74">
            <v>0.74192375373789099</v>
          </cell>
          <cell r="F74">
            <v>1</v>
          </cell>
          <cell r="G74">
            <v>83126914.229880497</v>
          </cell>
          <cell r="I74" t="str">
            <v>&lt;5,001</v>
          </cell>
          <cell r="J74">
            <v>0.67245807966791449</v>
          </cell>
          <cell r="K74">
            <v>0.3275419203320854</v>
          </cell>
          <cell r="L74">
            <v>1</v>
          </cell>
          <cell r="M74">
            <v>88922415.770519257</v>
          </cell>
          <cell r="S74" t="str">
            <v>&lt;5,001</v>
          </cell>
          <cell r="T74">
            <v>0.86743113566731078</v>
          </cell>
          <cell r="Y74" t="str">
            <v>50,001-100,000</v>
          </cell>
        </row>
        <row r="75">
          <cell r="B75" t="str">
            <v>Other</v>
          </cell>
          <cell r="C75" t="str">
            <v>&lt;5,001</v>
          </cell>
          <cell r="D75">
            <v>0.36963108384061777</v>
          </cell>
          <cell r="E75">
            <v>0.63036891615938218</v>
          </cell>
          <cell r="F75">
            <v>1</v>
          </cell>
          <cell r="G75">
            <v>11401400.474691771</v>
          </cell>
        </row>
        <row r="76">
          <cell r="C76" t="str">
            <v>100,001+</v>
          </cell>
          <cell r="D76">
            <v>0.11927323464793231</v>
          </cell>
          <cell r="E76">
            <v>0.88072676535206773</v>
          </cell>
          <cell r="F76">
            <v>1</v>
          </cell>
          <cell r="G76">
            <v>60024943.803527087</v>
          </cell>
        </row>
        <row r="77">
          <cell r="C77" t="str">
            <v>20,001-50,000</v>
          </cell>
          <cell r="D77">
            <v>0.28972859528015749</v>
          </cell>
          <cell r="E77">
            <v>0.71027140471984251</v>
          </cell>
          <cell r="F77">
            <v>1</v>
          </cell>
          <cell r="G77">
            <v>67056749.230095625</v>
          </cell>
        </row>
        <row r="78">
          <cell r="C78" t="str">
            <v>5,001-20,000</v>
          </cell>
          <cell r="D78">
            <v>0.19665327325738066</v>
          </cell>
          <cell r="E78">
            <v>0.80334672674261942</v>
          </cell>
          <cell r="F78">
            <v>1</v>
          </cell>
          <cell r="G78">
            <v>90016986.964126915</v>
          </cell>
        </row>
        <row r="79">
          <cell r="C79" t="str">
            <v>50,001-100,000</v>
          </cell>
          <cell r="D79">
            <v>0.58009651662613548</v>
          </cell>
          <cell r="E79">
            <v>0.41990348337386446</v>
          </cell>
          <cell r="F79">
            <v>1</v>
          </cell>
          <cell r="G79">
            <v>46335023.23670388</v>
          </cell>
        </row>
        <row r="80">
          <cell r="B80" t="str">
            <v>Residential Care</v>
          </cell>
          <cell r="C80" t="str">
            <v>&lt;5,001</v>
          </cell>
          <cell r="D80">
            <v>1.3677517552166963E-2</v>
          </cell>
          <cell r="E80">
            <v>0.98632248244783316</v>
          </cell>
          <cell r="F80">
            <v>1</v>
          </cell>
          <cell r="G80">
            <v>617607.67825962591</v>
          </cell>
        </row>
        <row r="81">
          <cell r="C81" t="str">
            <v>100,001+</v>
          </cell>
          <cell r="D81">
            <v>0.65208373998713842</v>
          </cell>
          <cell r="E81">
            <v>0.34791626001286152</v>
          </cell>
          <cell r="F81">
            <v>1</v>
          </cell>
          <cell r="G81">
            <v>29481393.869044412</v>
          </cell>
        </row>
        <row r="82">
          <cell r="C82" t="str">
            <v>20,001-50,000</v>
          </cell>
          <cell r="D82">
            <v>0.58940370199270897</v>
          </cell>
          <cell r="E82">
            <v>0.41059629800729103</v>
          </cell>
          <cell r="F82">
            <v>1</v>
          </cell>
          <cell r="G82">
            <v>45870170.91031719</v>
          </cell>
        </row>
        <row r="83">
          <cell r="C83" t="str">
            <v>5,001-20,000</v>
          </cell>
          <cell r="D83">
            <v>0.43473317164785674</v>
          </cell>
          <cell r="E83">
            <v>0.56526682835214326</v>
          </cell>
          <cell r="F83">
            <v>1</v>
          </cell>
          <cell r="G83">
            <v>21950482.47130106</v>
          </cell>
        </row>
        <row r="84">
          <cell r="C84" t="str">
            <v>50,001-100,000</v>
          </cell>
          <cell r="D84">
            <v>0.7159490279733054</v>
          </cell>
          <cell r="E84">
            <v>0.28405097202669471</v>
          </cell>
          <cell r="F84">
            <v>1</v>
          </cell>
          <cell r="G84">
            <v>19712054.250720531</v>
          </cell>
        </row>
        <row r="85">
          <cell r="B85" t="str">
            <v>Restaurant</v>
          </cell>
          <cell r="C85" t="str">
            <v>&lt;5,001</v>
          </cell>
          <cell r="D85">
            <v>0.222372990309429</v>
          </cell>
          <cell r="E85">
            <v>0.77762700969057108</v>
          </cell>
          <cell r="F85">
            <v>1</v>
          </cell>
          <cell r="G85">
            <v>23327830.483758003</v>
          </cell>
        </row>
        <row r="86">
          <cell r="C86" t="str">
            <v>5,001-20,000</v>
          </cell>
          <cell r="D86">
            <v>0.19083743977042419</v>
          </cell>
          <cell r="E86">
            <v>0.80916256022957589</v>
          </cell>
          <cell r="F86">
            <v>1</v>
          </cell>
          <cell r="G86">
            <v>24104129.2800515</v>
          </cell>
          <cell r="O86" t="str">
            <v>Electric</v>
          </cell>
          <cell r="P86" t="str">
            <v>Gas</v>
          </cell>
        </row>
        <row r="87">
          <cell r="B87" t="str">
            <v>Retail/Service</v>
          </cell>
          <cell r="C87" t="str">
            <v>&lt;5,001</v>
          </cell>
          <cell r="D87">
            <v>0.43282821433857083</v>
          </cell>
          <cell r="E87">
            <v>0.56717178566142912</v>
          </cell>
          <cell r="F87">
            <v>1</v>
          </cell>
          <cell r="G87">
            <v>45229806.543296024</v>
          </cell>
          <cell r="H87">
            <v>0.01</v>
          </cell>
          <cell r="I87" t="str">
            <v>100,001+</v>
          </cell>
          <cell r="J87">
            <v>8.3932699992619028E-2</v>
          </cell>
          <cell r="K87">
            <v>0.91606730000738101</v>
          </cell>
          <cell r="L87">
            <v>1</v>
          </cell>
          <cell r="M87">
            <v>124562026.1368593</v>
          </cell>
          <cell r="N87" t="str">
            <v>&gt;100,000</v>
          </cell>
          <cell r="O87">
            <v>8.3932699992619028E-2</v>
          </cell>
          <cell r="P87">
            <v>0.91606730000738101</v>
          </cell>
        </row>
        <row r="88">
          <cell r="C88" t="str">
            <v>100,001+</v>
          </cell>
          <cell r="D88">
            <v>8.3932699992619028E-2</v>
          </cell>
          <cell r="E88">
            <v>0.91606730000738101</v>
          </cell>
          <cell r="F88">
            <v>1</v>
          </cell>
          <cell r="G88">
            <v>124562026.1368593</v>
          </cell>
          <cell r="H88">
            <v>0.02</v>
          </cell>
          <cell r="I88" t="str">
            <v>50,001-100,000</v>
          </cell>
          <cell r="J88">
            <v>1.6776928776066704E-2</v>
          </cell>
          <cell r="K88">
            <v>0.98322307122393326</v>
          </cell>
          <cell r="L88">
            <v>1</v>
          </cell>
          <cell r="M88">
            <v>29532449.302067615</v>
          </cell>
          <cell r="N88" t="str">
            <v>50,000 - 100,000</v>
          </cell>
          <cell r="O88">
            <v>1.6776928776066704E-2</v>
          </cell>
          <cell r="P88">
            <v>0.98322307122393326</v>
          </cell>
        </row>
        <row r="89">
          <cell r="C89" t="str">
            <v>20,001-50,000</v>
          </cell>
          <cell r="D89">
            <v>0.12300334486769968</v>
          </cell>
          <cell r="E89">
            <v>0.8769966551323003</v>
          </cell>
          <cell r="F89">
            <v>1</v>
          </cell>
          <cell r="G89">
            <v>150479652.53202388</v>
          </cell>
          <cell r="H89">
            <v>0.03</v>
          </cell>
          <cell r="I89" t="str">
            <v>20,001-50,000</v>
          </cell>
          <cell r="J89">
            <v>0.12300334486769968</v>
          </cell>
          <cell r="K89">
            <v>0.8769966551323003</v>
          </cell>
          <cell r="L89">
            <v>1</v>
          </cell>
          <cell r="M89">
            <v>150479652.53202388</v>
          </cell>
          <cell r="N89" t="str">
            <v>5000 - 50,000</v>
          </cell>
          <cell r="O89">
            <v>0.19014991106925394</v>
          </cell>
          <cell r="P89">
            <v>0.80985008893074606</v>
          </cell>
        </row>
        <row r="90">
          <cell r="C90" t="str">
            <v>5,001-20,000</v>
          </cell>
          <cell r="D90">
            <v>0.26113899837633403</v>
          </cell>
          <cell r="E90">
            <v>0.73886100162366586</v>
          </cell>
          <cell r="F90">
            <v>1</v>
          </cell>
          <cell r="G90">
            <v>142334439.47546965</v>
          </cell>
          <cell r="H90">
            <v>0.04</v>
          </cell>
          <cell r="I90" t="str">
            <v>5,001-20,000</v>
          </cell>
          <cell r="J90">
            <v>0.26113899837633403</v>
          </cell>
          <cell r="K90">
            <v>0.73886100162366586</v>
          </cell>
          <cell r="L90">
            <v>1</v>
          </cell>
          <cell r="M90">
            <v>142334439.47546965</v>
          </cell>
          <cell r="N90" t="str">
            <v>&lt;5000</v>
          </cell>
          <cell r="O90">
            <v>0.43282821433857083</v>
          </cell>
          <cell r="P90">
            <v>0.56717178566142912</v>
          </cell>
        </row>
        <row r="91">
          <cell r="C91" t="str">
            <v>50,001-100,000</v>
          </cell>
          <cell r="D91">
            <v>1.6776928776066704E-2</v>
          </cell>
          <cell r="E91">
            <v>0.98322307122393326</v>
          </cell>
          <cell r="F91">
            <v>1</v>
          </cell>
          <cell r="G91">
            <v>29532449.302067615</v>
          </cell>
          <cell r="H91">
            <v>0.05</v>
          </cell>
          <cell r="I91" t="str">
            <v>&lt;5,001</v>
          </cell>
          <cell r="J91">
            <v>0.43282821433857083</v>
          </cell>
          <cell r="K91">
            <v>0.56717178566142912</v>
          </cell>
          <cell r="L91">
            <v>1</v>
          </cell>
          <cell r="M91">
            <v>45229806.543296024</v>
          </cell>
        </row>
        <row r="92">
          <cell r="B92" t="str">
            <v>School K-12</v>
          </cell>
          <cell r="C92" t="str">
            <v>&lt;5,001</v>
          </cell>
          <cell r="D92">
            <v>6.8260893508024292E-2</v>
          </cell>
          <cell r="E92">
            <v>0.93173910649197567</v>
          </cell>
          <cell r="F92">
            <v>1</v>
          </cell>
          <cell r="G92">
            <v>2868722.4248554921</v>
          </cell>
        </row>
        <row r="93">
          <cell r="C93" t="str">
            <v>100,001+</v>
          </cell>
          <cell r="D93">
            <v>0.16029926138119366</v>
          </cell>
          <cell r="E93">
            <v>0.83970073861880623</v>
          </cell>
          <cell r="F93">
            <v>1</v>
          </cell>
          <cell r="G93">
            <v>70407779.68745172</v>
          </cell>
        </row>
        <row r="94">
          <cell r="C94" t="str">
            <v>20,001-50,000</v>
          </cell>
          <cell r="D94">
            <v>0.14157569383085569</v>
          </cell>
          <cell r="E94">
            <v>0.85842430616914434</v>
          </cell>
          <cell r="F94">
            <v>1</v>
          </cell>
          <cell r="G94">
            <v>84555158.13868171</v>
          </cell>
        </row>
        <row r="95">
          <cell r="C95" t="str">
            <v>5,001-20,000</v>
          </cell>
          <cell r="D95">
            <v>0.24053328228867543</v>
          </cell>
          <cell r="E95">
            <v>0.75946671771132457</v>
          </cell>
          <cell r="F95">
            <v>1</v>
          </cell>
          <cell r="G95">
            <v>8452418.6872956287</v>
          </cell>
        </row>
        <row r="96">
          <cell r="C96" t="str">
            <v>50,001-100,000</v>
          </cell>
          <cell r="D96">
            <v>0.14934373572795726</v>
          </cell>
          <cell r="E96">
            <v>0.85065626427204277</v>
          </cell>
          <cell r="F96">
            <v>1</v>
          </cell>
          <cell r="G96">
            <v>60468543.335515603</v>
          </cell>
        </row>
        <row r="97">
          <cell r="B97" t="str">
            <v>Warehouse</v>
          </cell>
          <cell r="C97" t="str">
            <v>&lt;5,001</v>
          </cell>
          <cell r="D97">
            <v>0.12838801779438211</v>
          </cell>
          <cell r="E97">
            <v>0.87161198220561797</v>
          </cell>
          <cell r="F97">
            <v>1</v>
          </cell>
          <cell r="G97">
            <v>8938801.4812825639</v>
          </cell>
        </row>
        <row r="98">
          <cell r="C98" t="str">
            <v>100,001+</v>
          </cell>
          <cell r="D98">
            <v>0</v>
          </cell>
          <cell r="E98">
            <v>1</v>
          </cell>
          <cell r="F98">
            <v>1</v>
          </cell>
          <cell r="G98">
            <v>28824886.069673002</v>
          </cell>
        </row>
        <row r="99">
          <cell r="C99" t="str">
            <v>20,001-50,000</v>
          </cell>
          <cell r="D99">
            <v>5.1437746035443866E-3</v>
          </cell>
          <cell r="E99">
            <v>0.99485622539645557</v>
          </cell>
          <cell r="F99">
            <v>1</v>
          </cell>
          <cell r="G99">
            <v>99863887.212485299</v>
          </cell>
        </row>
        <row r="100">
          <cell r="C100" t="str">
            <v>5,001-20,000</v>
          </cell>
          <cell r="D100">
            <v>1.4492053425769444E-2</v>
          </cell>
          <cell r="E100">
            <v>0.98550794657423046</v>
          </cell>
          <cell r="F100">
            <v>1</v>
          </cell>
          <cell r="G100">
            <v>49025622.289909087</v>
          </cell>
        </row>
        <row r="101">
          <cell r="C101" t="str">
            <v>50,001-100,000</v>
          </cell>
          <cell r="D101">
            <v>1.8182350443928772E-2</v>
          </cell>
          <cell r="E101">
            <v>0.9818176495560712</v>
          </cell>
          <cell r="F101">
            <v>1</v>
          </cell>
          <cell r="G101">
            <v>10409150.518417275</v>
          </cell>
        </row>
        <row r="102">
          <cell r="B102" t="str">
            <v>Grand Total</v>
          </cell>
          <cell r="D102">
            <v>0.31344565584888812</v>
          </cell>
          <cell r="E102">
            <v>0.68655434415111194</v>
          </cell>
          <cell r="F102">
            <v>1</v>
          </cell>
          <cell r="G102">
            <v>2514648185.3050141</v>
          </cell>
        </row>
        <row r="105">
          <cell r="B105" t="str">
            <v>Shares of Electric Heat</v>
          </cell>
        </row>
        <row r="106">
          <cell r="B106" t="str">
            <v>Site_ID</v>
          </cell>
          <cell r="C106" t="str">
            <v>(All)</v>
          </cell>
        </row>
        <row r="107">
          <cell r="B107" t="str">
            <v>Fan_Ctr</v>
          </cell>
          <cell r="C107" t="str">
            <v>(All)</v>
          </cell>
        </row>
        <row r="108">
          <cell r="B108" t="str">
            <v>DistSys</v>
          </cell>
          <cell r="C108" t="str">
            <v>(All)</v>
          </cell>
        </row>
        <row r="109">
          <cell r="B109" t="str">
            <v>DistSys_Detail</v>
          </cell>
          <cell r="C109" t="str">
            <v>(All)</v>
          </cell>
        </row>
        <row r="110">
          <cell r="B110" t="str">
            <v>HeatSys_PrimFuel</v>
          </cell>
          <cell r="C110" t="str">
            <v>Electricity</v>
          </cell>
        </row>
        <row r="111">
          <cell r="B111" t="str">
            <v>Equip_Type</v>
          </cell>
          <cell r="C111" t="str">
            <v>(All)</v>
          </cell>
        </row>
        <row r="113">
          <cell r="B113" t="str">
            <v>Sum of Heat_Frac_Sf_PNW_Heated</v>
          </cell>
          <cell r="C113" t="str">
            <v>Column Labels</v>
          </cell>
        </row>
        <row r="114">
          <cell r="B114" t="str">
            <v>Row Labels</v>
          </cell>
          <cell r="C114" t="str">
            <v>CE</v>
          </cell>
          <cell r="D114" t="str">
            <v>HP</v>
          </cell>
          <cell r="E114" t="str">
            <v>HWC</v>
          </cell>
          <cell r="F114" t="str">
            <v>NA</v>
          </cell>
          <cell r="G114" t="str">
            <v>OT</v>
          </cell>
          <cell r="H114" t="str">
            <v>SC</v>
          </cell>
          <cell r="I114" t="str">
            <v>SE</v>
          </cell>
          <cell r="J114" t="str">
            <v>Grand Total</v>
          </cell>
          <cell r="K114" t="str">
            <v>Elect- Non-HP</v>
          </cell>
          <cell r="L114" t="str">
            <v>Elect-HP</v>
          </cell>
        </row>
        <row r="115">
          <cell r="B115" t="str">
            <v>Assembly</v>
          </cell>
          <cell r="C115">
            <v>2.1933371064227269E-2</v>
          </cell>
          <cell r="D115">
            <v>0.52037961228259577</v>
          </cell>
          <cell r="E115">
            <v>8.4869959933207936E-2</v>
          </cell>
          <cell r="F115">
            <v>0.37281705671996906</v>
          </cell>
          <cell r="G115">
            <v>0</v>
          </cell>
          <cell r="H115">
            <v>0</v>
          </cell>
          <cell r="I115">
            <v>0</v>
          </cell>
          <cell r="J115">
            <v>1</v>
          </cell>
          <cell r="K115">
            <v>0.47962038771740423</v>
          </cell>
          <cell r="L115">
            <v>0.52037961228259577</v>
          </cell>
        </row>
        <row r="116">
          <cell r="B116" t="str">
            <v>Grocery</v>
          </cell>
          <cell r="C116">
            <v>0</v>
          </cell>
          <cell r="D116">
            <v>0.61407902538687853</v>
          </cell>
          <cell r="E116">
            <v>0</v>
          </cell>
          <cell r="F116">
            <v>0.38592097461312153</v>
          </cell>
          <cell r="G116">
            <v>0</v>
          </cell>
          <cell r="H116">
            <v>0</v>
          </cell>
          <cell r="I116">
            <v>0</v>
          </cell>
          <cell r="J116">
            <v>1</v>
          </cell>
          <cell r="K116">
            <v>0.38592097461312147</v>
          </cell>
          <cell r="L116">
            <v>0.61407902538687853</v>
          </cell>
        </row>
        <row r="117">
          <cell r="B117" t="str">
            <v>Lodging</v>
          </cell>
          <cell r="C117">
            <v>0</v>
          </cell>
          <cell r="D117">
            <v>0.40473986786737931</v>
          </cell>
          <cell r="E117">
            <v>1.9101566005885497E-2</v>
          </cell>
          <cell r="F117">
            <v>0.56637390858008696</v>
          </cell>
          <cell r="G117">
            <v>0</v>
          </cell>
          <cell r="H117">
            <v>0</v>
          </cell>
          <cell r="I117">
            <v>9.7846575466481386E-3</v>
          </cell>
          <cell r="J117">
            <v>1</v>
          </cell>
          <cell r="K117">
            <v>0.59526013213262075</v>
          </cell>
          <cell r="L117">
            <v>0.40473986786737931</v>
          </cell>
        </row>
        <row r="118">
          <cell r="B118" t="str">
            <v>Office</v>
          </cell>
          <cell r="C118">
            <v>0</v>
          </cell>
          <cell r="D118">
            <v>0.54434419584121851</v>
          </cell>
          <cell r="E118">
            <v>1.3163924041996011E-2</v>
          </cell>
          <cell r="F118">
            <v>0.29977798762598179</v>
          </cell>
          <cell r="G118">
            <v>5.6989236417166553E-3</v>
          </cell>
          <cell r="H118">
            <v>1.8553743341665496E-2</v>
          </cell>
          <cell r="I118">
            <v>0.11846122550742165</v>
          </cell>
          <cell r="J118">
            <v>1</v>
          </cell>
          <cell r="K118">
            <v>0.45565580415878149</v>
          </cell>
          <cell r="L118">
            <v>0.54434419584121851</v>
          </cell>
        </row>
        <row r="119">
          <cell r="B119" t="str">
            <v>Other</v>
          </cell>
          <cell r="C119">
            <v>1.8656133921888154E-2</v>
          </cell>
          <cell r="D119">
            <v>0.38240960390786466</v>
          </cell>
          <cell r="E119">
            <v>3.4723225987817435E-2</v>
          </cell>
          <cell r="F119">
            <v>0.39770544205545494</v>
          </cell>
          <cell r="G119">
            <v>0</v>
          </cell>
          <cell r="H119">
            <v>0</v>
          </cell>
          <cell r="I119">
            <v>0.1665055941269748</v>
          </cell>
          <cell r="J119">
            <v>1</v>
          </cell>
          <cell r="K119">
            <v>0.6175903960921354</v>
          </cell>
          <cell r="L119">
            <v>0.38240960390786466</v>
          </cell>
        </row>
      </sheetData>
      <sheetData sheetId="19">
        <row r="11">
          <cell r="B11">
            <v>2.0434554153352484E-2</v>
          </cell>
        </row>
        <row r="12">
          <cell r="B12">
            <v>3.1863582040406999E-2</v>
          </cell>
        </row>
        <row r="13">
          <cell r="B13">
            <v>5.5794347273117245E-2</v>
          </cell>
        </row>
        <row r="14">
          <cell r="B14">
            <v>0.23374291413554329</v>
          </cell>
        </row>
        <row r="15">
          <cell r="B15">
            <v>0.12270755891365608</v>
          </cell>
        </row>
        <row r="16">
          <cell r="B16">
            <v>4.2121761451219118E-2</v>
          </cell>
        </row>
        <row r="17">
          <cell r="B17">
            <v>1.255060122823257E-2</v>
          </cell>
        </row>
        <row r="18">
          <cell r="B18">
            <v>0.16379453573805774</v>
          </cell>
        </row>
        <row r="19">
          <cell r="B19">
            <v>8.8639553331737689E-2</v>
          </cell>
          <cell r="N19" t="str">
            <v>Data tables from CBSA</v>
          </cell>
        </row>
        <row r="20">
          <cell r="B20">
            <v>2.590476843098345E-3</v>
          </cell>
        </row>
        <row r="21">
          <cell r="B21">
            <v>9.6266945662747766E-2</v>
          </cell>
          <cell r="N21" t="str">
            <v>Site_ID</v>
          </cell>
          <cell r="O21" t="str">
            <v>(All)</v>
          </cell>
        </row>
        <row r="22">
          <cell r="B22">
            <v>1</v>
          </cell>
          <cell r="N22" t="str">
            <v>Fan_Ctr</v>
          </cell>
          <cell r="O22" t="str">
            <v>(All)</v>
          </cell>
        </row>
        <row r="23">
          <cell r="B23">
            <v>7.398534349162611E-2</v>
          </cell>
          <cell r="N23" t="str">
            <v>DistSys</v>
          </cell>
          <cell r="O23" t="str">
            <v>(All)</v>
          </cell>
        </row>
        <row r="24">
          <cell r="N24" t="str">
            <v>Equip_Type</v>
          </cell>
          <cell r="O24" t="str">
            <v>(All)</v>
          </cell>
        </row>
        <row r="25">
          <cell r="N25" t="str">
            <v>DistSys_Detail</v>
          </cell>
          <cell r="O25" t="str">
            <v>(All)</v>
          </cell>
        </row>
        <row r="26">
          <cell r="N26" t="str">
            <v>Vintage</v>
          </cell>
          <cell r="O26" t="str">
            <v>2004-2013</v>
          </cell>
        </row>
        <row r="27">
          <cell r="B27" t="str">
            <v>2004-2013</v>
          </cell>
          <cell r="I27" t="str">
            <v>To CHAR</v>
          </cell>
          <cell r="U27" t="str">
            <v>Vintage</v>
          </cell>
          <cell r="V27" t="str">
            <v>2004-2013</v>
          </cell>
        </row>
        <row r="28">
          <cell r="P28" t="str">
            <v>Values</v>
          </cell>
        </row>
        <row r="29">
          <cell r="B29" t="str">
            <v>Sum of Sf_PNW</v>
          </cell>
          <cell r="E29" t="str">
            <v>SF</v>
          </cell>
          <cell r="F29" t="str">
            <v>SF Share</v>
          </cell>
          <cell r="G29" t="str">
            <v>Cool Frac</v>
          </cell>
          <cell r="J29" t="str">
            <v>SF</v>
          </cell>
          <cell r="K29" t="str">
            <v>SF Share</v>
          </cell>
          <cell r="L29" t="str">
            <v>Cool Frac</v>
          </cell>
          <cell r="N29" t="str">
            <v>Row Labels</v>
          </cell>
          <cell r="O29" t="str">
            <v>Size_Group</v>
          </cell>
          <cell r="P29" t="str">
            <v>Sum of Heat_Frac_Sf_PNW_Heated</v>
          </cell>
          <cell r="Q29" t="str">
            <v>Sum of Cool_Frac_Sf_PNW</v>
          </cell>
          <cell r="S29" t="str">
            <v>Share</v>
          </cell>
          <cell r="U29" t="str">
            <v>Row Labels</v>
          </cell>
          <cell r="V29" t="str">
            <v>Sum of Sf_PNW</v>
          </cell>
        </row>
        <row r="30">
          <cell r="B30">
            <v>165907691.59999999</v>
          </cell>
          <cell r="D30" t="str">
            <v>Assembly</v>
          </cell>
          <cell r="E30">
            <v>165907691.59999999</v>
          </cell>
          <cell r="F30">
            <v>0.12949316922883078</v>
          </cell>
          <cell r="G30">
            <v>0.91177234717447209</v>
          </cell>
          <cell r="I30" t="str">
            <v>Large Off</v>
          </cell>
          <cell r="J30">
            <v>165907691.59999999</v>
          </cell>
          <cell r="K30">
            <v>0.12949316922883078</v>
          </cell>
          <cell r="L30">
            <v>0.95128694884061893</v>
          </cell>
          <cell r="N30" t="str">
            <v>Assembly</v>
          </cell>
          <cell r="P30">
            <v>162680832.55865625</v>
          </cell>
          <cell r="Q30">
            <v>151270045.38443044</v>
          </cell>
          <cell r="R30">
            <v>165907691.59999999</v>
          </cell>
          <cell r="S30">
            <v>0.91177234717447209</v>
          </cell>
          <cell r="U30" t="str">
            <v>Assembly</v>
          </cell>
          <cell r="V30">
            <v>165907691.59999999</v>
          </cell>
        </row>
        <row r="31">
          <cell r="B31">
            <v>26180915.399999999</v>
          </cell>
          <cell r="D31" t="str">
            <v>Supermarket</v>
          </cell>
          <cell r="E31">
            <v>22661825.399999999</v>
          </cell>
          <cell r="F31">
            <v>1.7687857405861318E-2</v>
          </cell>
          <cell r="G31">
            <v>0.92147944946531313</v>
          </cell>
          <cell r="I31" t="str">
            <v>Medium Off</v>
          </cell>
          <cell r="J31">
            <v>22661825.399999999</v>
          </cell>
          <cell r="K31">
            <v>1.7687857405861318E-2</v>
          </cell>
          <cell r="L31">
            <v>0.97665874571205136</v>
          </cell>
          <cell r="N31" t="str">
            <v>Grocery</v>
          </cell>
          <cell r="O31" t="str">
            <v>&lt;5,001</v>
          </cell>
          <cell r="P31">
            <v>3007817.5990934744</v>
          </cell>
          <cell r="Q31">
            <v>2951425.5438271598</v>
          </cell>
          <cell r="R31">
            <v>3519089.9999999995</v>
          </cell>
          <cell r="S31">
            <v>0.83868998628257874</v>
          </cell>
          <cell r="U31" t="str">
            <v>Grocery</v>
          </cell>
          <cell r="V31">
            <v>26180915.399999999</v>
          </cell>
        </row>
        <row r="32">
          <cell r="B32">
            <v>3519089.9999999995</v>
          </cell>
          <cell r="D32" t="str">
            <v>Minimart</v>
          </cell>
          <cell r="E32">
            <v>3519089.9999999995</v>
          </cell>
          <cell r="F32">
            <v>2.7466967474911578E-3</v>
          </cell>
          <cell r="G32">
            <v>0.83868998628257874</v>
          </cell>
          <cell r="I32" t="str">
            <v>Small Off</v>
          </cell>
          <cell r="J32">
            <v>3519089.9999999995</v>
          </cell>
          <cell r="K32">
            <v>2.7466967474911578E-3</v>
          </cell>
          <cell r="L32">
            <v>0.91122609210258287</v>
          </cell>
          <cell r="O32" t="str">
            <v>5,001-20,000</v>
          </cell>
          <cell r="P32">
            <v>3986446.8767986465</v>
          </cell>
          <cell r="Q32">
            <v>3879036.8423711793</v>
          </cell>
          <cell r="R32">
            <v>4873991.3999999994</v>
          </cell>
          <cell r="S32">
            <v>0.79586452334962665</v>
          </cell>
          <cell r="U32" t="str">
            <v>&lt;5,001</v>
          </cell>
          <cell r="V32">
            <v>3519089.9999999995</v>
          </cell>
        </row>
        <row r="33">
          <cell r="B33">
            <v>4873991.3999999994</v>
          </cell>
          <cell r="D33" t="str">
            <v>Hospital</v>
          </cell>
          <cell r="E33">
            <v>40823878</v>
          </cell>
          <cell r="F33">
            <v>3.1863582040406992E-2</v>
          </cell>
          <cell r="I33" t="str">
            <v>Xlarge Ret</v>
          </cell>
          <cell r="J33">
            <v>40823878</v>
          </cell>
          <cell r="K33">
            <v>3.1863582040406992E-2</v>
          </cell>
          <cell r="L33">
            <v>0.98608503921852686</v>
          </cell>
          <cell r="O33" t="str">
            <v>20,001-50,000</v>
          </cell>
          <cell r="P33">
            <v>11467754.274220692</v>
          </cell>
          <cell r="Q33">
            <v>10683291.020562317</v>
          </cell>
          <cell r="R33">
            <v>11467755</v>
          </cell>
          <cell r="S33">
            <v>0.93159393626410025</v>
          </cell>
          <cell r="U33" t="str">
            <v>5,001-20,000</v>
          </cell>
          <cell r="V33">
            <v>4873991.3999999994</v>
          </cell>
        </row>
        <row r="34">
          <cell r="B34">
            <v>11467755</v>
          </cell>
          <cell r="D34" t="str">
            <v>Lodging</v>
          </cell>
          <cell r="E34">
            <v>71484167.200000003</v>
          </cell>
          <cell r="F34">
            <v>5.5794347273117231E-2</v>
          </cell>
          <cell r="G34">
            <v>0.94438859080377269</v>
          </cell>
          <cell r="I34" t="str">
            <v>Large Ret</v>
          </cell>
          <cell r="J34">
            <v>71484167.200000003</v>
          </cell>
          <cell r="K34">
            <v>5.5794347273117231E-2</v>
          </cell>
          <cell r="L34">
            <v>0.77181511362305244</v>
          </cell>
          <cell r="O34" t="str">
            <v>50,001-100,000</v>
          </cell>
          <cell r="P34">
            <v>6320078.5305375494</v>
          </cell>
          <cell r="Q34">
            <v>6320078.5305375513</v>
          </cell>
          <cell r="R34">
            <v>6320079</v>
          </cell>
          <cell r="S34">
            <v>0.99999992571889551</v>
          </cell>
          <cell r="U34" t="str">
            <v>20,001-50,000</v>
          </cell>
          <cell r="V34">
            <v>11467755</v>
          </cell>
        </row>
        <row r="35">
          <cell r="B35">
            <v>6320079</v>
          </cell>
          <cell r="D35" t="str">
            <v>Large Off</v>
          </cell>
          <cell r="E35">
            <v>148846158</v>
          </cell>
          <cell r="F35">
            <v>0.11617641437279382</v>
          </cell>
          <cell r="G35">
            <v>0.95128694884061893</v>
          </cell>
          <cell r="I35" t="str">
            <v>Medium Ret</v>
          </cell>
          <cell r="J35">
            <v>148846158</v>
          </cell>
          <cell r="K35">
            <v>0.11617641437279382</v>
          </cell>
          <cell r="L35">
            <v>0.90527535536267667</v>
          </cell>
          <cell r="N35" t="str">
            <v>Lodging</v>
          </cell>
          <cell r="P35">
            <v>67358224.807189479</v>
          </cell>
          <cell r="Q35">
            <v>67508831.926789269</v>
          </cell>
          <cell r="R35">
            <v>71484167.200000003</v>
          </cell>
          <cell r="S35">
            <v>0.94438859080377269</v>
          </cell>
          <cell r="U35" t="str">
            <v>50,001-100,000</v>
          </cell>
          <cell r="V35">
            <v>6320079</v>
          </cell>
        </row>
        <row r="36">
          <cell r="B36">
            <v>40823878</v>
          </cell>
          <cell r="D36" t="str">
            <v>Medium Off</v>
          </cell>
          <cell r="E36">
            <v>127597664</v>
          </cell>
          <cell r="F36">
            <v>9.9591681001699198E-2</v>
          </cell>
          <cell r="G36">
            <v>0.97665874571205136</v>
          </cell>
          <cell r="I36" t="str">
            <v>Small Ret</v>
          </cell>
          <cell r="J36">
            <v>127597664</v>
          </cell>
          <cell r="K36">
            <v>9.9591681001699198E-2</v>
          </cell>
          <cell r="L36">
            <v>0.53668215741883951</v>
          </cell>
          <cell r="N36" t="str">
            <v>Office</v>
          </cell>
          <cell r="O36" t="str">
            <v>&lt;5,001</v>
          </cell>
          <cell r="P36">
            <v>23029482.214190245</v>
          </cell>
          <cell r="Q36">
            <v>20985065.432742432</v>
          </cell>
          <cell r="R36">
            <v>23029482.600000001</v>
          </cell>
          <cell r="S36">
            <v>0.91122609210258287</v>
          </cell>
          <cell r="U36" t="str">
            <v>Hospital</v>
          </cell>
          <cell r="V36">
            <v>40823878</v>
          </cell>
        </row>
        <row r="37">
          <cell r="B37">
            <v>71484167.200000003</v>
          </cell>
          <cell r="D37" t="str">
            <v>Small Off</v>
          </cell>
          <cell r="E37">
            <v>23029482.600000001</v>
          </cell>
          <cell r="F37">
            <v>1.7974818761050219E-2</v>
          </cell>
          <cell r="G37">
            <v>0.91122609210258287</v>
          </cell>
          <cell r="I37" t="str">
            <v>School K-12</v>
          </cell>
          <cell r="J37">
            <v>23029482.600000001</v>
          </cell>
          <cell r="K37">
            <v>1.7974818761050219E-2</v>
          </cell>
          <cell r="L37">
            <v>0.96128535178408803</v>
          </cell>
          <cell r="O37" t="str">
            <v>5,001-20,000</v>
          </cell>
          <cell r="P37">
            <v>80784182.574405566</v>
          </cell>
          <cell r="Q37">
            <v>82746734.576799899</v>
          </cell>
          <cell r="R37">
            <v>85725024</v>
          </cell>
          <cell r="S37">
            <v>0.96525764258520241</v>
          </cell>
          <cell r="U37" t="str">
            <v>Lodging</v>
          </cell>
          <cell r="V37">
            <v>71484167.200000003</v>
          </cell>
        </row>
        <row r="38">
          <cell r="B38">
            <v>299473304.60000002</v>
          </cell>
          <cell r="D38" t="str">
            <v>Other</v>
          </cell>
          <cell r="E38">
            <v>157213913</v>
          </cell>
          <cell r="F38">
            <v>0.12270755891365605</v>
          </cell>
          <cell r="G38">
            <v>0.87717751610580841</v>
          </cell>
          <cell r="I38" t="str">
            <v>University</v>
          </cell>
          <cell r="J38">
            <v>157213913</v>
          </cell>
          <cell r="K38">
            <v>0.12270755891365605</v>
          </cell>
          <cell r="L38">
            <v>0</v>
          </cell>
          <cell r="O38" t="str">
            <v>20,001-50,000</v>
          </cell>
          <cell r="P38">
            <v>34539301.857369535</v>
          </cell>
          <cell r="Q38">
            <v>41872639.901227877</v>
          </cell>
          <cell r="R38">
            <v>41872640</v>
          </cell>
          <cell r="S38">
            <v>0.99999999764112979</v>
          </cell>
          <cell r="U38" t="str">
            <v>Office</v>
          </cell>
          <cell r="V38">
            <v>299473304.60000002</v>
          </cell>
        </row>
        <row r="39">
          <cell r="B39">
            <v>23029482.600000001</v>
          </cell>
          <cell r="D39" t="str">
            <v>residential care</v>
          </cell>
          <cell r="E39">
            <v>53966740.100000001</v>
          </cell>
          <cell r="F39">
            <v>4.2121761451219111E-2</v>
          </cell>
          <cell r="G39">
            <v>0.8423386600487599</v>
          </cell>
          <cell r="I39" t="str">
            <v>Warehouse</v>
          </cell>
          <cell r="J39">
            <v>53966740.100000001</v>
          </cell>
          <cell r="K39">
            <v>4.2121761451219111E-2</v>
          </cell>
          <cell r="L39">
            <v>0.18162271351024481</v>
          </cell>
          <cell r="O39" t="str">
            <v>50,001-100,000</v>
          </cell>
          <cell r="P39">
            <v>43034153.216813698</v>
          </cell>
          <cell r="Q39">
            <v>63253424.725206777</v>
          </cell>
          <cell r="R39">
            <v>63929821</v>
          </cell>
          <cell r="S39">
            <v>0.98941970641849253</v>
          </cell>
          <cell r="U39" t="str">
            <v>&lt;5,001</v>
          </cell>
          <cell r="V39">
            <v>23029482.600000001</v>
          </cell>
        </row>
        <row r="40">
          <cell r="B40">
            <v>85725024</v>
          </cell>
          <cell r="D40" t="str">
            <v>Restaurant</v>
          </cell>
          <cell r="E40">
            <v>16079931.400000002</v>
          </cell>
          <cell r="F40">
            <v>1.2550601228232568E-2</v>
          </cell>
          <cell r="G40">
            <v>0.99999997512427186</v>
          </cell>
          <cell r="I40" t="str">
            <v>Supermarket</v>
          </cell>
          <cell r="J40">
            <v>16079931.400000002</v>
          </cell>
          <cell r="K40">
            <v>1.2550601228232568E-2</v>
          </cell>
          <cell r="L40">
            <v>0.92147944946531313</v>
          </cell>
          <cell r="O40" t="str">
            <v>100,001+</v>
          </cell>
          <cell r="P40">
            <v>64636550.250122726</v>
          </cell>
          <cell r="Q40">
            <v>78341982.765261889</v>
          </cell>
          <cell r="R40">
            <v>84916337</v>
          </cell>
          <cell r="S40">
            <v>0.92257845230961733</v>
          </cell>
          <cell r="U40" t="str">
            <v>5,001-20,000</v>
          </cell>
          <cell r="V40">
            <v>85725024</v>
          </cell>
        </row>
        <row r="41">
          <cell r="B41">
            <v>41872640</v>
          </cell>
          <cell r="D41" t="str">
            <v>Xlarge Ret</v>
          </cell>
          <cell r="E41">
            <v>59225697</v>
          </cell>
          <cell r="F41">
            <v>4.6226447552576613E-2</v>
          </cell>
          <cell r="G41">
            <v>0.98608503921852686</v>
          </cell>
          <cell r="I41" t="str">
            <v>MiniMart</v>
          </cell>
          <cell r="J41">
            <v>59225697</v>
          </cell>
          <cell r="K41">
            <v>4.6226447552576613E-2</v>
          </cell>
          <cell r="L41">
            <v>0.83868998628257874</v>
          </cell>
          <cell r="N41" t="str">
            <v>Other</v>
          </cell>
          <cell r="P41">
            <v>153654082.32473806</v>
          </cell>
          <cell r="Q41">
            <v>137904509.70261467</v>
          </cell>
          <cell r="R41">
            <v>157213913</v>
          </cell>
          <cell r="S41">
            <v>0.87717751610580841</v>
          </cell>
          <cell r="U41" t="str">
            <v>20,001-50,000</v>
          </cell>
          <cell r="V41">
            <v>41872640</v>
          </cell>
        </row>
        <row r="42">
          <cell r="B42">
            <v>63929821</v>
          </cell>
          <cell r="D42" t="str">
            <v>Large Ret</v>
          </cell>
          <cell r="E42">
            <v>72646954</v>
          </cell>
          <cell r="F42">
            <v>5.6701917901201666E-2</v>
          </cell>
          <cell r="G42">
            <v>0.77181511362305244</v>
          </cell>
          <cell r="I42" t="str">
            <v>Restaurant</v>
          </cell>
          <cell r="J42">
            <v>72646954</v>
          </cell>
          <cell r="K42">
            <v>5.6701917901201666E-2</v>
          </cell>
          <cell r="L42">
            <v>0.99999997512427186</v>
          </cell>
          <cell r="N42" t="str">
            <v>Residential Care</v>
          </cell>
          <cell r="P42">
            <v>49714392.777311653</v>
          </cell>
          <cell r="Q42">
            <v>45458271.543033682</v>
          </cell>
          <cell r="R42">
            <v>53966740.100000001</v>
          </cell>
          <cell r="S42">
            <v>0.8423386600487599</v>
          </cell>
          <cell r="U42" t="str">
            <v>50,001-100,000</v>
          </cell>
          <cell r="V42">
            <v>63929821</v>
          </cell>
        </row>
        <row r="43">
          <cell r="B43">
            <v>84916337</v>
          </cell>
          <cell r="D43" t="str">
            <v>Medium Ret</v>
          </cell>
          <cell r="E43">
            <v>68116174</v>
          </cell>
          <cell r="F43">
            <v>5.3165583596140417E-2</v>
          </cell>
          <cell r="G43">
            <v>0.90527535536267667</v>
          </cell>
          <cell r="I43" t="str">
            <v>Lodging</v>
          </cell>
          <cell r="J43">
            <v>68116174</v>
          </cell>
          <cell r="K43">
            <v>5.3165583596140417E-2</v>
          </cell>
          <cell r="L43">
            <v>0.94438859080377269</v>
          </cell>
          <cell r="N43" t="str">
            <v>Restaurant</v>
          </cell>
          <cell r="P43">
            <v>15578466.927956199</v>
          </cell>
          <cell r="Q43">
            <v>16079931</v>
          </cell>
          <cell r="R43">
            <v>16079931.400000002</v>
          </cell>
          <cell r="S43">
            <v>0.99999997512427186</v>
          </cell>
          <cell r="U43" t="str">
            <v>100,001+</v>
          </cell>
          <cell r="V43">
            <v>84916337</v>
          </cell>
        </row>
        <row r="44">
          <cell r="B44">
            <v>157213913</v>
          </cell>
          <cell r="D44" t="str">
            <v>Small Ret</v>
          </cell>
          <cell r="E44">
            <v>9866053.6999999993</v>
          </cell>
          <cell r="F44">
            <v>7.7005866881390082E-3</v>
          </cell>
          <cell r="G44">
            <v>0.53668215741883951</v>
          </cell>
          <cell r="I44" t="str">
            <v>Hospital</v>
          </cell>
          <cell r="J44">
            <v>9866053.6999999993</v>
          </cell>
          <cell r="K44">
            <v>7.7005866881390082E-3</v>
          </cell>
          <cell r="L44">
            <v>0</v>
          </cell>
          <cell r="N44" t="str">
            <v>Retail/Service</v>
          </cell>
          <cell r="O44" t="str">
            <v>&lt;5,001</v>
          </cell>
          <cell r="P44">
            <v>9866053.8742124401</v>
          </cell>
          <cell r="Q44">
            <v>5294934.9849261232</v>
          </cell>
          <cell r="R44">
            <v>9866053.6999999993</v>
          </cell>
          <cell r="S44">
            <v>0.53668215741883951</v>
          </cell>
          <cell r="U44" t="str">
            <v>Other</v>
          </cell>
          <cell r="V44">
            <v>157213913</v>
          </cell>
        </row>
        <row r="45">
          <cell r="B45">
            <v>53966740.100000001</v>
          </cell>
          <cell r="D45" t="str">
            <v>School K-12</v>
          </cell>
          <cell r="E45">
            <v>113565709.8</v>
          </cell>
          <cell r="F45">
            <v>8.8639553331737675E-2</v>
          </cell>
          <cell r="G45">
            <v>0.96128535178408803</v>
          </cell>
          <cell r="I45" t="str">
            <v>Residential Care</v>
          </cell>
          <cell r="J45">
            <v>113565709.8</v>
          </cell>
          <cell r="K45">
            <v>8.8639553331737675E-2</v>
          </cell>
          <cell r="L45">
            <v>0.8423386600487599</v>
          </cell>
          <cell r="O45" t="str">
            <v>5,001-20,000</v>
          </cell>
          <cell r="P45">
            <v>62095801.889099516</v>
          </cell>
          <cell r="Q45">
            <v>61663893.623795919</v>
          </cell>
          <cell r="R45">
            <v>68116174</v>
          </cell>
          <cell r="S45">
            <v>0.90527535536267667</v>
          </cell>
          <cell r="U45" t="str">
            <v>Residential Care</v>
          </cell>
          <cell r="V45">
            <v>53966740.100000001</v>
          </cell>
        </row>
        <row r="46">
          <cell r="B46">
            <v>16079931.400000002</v>
          </cell>
          <cell r="D46" t="str">
            <v>University</v>
          </cell>
          <cell r="E46">
            <v>3318939.8</v>
          </cell>
          <cell r="F46">
            <v>2.5904768430983446E-3</v>
          </cell>
          <cell r="I46" t="str">
            <v>Assembly</v>
          </cell>
          <cell r="J46">
            <v>3318939.8</v>
          </cell>
          <cell r="K46">
            <v>2.5904768430983446E-3</v>
          </cell>
          <cell r="L46">
            <v>0.91177234717447209</v>
          </cell>
          <cell r="O46" t="str">
            <v>20,001-50,000</v>
          </cell>
          <cell r="P46">
            <v>72646953.999999955</v>
          </cell>
          <cell r="Q46">
            <v>56070017.055878662</v>
          </cell>
          <cell r="R46">
            <v>72646954</v>
          </cell>
          <cell r="S46">
            <v>0.77181511362305244</v>
          </cell>
          <cell r="U46" t="str">
            <v>Restaurant</v>
          </cell>
          <cell r="V46">
            <v>16079931.400000002</v>
          </cell>
        </row>
        <row r="47">
          <cell r="B47">
            <v>4744164.2</v>
          </cell>
          <cell r="D47" t="str">
            <v>Warehouse</v>
          </cell>
          <cell r="E47">
            <v>123337986.3</v>
          </cell>
          <cell r="F47">
            <v>9.6266945662747752E-2</v>
          </cell>
          <cell r="G47">
            <v>0.18162271351024481</v>
          </cell>
          <cell r="I47" t="str">
            <v>Other</v>
          </cell>
          <cell r="J47">
            <v>123337986.3</v>
          </cell>
          <cell r="K47">
            <v>9.6266945662747752E-2</v>
          </cell>
          <cell r="L47">
            <v>0.87717751610580841</v>
          </cell>
          <cell r="O47" t="str">
            <v>100,001+</v>
          </cell>
          <cell r="P47">
            <v>59225697.00000003</v>
          </cell>
          <cell r="Q47">
            <v>58401573.74898959</v>
          </cell>
          <cell r="R47">
            <v>59225697</v>
          </cell>
          <cell r="S47">
            <v>0.98608503921852686</v>
          </cell>
          <cell r="U47" t="str">
            <v>&lt;5,001</v>
          </cell>
          <cell r="V47">
            <v>4744164.2</v>
          </cell>
        </row>
        <row r="48">
          <cell r="B48">
            <v>11335767.200000001</v>
          </cell>
          <cell r="E48">
            <v>1281208055.9000001</v>
          </cell>
          <cell r="J48">
            <v>1281208055.9000001</v>
          </cell>
          <cell r="K48">
            <v>1</v>
          </cell>
          <cell r="N48" t="str">
            <v>School K-12</v>
          </cell>
          <cell r="P48">
            <v>110527499.14520694</v>
          </cell>
          <cell r="Q48">
            <v>109169053.29570265</v>
          </cell>
          <cell r="R48">
            <v>113565709.8</v>
          </cell>
          <cell r="S48">
            <v>0.96128535178408803</v>
          </cell>
          <cell r="U48" t="str">
            <v>5,001-20,000</v>
          </cell>
          <cell r="V48">
            <v>11335767.200000001</v>
          </cell>
        </row>
        <row r="49">
          <cell r="B49">
            <v>209854878.69999999</v>
          </cell>
          <cell r="N49" t="str">
            <v>Warehouse</v>
          </cell>
          <cell r="P49">
            <v>84732711.903829709</v>
          </cell>
          <cell r="Q49">
            <v>22400979.7506954</v>
          </cell>
          <cell r="R49">
            <v>123337986.3</v>
          </cell>
          <cell r="S49">
            <v>0.18162271351024481</v>
          </cell>
          <cell r="U49" t="str">
            <v>Retail/Service</v>
          </cell>
          <cell r="V49">
            <v>209854878.69999999</v>
          </cell>
        </row>
        <row r="50">
          <cell r="B50">
            <v>9866053.6999999993</v>
          </cell>
          <cell r="N50" t="str">
            <v>Grand Total</v>
          </cell>
          <cell r="P50">
            <v>1118886484.6017523</v>
          </cell>
          <cell r="Q50">
            <v>1042255721.3553934</v>
          </cell>
          <cell r="R50">
            <v>1281208055.9000001</v>
          </cell>
          <cell r="S50">
            <v>0.81349451133699613</v>
          </cell>
          <cell r="U50" t="str">
            <v>&lt;5,001</v>
          </cell>
          <cell r="V50">
            <v>9866053.6999999993</v>
          </cell>
        </row>
        <row r="51">
          <cell r="B51">
            <v>68116174</v>
          </cell>
          <cell r="U51" t="str">
            <v>5,001-20,000</v>
          </cell>
          <cell r="V51">
            <v>68116174</v>
          </cell>
        </row>
        <row r="52">
          <cell r="B52">
            <v>72646954</v>
          </cell>
          <cell r="U52" t="str">
            <v>20,001-50,000</v>
          </cell>
          <cell r="V52">
            <v>72646954</v>
          </cell>
        </row>
        <row r="53">
          <cell r="B53">
            <v>59225697</v>
          </cell>
          <cell r="U53" t="str">
            <v>100,001+</v>
          </cell>
          <cell r="V53">
            <v>59225697</v>
          </cell>
        </row>
        <row r="54">
          <cell r="B54">
            <v>113565709.8</v>
          </cell>
          <cell r="U54" t="str">
            <v>School K-12</v>
          </cell>
          <cell r="V54">
            <v>113565709.8</v>
          </cell>
        </row>
        <row r="55">
          <cell r="B55">
            <v>3318939.8</v>
          </cell>
          <cell r="U55" t="str">
            <v>University</v>
          </cell>
          <cell r="V55">
            <v>3318939.8</v>
          </cell>
        </row>
        <row r="56">
          <cell r="B56">
            <v>123337986.3</v>
          </cell>
          <cell r="U56" t="str">
            <v>Warehouse</v>
          </cell>
          <cell r="V56">
            <v>123337986.3</v>
          </cell>
        </row>
        <row r="57">
          <cell r="B57">
            <v>1281208055.9000001</v>
          </cell>
          <cell r="U57" t="str">
            <v>Grand Total</v>
          </cell>
          <cell r="V57">
            <v>1281208055.9000001</v>
          </cell>
        </row>
        <row r="63">
          <cell r="B63" t="str">
            <v>(All)</v>
          </cell>
        </row>
        <row r="64">
          <cell r="B64" t="str">
            <v>(All)</v>
          </cell>
        </row>
        <row r="65">
          <cell r="B65" t="str">
            <v>(All)</v>
          </cell>
        </row>
        <row r="66">
          <cell r="B66" t="str">
            <v>(All)</v>
          </cell>
        </row>
        <row r="67">
          <cell r="B67" t="str">
            <v>2004-2013</v>
          </cell>
        </row>
        <row r="68">
          <cell r="B68" t="str">
            <v>Electricity</v>
          </cell>
        </row>
        <row r="70">
          <cell r="C70" t="str">
            <v>Column Labels</v>
          </cell>
          <cell r="F70" t="str">
            <v>HP</v>
          </cell>
        </row>
        <row r="71">
          <cell r="B71" t="str">
            <v>Size_Group</v>
          </cell>
          <cell r="C71">
            <v>1</v>
          </cell>
          <cell r="D71">
            <v>3</v>
          </cell>
          <cell r="E71">
            <v>4</v>
          </cell>
          <cell r="F71">
            <v>5</v>
          </cell>
          <cell r="G71">
            <v>6</v>
          </cell>
          <cell r="H71">
            <v>8</v>
          </cell>
          <cell r="I71">
            <v>9</v>
          </cell>
          <cell r="J71">
            <v>10</v>
          </cell>
          <cell r="K71">
            <v>11</v>
          </cell>
          <cell r="L71">
            <v>12</v>
          </cell>
          <cell r="M71">
            <v>13</v>
          </cell>
          <cell r="N71" t="str">
            <v>(blank)</v>
          </cell>
          <cell r="O71" t="str">
            <v>Grand Total</v>
          </cell>
          <cell r="P71" t="str">
            <v>SF</v>
          </cell>
          <cell r="Q71" t="str">
            <v>HP</v>
          </cell>
          <cell r="R71" t="str">
            <v>Elect</v>
          </cell>
        </row>
        <row r="72">
          <cell r="C72">
            <v>3.6534593810539057E-2</v>
          </cell>
          <cell r="D72">
            <v>9.6072243813068336E-2</v>
          </cell>
          <cell r="E72">
            <v>0</v>
          </cell>
          <cell r="F72">
            <v>0.50965114798682787</v>
          </cell>
          <cell r="G72">
            <v>3.1956647213604777E-2</v>
          </cell>
          <cell r="H72">
            <v>0</v>
          </cell>
          <cell r="I72">
            <v>0</v>
          </cell>
          <cell r="J72">
            <v>3.5497740342013101E-3</v>
          </cell>
          <cell r="K72">
            <v>5.8039414061002159E-4</v>
          </cell>
          <cell r="L72">
            <v>0</v>
          </cell>
          <cell r="M72">
            <v>0</v>
          </cell>
          <cell r="N72">
            <v>0.32165519900114858</v>
          </cell>
          <cell r="O72">
            <v>1</v>
          </cell>
          <cell r="P72">
            <v>323583577.89067554</v>
          </cell>
          <cell r="Q72">
            <v>0.50965114798682787</v>
          </cell>
          <cell r="R72">
            <v>0.49034885201317213</v>
          </cell>
        </row>
        <row r="73">
          <cell r="B73" t="str">
            <v>&lt;5,001</v>
          </cell>
          <cell r="C73">
            <v>0</v>
          </cell>
          <cell r="D73">
            <v>0</v>
          </cell>
          <cell r="E73">
            <v>0.18622247697050309</v>
          </cell>
          <cell r="F73">
            <v>0.81377752302949691</v>
          </cell>
          <cell r="G73">
            <v>0</v>
          </cell>
          <cell r="H73">
            <v>0</v>
          </cell>
          <cell r="I73">
            <v>0</v>
          </cell>
          <cell r="J73">
            <v>0</v>
          </cell>
          <cell r="K73">
            <v>0</v>
          </cell>
          <cell r="L73">
            <v>0</v>
          </cell>
          <cell r="M73">
            <v>0</v>
          </cell>
          <cell r="N73">
            <v>0</v>
          </cell>
          <cell r="O73">
            <v>1</v>
          </cell>
          <cell r="P73">
            <v>9815889.4471183456</v>
          </cell>
          <cell r="Q73">
            <v>0.81377752302949691</v>
          </cell>
          <cell r="R73">
            <v>0.18622247697050309</v>
          </cell>
        </row>
        <row r="74">
          <cell r="B74" t="str">
            <v>5,001-20,000</v>
          </cell>
          <cell r="C74">
            <v>0.81202354242998354</v>
          </cell>
          <cell r="D74">
            <v>3.3971992626398925E-2</v>
          </cell>
          <cell r="E74">
            <v>0</v>
          </cell>
          <cell r="F74">
            <v>0.15400446494361758</v>
          </cell>
          <cell r="G74">
            <v>0</v>
          </cell>
          <cell r="H74">
            <v>0</v>
          </cell>
          <cell r="I74">
            <v>0</v>
          </cell>
          <cell r="J74">
            <v>0</v>
          </cell>
          <cell r="K74">
            <v>0</v>
          </cell>
          <cell r="L74">
            <v>0</v>
          </cell>
          <cell r="M74">
            <v>0</v>
          </cell>
          <cell r="N74">
            <v>0</v>
          </cell>
          <cell r="O74">
            <v>1</v>
          </cell>
          <cell r="P74">
            <v>16084444.905748043</v>
          </cell>
          <cell r="Q74">
            <v>0.15400446494361758</v>
          </cell>
          <cell r="R74">
            <v>0.84599553505638236</v>
          </cell>
        </row>
        <row r="75">
          <cell r="B75" t="str">
            <v>20,001-50,000</v>
          </cell>
          <cell r="C75">
            <v>0</v>
          </cell>
          <cell r="D75">
            <v>0</v>
          </cell>
          <cell r="E75">
            <v>0</v>
          </cell>
          <cell r="F75">
            <v>0.18249203765273975</v>
          </cell>
          <cell r="G75">
            <v>0</v>
          </cell>
          <cell r="H75">
            <v>0</v>
          </cell>
          <cell r="I75">
            <v>0.8175079623472602</v>
          </cell>
          <cell r="J75">
            <v>0</v>
          </cell>
          <cell r="K75">
            <v>0</v>
          </cell>
          <cell r="L75">
            <v>0</v>
          </cell>
          <cell r="M75">
            <v>0</v>
          </cell>
          <cell r="N75">
            <v>0</v>
          </cell>
          <cell r="O75">
            <v>1</v>
          </cell>
          <cell r="P75">
            <v>23241500.137925949</v>
          </cell>
          <cell r="Q75">
            <v>0.18249203765273975</v>
          </cell>
          <cell r="R75">
            <v>0.81750796234726031</v>
          </cell>
        </row>
        <row r="76">
          <cell r="C76">
            <v>2.6830345435340821E-2</v>
          </cell>
          <cell r="D76">
            <v>1.3652575123708729E-2</v>
          </cell>
          <cell r="E76">
            <v>2.8001180638092205E-2</v>
          </cell>
          <cell r="F76">
            <v>0.18888064796136644</v>
          </cell>
          <cell r="G76">
            <v>0.57870617384054446</v>
          </cell>
          <cell r="H76">
            <v>0</v>
          </cell>
          <cell r="I76">
            <v>0</v>
          </cell>
          <cell r="J76">
            <v>7.5228886618891851E-3</v>
          </cell>
          <cell r="K76">
            <v>0.10945787462577937</v>
          </cell>
          <cell r="L76">
            <v>0</v>
          </cell>
          <cell r="M76">
            <v>0</v>
          </cell>
          <cell r="N76">
            <v>4.6948313713278858E-2</v>
          </cell>
          <cell r="O76">
            <v>1</v>
          </cell>
          <cell r="P76">
            <v>158846349.10849831</v>
          </cell>
          <cell r="Q76">
            <v>0.18888064796136644</v>
          </cell>
          <cell r="R76">
            <v>0.8111193520386335</v>
          </cell>
        </row>
        <row r="77">
          <cell r="B77" t="str">
            <v>&lt;5,001</v>
          </cell>
          <cell r="C77">
            <v>0</v>
          </cell>
          <cell r="D77">
            <v>0.17664037080346631</v>
          </cell>
          <cell r="E77">
            <v>0</v>
          </cell>
          <cell r="F77">
            <v>0.52490452587958114</v>
          </cell>
          <cell r="G77">
            <v>0</v>
          </cell>
          <cell r="H77">
            <v>0</v>
          </cell>
          <cell r="I77">
            <v>0</v>
          </cell>
          <cell r="J77">
            <v>1.9787254337404303E-2</v>
          </cell>
          <cell r="K77">
            <v>0</v>
          </cell>
          <cell r="L77">
            <v>0</v>
          </cell>
          <cell r="M77">
            <v>0</v>
          </cell>
          <cell r="N77">
            <v>0.27866784897954844</v>
          </cell>
          <cell r="O77">
            <v>1</v>
          </cell>
          <cell r="P77">
            <v>88922415.770519257</v>
          </cell>
          <cell r="Q77">
            <v>0.52490452587958114</v>
          </cell>
          <cell r="R77">
            <v>0.47509547412041886</v>
          </cell>
        </row>
        <row r="78">
          <cell r="B78" t="str">
            <v>5,001-20,000</v>
          </cell>
          <cell r="C78">
            <v>0</v>
          </cell>
          <cell r="D78">
            <v>0</v>
          </cell>
          <cell r="E78">
            <v>4.3228968896827348E-2</v>
          </cell>
          <cell r="F78">
            <v>0.75611452678600732</v>
          </cell>
          <cell r="G78">
            <v>0</v>
          </cell>
          <cell r="H78">
            <v>0</v>
          </cell>
          <cell r="I78">
            <v>0</v>
          </cell>
          <cell r="J78">
            <v>0</v>
          </cell>
          <cell r="K78">
            <v>0</v>
          </cell>
          <cell r="L78">
            <v>3.0685926118516452E-2</v>
          </cell>
          <cell r="M78">
            <v>0</v>
          </cell>
          <cell r="N78">
            <v>0.16997057819864889</v>
          </cell>
          <cell r="O78">
            <v>1</v>
          </cell>
          <cell r="P78">
            <v>154110090.46318847</v>
          </cell>
          <cell r="Q78">
            <v>0.75611452678600732</v>
          </cell>
          <cell r="R78">
            <v>0.24388547321399268</v>
          </cell>
        </row>
        <row r="79">
          <cell r="B79" t="str">
            <v>20,001-50,000</v>
          </cell>
          <cell r="C79">
            <v>0.27157849224769093</v>
          </cell>
          <cell r="D79">
            <v>0.16108600680990617</v>
          </cell>
          <cell r="E79">
            <v>0</v>
          </cell>
          <cell r="F79">
            <v>0.48968672235722216</v>
          </cell>
          <cell r="G79">
            <v>4.2122637341405176E-4</v>
          </cell>
          <cell r="H79">
            <v>0</v>
          </cell>
          <cell r="I79">
            <v>0</v>
          </cell>
          <cell r="J79">
            <v>0</v>
          </cell>
          <cell r="K79">
            <v>0</v>
          </cell>
          <cell r="L79">
            <v>0</v>
          </cell>
          <cell r="M79">
            <v>0</v>
          </cell>
          <cell r="N79">
            <v>7.7227552211766498E-2</v>
          </cell>
          <cell r="O79">
            <v>1</v>
          </cell>
          <cell r="P79">
            <v>121088778.65134136</v>
          </cell>
          <cell r="Q79">
            <v>0.48968672235722216</v>
          </cell>
          <cell r="R79">
            <v>0.5103132776427779</v>
          </cell>
        </row>
        <row r="80">
          <cell r="B80" t="str">
            <v>50,001-100,000</v>
          </cell>
          <cell r="C80">
            <v>0</v>
          </cell>
          <cell r="D80">
            <v>0</v>
          </cell>
          <cell r="E80">
            <v>0</v>
          </cell>
          <cell r="F80">
            <v>0</v>
          </cell>
          <cell r="G80">
            <v>0</v>
          </cell>
          <cell r="H80">
            <v>0</v>
          </cell>
          <cell r="I80">
            <v>0</v>
          </cell>
          <cell r="J80">
            <v>0</v>
          </cell>
          <cell r="K80">
            <v>0</v>
          </cell>
          <cell r="L80">
            <v>0</v>
          </cell>
          <cell r="M80">
            <v>0</v>
          </cell>
          <cell r="N80">
            <v>1</v>
          </cell>
          <cell r="O80">
            <v>1</v>
          </cell>
          <cell r="P80">
            <v>83126914.229880497</v>
          </cell>
          <cell r="Q80">
            <v>0</v>
          </cell>
          <cell r="R80">
            <v>1</v>
          </cell>
        </row>
        <row r="81">
          <cell r="B81" t="str">
            <v>100,001+</v>
          </cell>
          <cell r="C81">
            <v>0</v>
          </cell>
          <cell r="D81">
            <v>9.0247339982572464E-2</v>
          </cell>
          <cell r="E81">
            <v>0</v>
          </cell>
          <cell r="F81">
            <v>3.7300330925293994E-2</v>
          </cell>
          <cell r="G81">
            <v>0</v>
          </cell>
          <cell r="H81">
            <v>0</v>
          </cell>
          <cell r="I81">
            <v>0</v>
          </cell>
          <cell r="J81">
            <v>6.1086377136007814E-4</v>
          </cell>
          <cell r="K81">
            <v>0</v>
          </cell>
          <cell r="L81">
            <v>0</v>
          </cell>
          <cell r="M81">
            <v>0</v>
          </cell>
          <cell r="N81">
            <v>0.87184146532077345</v>
          </cell>
          <cell r="O81">
            <v>1</v>
          </cell>
          <cell r="P81">
            <v>161400968.09734377</v>
          </cell>
          <cell r="Q81">
            <v>3.7300330925293994E-2</v>
          </cell>
          <cell r="R81">
            <v>0.96269966907470605</v>
          </cell>
        </row>
        <row r="82">
          <cell r="C82">
            <v>3.0358719899233007E-2</v>
          </cell>
          <cell r="D82">
            <v>7.9022624302837394E-2</v>
          </cell>
          <cell r="E82">
            <v>2.3915459988707082E-2</v>
          </cell>
          <cell r="F82">
            <v>0.41080265497275703</v>
          </cell>
          <cell r="G82">
            <v>5.4849597267194045E-2</v>
          </cell>
          <cell r="H82">
            <v>5.3229117383233899E-3</v>
          </cell>
          <cell r="I82">
            <v>9.1480776677612327E-2</v>
          </cell>
          <cell r="J82">
            <v>8.7343776958000094E-3</v>
          </cell>
          <cell r="K82">
            <v>0</v>
          </cell>
          <cell r="L82">
            <v>0</v>
          </cell>
          <cell r="M82">
            <v>0</v>
          </cell>
          <cell r="N82">
            <v>0.29551287745753574</v>
          </cell>
          <cell r="O82">
            <v>1</v>
          </cell>
          <cell r="P82">
            <v>274835103.70914501</v>
          </cell>
          <cell r="Q82">
            <v>0.41080265497275703</v>
          </cell>
          <cell r="R82">
            <v>0.58919734502724297</v>
          </cell>
        </row>
        <row r="83">
          <cell r="C83">
            <v>4.8491951753153045E-2</v>
          </cell>
          <cell r="D83">
            <v>0</v>
          </cell>
          <cell r="E83">
            <v>7.2786406113312819E-3</v>
          </cell>
          <cell r="F83">
            <v>0.25160789616687884</v>
          </cell>
          <cell r="G83">
            <v>0.31248631124873866</v>
          </cell>
          <cell r="H83">
            <v>0</v>
          </cell>
          <cell r="I83">
            <v>0</v>
          </cell>
          <cell r="J83">
            <v>0.18360090438102558</v>
          </cell>
          <cell r="K83">
            <v>0.17776288985715782</v>
          </cell>
          <cell r="L83">
            <v>0</v>
          </cell>
          <cell r="M83">
            <v>1.383259321048938E-4</v>
          </cell>
          <cell r="N83">
            <v>1.863308004961009E-2</v>
          </cell>
          <cell r="O83">
            <v>1</v>
          </cell>
          <cell r="P83">
            <v>117631709.17964283</v>
          </cell>
          <cell r="Q83">
            <v>0.25160789616687884</v>
          </cell>
          <cell r="R83">
            <v>0.74839210383312116</v>
          </cell>
        </row>
        <row r="84">
          <cell r="C84">
            <v>0</v>
          </cell>
          <cell r="D84">
            <v>0</v>
          </cell>
          <cell r="E84">
            <v>8.4985032383021089E-2</v>
          </cell>
          <cell r="F84">
            <v>0.8667911132476972</v>
          </cell>
          <cell r="G84">
            <v>0</v>
          </cell>
          <cell r="H84">
            <v>0</v>
          </cell>
          <cell r="I84">
            <v>0</v>
          </cell>
          <cell r="J84">
            <v>4.8223854369281734E-2</v>
          </cell>
          <cell r="K84">
            <v>0</v>
          </cell>
          <cell r="L84">
            <v>0</v>
          </cell>
          <cell r="M84">
            <v>0</v>
          </cell>
          <cell r="N84">
            <v>0</v>
          </cell>
          <cell r="O84">
            <v>1</v>
          </cell>
          <cell r="P84">
            <v>47431959.763809502</v>
          </cell>
          <cell r="Q84">
            <v>0.8667911132476972</v>
          </cell>
          <cell r="R84">
            <v>0.1332088867523028</v>
          </cell>
        </row>
        <row r="85">
          <cell r="B85" t="str">
            <v>&lt;5,001</v>
          </cell>
          <cell r="C85">
            <v>0</v>
          </cell>
          <cell r="D85">
            <v>0.30228709576973001</v>
          </cell>
          <cell r="E85">
            <v>0</v>
          </cell>
          <cell r="F85">
            <v>0.6004457335185307</v>
          </cell>
          <cell r="G85">
            <v>0</v>
          </cell>
          <cell r="H85">
            <v>0</v>
          </cell>
          <cell r="I85">
            <v>0</v>
          </cell>
          <cell r="J85">
            <v>3.9538732283492091E-2</v>
          </cell>
          <cell r="K85">
            <v>5.7728438428247104E-2</v>
          </cell>
          <cell r="L85">
            <v>0</v>
          </cell>
          <cell r="M85">
            <v>0</v>
          </cell>
          <cell r="N85">
            <v>0</v>
          </cell>
          <cell r="O85">
            <v>1</v>
          </cell>
          <cell r="P85">
            <v>45229806.543296024</v>
          </cell>
          <cell r="Q85">
            <v>0.6004457335185307</v>
          </cell>
          <cell r="R85">
            <v>0.3995542664814693</v>
          </cell>
        </row>
        <row r="86">
          <cell r="B86" t="str">
            <v>5,001-20,000</v>
          </cell>
          <cell r="C86">
            <v>0.67420376757283751</v>
          </cell>
          <cell r="D86">
            <v>0</v>
          </cell>
          <cell r="E86">
            <v>0</v>
          </cell>
          <cell r="F86">
            <v>0.25959218292260067</v>
          </cell>
          <cell r="G86">
            <v>0</v>
          </cell>
          <cell r="H86">
            <v>0</v>
          </cell>
          <cell r="I86">
            <v>6.6204049504561782E-2</v>
          </cell>
          <cell r="J86">
            <v>0</v>
          </cell>
          <cell r="K86">
            <v>0</v>
          </cell>
          <cell r="L86">
            <v>0</v>
          </cell>
          <cell r="M86">
            <v>0</v>
          </cell>
          <cell r="N86">
            <v>0</v>
          </cell>
          <cell r="O86">
            <v>1</v>
          </cell>
          <cell r="P86">
            <v>142334439.47546965</v>
          </cell>
          <cell r="Q86">
            <v>0.25959218292260067</v>
          </cell>
          <cell r="R86">
            <v>0.74040781707739933</v>
          </cell>
        </row>
        <row r="87">
          <cell r="B87" t="str">
            <v>20,001-50,000</v>
          </cell>
          <cell r="C87">
            <v>0.44457384121018961</v>
          </cell>
          <cell r="D87">
            <v>0</v>
          </cell>
          <cell r="E87">
            <v>0</v>
          </cell>
          <cell r="F87">
            <v>0.52538539575341459</v>
          </cell>
          <cell r="G87">
            <v>0</v>
          </cell>
          <cell r="H87">
            <v>0</v>
          </cell>
          <cell r="I87">
            <v>0</v>
          </cell>
          <cell r="J87">
            <v>3.0040763036395728E-2</v>
          </cell>
          <cell r="K87">
            <v>0</v>
          </cell>
          <cell r="L87">
            <v>0</v>
          </cell>
          <cell r="M87">
            <v>0</v>
          </cell>
          <cell r="N87">
            <v>0</v>
          </cell>
          <cell r="O87">
            <v>1</v>
          </cell>
          <cell r="P87">
            <v>150479652.53202388</v>
          </cell>
          <cell r="Q87">
            <v>0.52538539575341459</v>
          </cell>
          <cell r="R87">
            <v>0.47461460424658541</v>
          </cell>
        </row>
        <row r="88">
          <cell r="B88" t="str">
            <v>100,001+</v>
          </cell>
          <cell r="C88">
            <v>0</v>
          </cell>
          <cell r="D88">
            <v>0</v>
          </cell>
          <cell r="E88">
            <v>0</v>
          </cell>
          <cell r="F88">
            <v>1</v>
          </cell>
          <cell r="G88">
            <v>0</v>
          </cell>
          <cell r="H88">
            <v>0</v>
          </cell>
          <cell r="I88">
            <v>0</v>
          </cell>
          <cell r="J88">
            <v>0</v>
          </cell>
          <cell r="K88">
            <v>0</v>
          </cell>
          <cell r="L88">
            <v>0</v>
          </cell>
          <cell r="M88">
            <v>0</v>
          </cell>
          <cell r="N88">
            <v>0</v>
          </cell>
          <cell r="O88">
            <v>1</v>
          </cell>
          <cell r="P88">
            <v>29532449.302067615</v>
          </cell>
          <cell r="Q88">
            <v>1</v>
          </cell>
          <cell r="R88">
            <v>0</v>
          </cell>
        </row>
        <row r="89">
          <cell r="C89">
            <v>0</v>
          </cell>
          <cell r="D89">
            <v>0</v>
          </cell>
          <cell r="E89">
            <v>0</v>
          </cell>
          <cell r="F89">
            <v>0.60623284948217304</v>
          </cell>
          <cell r="G89">
            <v>0</v>
          </cell>
          <cell r="H89">
            <v>0</v>
          </cell>
          <cell r="I89">
            <v>0</v>
          </cell>
          <cell r="J89">
            <v>0</v>
          </cell>
          <cell r="K89">
            <v>0</v>
          </cell>
          <cell r="L89">
            <v>7.8006315859590558E-2</v>
          </cell>
          <cell r="M89">
            <v>0</v>
          </cell>
          <cell r="N89">
            <v>0.31576083465823634</v>
          </cell>
          <cell r="O89">
            <v>1</v>
          </cell>
          <cell r="P89">
            <v>124562026.1368593</v>
          </cell>
          <cell r="Q89">
            <v>0.60623284948217304</v>
          </cell>
          <cell r="R89">
            <v>0.39376715051782696</v>
          </cell>
        </row>
        <row r="90">
          <cell r="C90">
            <v>0</v>
          </cell>
          <cell r="D90">
            <v>0</v>
          </cell>
          <cell r="E90">
            <v>0</v>
          </cell>
          <cell r="F90">
            <v>0.25284882715292539</v>
          </cell>
          <cell r="G90">
            <v>9.15963886801789E-2</v>
          </cell>
          <cell r="H90">
            <v>5.0434425613117444E-2</v>
          </cell>
          <cell r="I90">
            <v>0</v>
          </cell>
          <cell r="J90">
            <v>0.60086537417955166</v>
          </cell>
          <cell r="K90">
            <v>4.2549843742266929E-3</v>
          </cell>
          <cell r="L90">
            <v>0</v>
          </cell>
          <cell r="M90">
            <v>0</v>
          </cell>
          <cell r="N90">
            <v>0</v>
          </cell>
          <cell r="O90">
            <v>1</v>
          </cell>
          <cell r="P90">
            <v>226752622.27380022</v>
          </cell>
          <cell r="Q90">
            <v>0.25284882715292539</v>
          </cell>
          <cell r="R90">
            <v>0.74715117284707455</v>
          </cell>
        </row>
        <row r="91">
          <cell r="C91">
            <v>9.1376585173836206E-2</v>
          </cell>
          <cell r="D91">
            <v>4.3578166262721339E-2</v>
          </cell>
          <cell r="E91">
            <v>1.5647501421037862E-2</v>
          </cell>
          <cell r="F91">
            <v>0.36751344938564412</v>
          </cell>
          <cell r="G91">
            <v>0.12676686309729684</v>
          </cell>
          <cell r="H91">
            <v>7.9239003385834128E-4</v>
          </cell>
          <cell r="I91">
            <v>1.6904134041812836E-2</v>
          </cell>
          <cell r="J91">
            <v>2.4251816992745853E-2</v>
          </cell>
          <cell r="K91">
            <v>3.4260457436102294E-2</v>
          </cell>
          <cell r="L91">
            <v>7.4496258356358891E-3</v>
          </cell>
          <cell r="M91">
            <v>1.3534357178331009E-5</v>
          </cell>
          <cell r="N91">
            <v>0.27144547596213026</v>
          </cell>
          <cell r="O91">
            <v>1</v>
          </cell>
          <cell r="P91">
            <v>197062347.57176718</v>
          </cell>
          <cell r="Q91">
            <v>0.36751344938564412</v>
          </cell>
          <cell r="R91">
            <v>0.63248655061435588</v>
          </cell>
        </row>
        <row r="93">
          <cell r="B93" t="str">
            <v>(All)</v>
          </cell>
        </row>
        <row r="94">
          <cell r="B94" t="str">
            <v>(All)</v>
          </cell>
        </row>
        <row r="95">
          <cell r="B95" t="str">
            <v>(All)</v>
          </cell>
        </row>
        <row r="96">
          <cell r="B96" t="str">
            <v>(All)</v>
          </cell>
        </row>
        <row r="97">
          <cell r="B97" t="str">
            <v>(All)</v>
          </cell>
        </row>
        <row r="98">
          <cell r="B98" t="str">
            <v>2004-2013</v>
          </cell>
        </row>
        <row r="100">
          <cell r="C100" t="str">
            <v>Column Labels</v>
          </cell>
          <cell r="O100" t="str">
            <v>Heat Type Final</v>
          </cell>
        </row>
        <row r="101">
          <cell r="B101" t="str">
            <v>Size_Group</v>
          </cell>
          <cell r="C101" t="str">
            <v>Electricity</v>
          </cell>
          <cell r="D101" t="str">
            <v>Natural Gas</v>
          </cell>
          <cell r="E101" t="str">
            <v>Grand Total</v>
          </cell>
          <cell r="F101" t="str">
            <v>Total SF</v>
          </cell>
        </row>
        <row r="102">
          <cell r="C102">
            <v>0.19127215823254617</v>
          </cell>
          <cell r="D102">
            <v>0.80872784176745371</v>
          </cell>
          <cell r="E102">
            <v>1</v>
          </cell>
          <cell r="F102">
            <v>323583577.89067554</v>
          </cell>
          <cell r="J102" t="str">
            <v>Elect Share</v>
          </cell>
          <cell r="K102" t="str">
            <v>NG Share</v>
          </cell>
          <cell r="L102" t="str">
            <v>HP</v>
          </cell>
          <cell r="M102" t="str">
            <v>Elect</v>
          </cell>
          <cell r="P102" t="str">
            <v>NG</v>
          </cell>
          <cell r="Q102" t="str">
            <v>Elect</v>
          </cell>
          <cell r="R102" t="str">
            <v>HP</v>
          </cell>
        </row>
        <row r="103">
          <cell r="B103" t="str">
            <v>&lt;5,001</v>
          </cell>
          <cell r="C103">
            <v>0.34120957993445039</v>
          </cell>
          <cell r="D103">
            <v>0.65879042006554966</v>
          </cell>
          <cell r="E103">
            <v>1</v>
          </cell>
          <cell r="F103">
            <v>9815889.4471183456</v>
          </cell>
          <cell r="I103" t="str">
            <v>Assembly</v>
          </cell>
          <cell r="J103">
            <v>0.19127215823254617</v>
          </cell>
          <cell r="K103">
            <v>0.80872784176745371</v>
          </cell>
          <cell r="L103">
            <v>0.50965114798682787</v>
          </cell>
          <cell r="M103">
            <v>0.49034885201317213</v>
          </cell>
          <cell r="O103" t="str">
            <v>Large Off</v>
          </cell>
          <cell r="P103">
            <v>0.80872784176745371</v>
          </cell>
          <cell r="Q103">
            <v>9.379008321141083E-2</v>
          </cell>
          <cell r="R103">
            <v>9.7482075021135345E-2</v>
          </cell>
        </row>
        <row r="104">
          <cell r="B104" t="str">
            <v>5,001-20,000</v>
          </cell>
          <cell r="C104">
            <v>0.20553132715572342</v>
          </cell>
          <cell r="D104">
            <v>0.79446867284427658</v>
          </cell>
          <cell r="E104">
            <v>1</v>
          </cell>
          <cell r="F104">
            <v>16084444.905748043</v>
          </cell>
          <cell r="I104" t="str">
            <v>Supermarket</v>
          </cell>
          <cell r="J104">
            <v>6.8914388415774033E-2</v>
          </cell>
          <cell r="K104">
            <v>0.93108561158422598</v>
          </cell>
          <cell r="L104">
            <v>0.17084052379262782</v>
          </cell>
          <cell r="M104">
            <v>0.82915947620737218</v>
          </cell>
          <cell r="O104" t="str">
            <v>Medium Off</v>
          </cell>
          <cell r="P104">
            <v>0.93108561158422598</v>
          </cell>
          <cell r="Q104">
            <v>5.7141018201974592E-2</v>
          </cell>
          <cell r="R104">
            <v>1.1773370213799438E-2</v>
          </cell>
        </row>
        <row r="105">
          <cell r="B105" t="str">
            <v>20,001-50,000</v>
          </cell>
          <cell r="C105">
            <v>2.9445627872964144E-2</v>
          </cell>
          <cell r="D105">
            <v>0.97055437212703577</v>
          </cell>
          <cell r="E105">
            <v>1</v>
          </cell>
          <cell r="F105">
            <v>23241500.137925949</v>
          </cell>
          <cell r="I105" t="str">
            <v>Minimart</v>
          </cell>
          <cell r="J105">
            <v>0.34120957993445039</v>
          </cell>
          <cell r="K105">
            <v>0.65879042006554966</v>
          </cell>
          <cell r="L105">
            <v>0.81377752302949691</v>
          </cell>
          <cell r="M105">
            <v>0.18622247697050309</v>
          </cell>
          <cell r="O105" t="str">
            <v>Small Off</v>
          </cell>
          <cell r="P105">
            <v>0.65879042006554966</v>
          </cell>
          <cell r="Q105">
            <v>6.3540893141458221E-2</v>
          </cell>
          <cell r="R105">
            <v>0.27766868679299217</v>
          </cell>
        </row>
        <row r="106">
          <cell r="B106" t="str">
            <v>50,001-100,000</v>
          </cell>
          <cell r="C106">
            <v>0</v>
          </cell>
          <cell r="D106">
            <v>1</v>
          </cell>
          <cell r="E106">
            <v>1</v>
          </cell>
          <cell r="F106">
            <v>18575140.114893399</v>
          </cell>
          <cell r="I106" t="str">
            <v>Hospital</v>
          </cell>
          <cell r="J106">
            <v>0.69635535044967534</v>
          </cell>
          <cell r="K106">
            <v>0.30364464955032466</v>
          </cell>
          <cell r="L106">
            <v>0.25160789616687884</v>
          </cell>
          <cell r="M106">
            <v>0.74839210383312116</v>
          </cell>
          <cell r="O106" t="str">
            <v>Xlarge Ret</v>
          </cell>
          <cell r="P106">
            <v>0.30364464955032466</v>
          </cell>
          <cell r="Q106">
            <v>0.52114684573848291</v>
          </cell>
          <cell r="R106">
            <v>0.17520850471119245</v>
          </cell>
        </row>
        <row r="107">
          <cell r="C107">
            <v>0.79019796385281693</v>
          </cell>
          <cell r="D107">
            <v>0.20980203614718312</v>
          </cell>
          <cell r="E107">
            <v>1</v>
          </cell>
          <cell r="F107">
            <v>158846349.10849831</v>
          </cell>
          <cell r="I107" t="str">
            <v>Lodging</v>
          </cell>
          <cell r="J107">
            <v>0.79019796385281693</v>
          </cell>
          <cell r="K107">
            <v>0.20980203614718312</v>
          </cell>
          <cell r="L107">
            <v>0.18888064796136644</v>
          </cell>
          <cell r="M107">
            <v>0.8111193520386335</v>
          </cell>
          <cell r="O107" t="str">
            <v>Large Ret</v>
          </cell>
          <cell r="P107">
            <v>0.20980203614718312</v>
          </cell>
          <cell r="Q107">
            <v>0.64094486042254439</v>
          </cell>
          <cell r="R107">
            <v>0.14925310343027248</v>
          </cell>
        </row>
        <row r="108">
          <cell r="B108" t="str">
            <v>&lt;5,001</v>
          </cell>
          <cell r="C108">
            <v>0.46909449471346648</v>
          </cell>
          <cell r="D108">
            <v>0.53090550528653346</v>
          </cell>
          <cell r="E108">
            <v>1</v>
          </cell>
          <cell r="F108">
            <v>88922415.770519257</v>
          </cell>
          <cell r="I108" t="str">
            <v>Large Off</v>
          </cell>
          <cell r="J108">
            <v>0.57577270269147163</v>
          </cell>
          <cell r="K108">
            <v>0.42422729730852854</v>
          </cell>
          <cell r="L108">
            <v>2.4620135194388326E-2</v>
          </cell>
          <cell r="M108">
            <v>0.97537986480561178</v>
          </cell>
          <cell r="O108" t="str">
            <v>Medium Ret</v>
          </cell>
          <cell r="P108">
            <v>0.42422729730852854</v>
          </cell>
          <cell r="Q108">
            <v>0.56159710090996928</v>
          </cell>
          <cell r="R108">
            <v>1.4175601781502387E-2</v>
          </cell>
        </row>
        <row r="109">
          <cell r="B109" t="str">
            <v>5,001-20,000</v>
          </cell>
          <cell r="C109">
            <v>0.71327493880016912</v>
          </cell>
          <cell r="D109">
            <v>0.28672506119983077</v>
          </cell>
          <cell r="E109">
            <v>1</v>
          </cell>
          <cell r="F109">
            <v>154110090.46318847</v>
          </cell>
          <cell r="I109" t="str">
            <v>Medium Off</v>
          </cell>
          <cell r="J109">
            <v>0.55252560574833076</v>
          </cell>
          <cell r="K109">
            <v>0.44747439425166918</v>
          </cell>
          <cell r="L109">
            <v>0.63888505727240341</v>
          </cell>
          <cell r="M109">
            <v>0.36111494272759653</v>
          </cell>
          <cell r="O109" t="str">
            <v>Small Ret</v>
          </cell>
          <cell r="P109">
            <v>0.44747439425166918</v>
          </cell>
          <cell r="Q109">
            <v>0.19952525247533903</v>
          </cell>
          <cell r="R109">
            <v>0.35300035327299167</v>
          </cell>
        </row>
        <row r="110">
          <cell r="B110" t="str">
            <v>20,001-50,000</v>
          </cell>
          <cell r="C110">
            <v>0.34793939607281016</v>
          </cell>
          <cell r="D110">
            <v>0.6520606039271899</v>
          </cell>
          <cell r="E110">
            <v>1</v>
          </cell>
          <cell r="F110">
            <v>121088778.65134136</v>
          </cell>
          <cell r="I110" t="str">
            <v>Small Off</v>
          </cell>
          <cell r="J110">
            <v>0.46909449471346648</v>
          </cell>
          <cell r="K110">
            <v>0.53090550528653346</v>
          </cell>
          <cell r="L110">
            <v>0.52490452587958114</v>
          </cell>
          <cell r="M110">
            <v>0.47509547412041886</v>
          </cell>
          <cell r="O110" t="str">
            <v>School K-12</v>
          </cell>
          <cell r="P110">
            <v>0.53090550528653346</v>
          </cell>
          <cell r="Q110">
            <v>0.22286467137317267</v>
          </cell>
          <cell r="R110">
            <v>0.24622982334029381</v>
          </cell>
        </row>
        <row r="111">
          <cell r="B111" t="str">
            <v>50,001-100,000</v>
          </cell>
          <cell r="C111">
            <v>0.3310637482934789</v>
          </cell>
          <cell r="D111">
            <v>0.66893625170652105</v>
          </cell>
          <cell r="E111">
            <v>1</v>
          </cell>
          <cell r="F111">
            <v>83126914.229880497</v>
          </cell>
          <cell r="I111" t="str">
            <v>Other</v>
          </cell>
          <cell r="J111">
            <v>0.26961498794069311</v>
          </cell>
          <cell r="K111">
            <v>0.73038501205930684</v>
          </cell>
          <cell r="L111">
            <v>0.41080265497275703</v>
          </cell>
          <cell r="M111">
            <v>0.58919734502724297</v>
          </cell>
          <cell r="O111" t="str">
            <v>University</v>
          </cell>
          <cell r="P111">
            <v>0.73038501205930684</v>
          </cell>
          <cell r="Q111">
            <v>0.15885643507420852</v>
          </cell>
          <cell r="R111">
            <v>0.1107585528664846</v>
          </cell>
        </row>
        <row r="112">
          <cell r="B112" t="str">
            <v>100,001+</v>
          </cell>
          <cell r="C112">
            <v>0.70180602518837931</v>
          </cell>
          <cell r="D112">
            <v>0.29819397481162069</v>
          </cell>
          <cell r="E112">
            <v>1</v>
          </cell>
          <cell r="F112">
            <v>161400968.09734377</v>
          </cell>
          <cell r="I112" t="str">
            <v>residential care</v>
          </cell>
          <cell r="J112">
            <v>0.69635535044967534</v>
          </cell>
          <cell r="K112">
            <v>0.30364464955032466</v>
          </cell>
          <cell r="L112">
            <v>0.25160789616687884</v>
          </cell>
          <cell r="M112">
            <v>0.74839210383312116</v>
          </cell>
          <cell r="O112" t="str">
            <v>Warehouse</v>
          </cell>
          <cell r="P112">
            <v>0.30364464955032466</v>
          </cell>
          <cell r="Q112">
            <v>0.52114684573848291</v>
          </cell>
          <cell r="R112">
            <v>0.17520850471119245</v>
          </cell>
        </row>
        <row r="113">
          <cell r="C113">
            <v>0.26961498794069311</v>
          </cell>
          <cell r="D113">
            <v>0.73038501205930684</v>
          </cell>
          <cell r="E113">
            <v>1</v>
          </cell>
          <cell r="F113">
            <v>274835103.70914501</v>
          </cell>
          <cell r="I113" t="str">
            <v>Restaurant</v>
          </cell>
          <cell r="J113">
            <v>0.11544136812444949</v>
          </cell>
          <cell r="K113">
            <v>0.88455863187555051</v>
          </cell>
          <cell r="L113">
            <v>0.8667911132476972</v>
          </cell>
          <cell r="M113">
            <v>0.1332088867523028</v>
          </cell>
          <cell r="O113" t="str">
            <v>Supermarket</v>
          </cell>
          <cell r="P113">
            <v>0.88455863187555051</v>
          </cell>
          <cell r="Q113">
            <v>1.5377816133020691E-2</v>
          </cell>
          <cell r="R113">
            <v>0.1000635519914288</v>
          </cell>
        </row>
        <row r="114">
          <cell r="C114">
            <v>0.69635535044967534</v>
          </cell>
          <cell r="D114">
            <v>0.30364464955032466</v>
          </cell>
          <cell r="E114">
            <v>1</v>
          </cell>
          <cell r="F114">
            <v>117631709.17964283</v>
          </cell>
          <cell r="I114" t="str">
            <v>Xlarge Ret</v>
          </cell>
          <cell r="J114">
            <v>3.7919073269764856E-3</v>
          </cell>
          <cell r="K114">
            <v>0.99620809267302346</v>
          </cell>
          <cell r="L114">
            <v>1</v>
          </cell>
          <cell r="M114">
            <v>0</v>
          </cell>
          <cell r="O114" t="str">
            <v>MiniMart</v>
          </cell>
          <cell r="P114">
            <v>0.99620809267302346</v>
          </cell>
          <cell r="Q114">
            <v>0</v>
          </cell>
          <cell r="R114">
            <v>3.7919073269764856E-3</v>
          </cell>
        </row>
        <row r="115">
          <cell r="C115">
            <v>0.11544136812444949</v>
          </cell>
          <cell r="D115">
            <v>0.88455863187555051</v>
          </cell>
          <cell r="E115">
            <v>1</v>
          </cell>
          <cell r="F115">
            <v>47431959.763809502</v>
          </cell>
          <cell r="I115" t="str">
            <v>Large Ret</v>
          </cell>
          <cell r="J115">
            <v>0.11633093892826991</v>
          </cell>
          <cell r="K115">
            <v>0.88366906107173016</v>
          </cell>
          <cell r="L115">
            <v>0.52538539575341459</v>
          </cell>
          <cell r="M115">
            <v>0.47461460424658541</v>
          </cell>
          <cell r="O115" t="str">
            <v>Restaurant</v>
          </cell>
          <cell r="P115">
            <v>0.88366906107173016</v>
          </cell>
          <cell r="Q115">
            <v>5.5212362541074519E-2</v>
          </cell>
          <cell r="R115">
            <v>6.1118576387195395E-2</v>
          </cell>
        </row>
        <row r="116">
          <cell r="B116" t="str">
            <v>&lt;5,001</v>
          </cell>
          <cell r="C116">
            <v>0.25807376864155529</v>
          </cell>
          <cell r="D116">
            <v>0.74192623135844471</v>
          </cell>
          <cell r="E116">
            <v>1</v>
          </cell>
          <cell r="F116">
            <v>45229806.543296024</v>
          </cell>
          <cell r="I116" t="str">
            <v>Medium Ret</v>
          </cell>
          <cell r="J116">
            <v>0.46382631638129862</v>
          </cell>
          <cell r="K116">
            <v>0.53617368361870132</v>
          </cell>
          <cell r="L116">
            <v>0.25959218292260067</v>
          </cell>
          <cell r="M116">
            <v>0.74040781707739933</v>
          </cell>
          <cell r="O116" t="str">
            <v>Lodging</v>
          </cell>
          <cell r="P116">
            <v>0.53617368361870132</v>
          </cell>
          <cell r="Q116">
            <v>0.34342063041492848</v>
          </cell>
          <cell r="R116">
            <v>0.12040568596637012</v>
          </cell>
        </row>
        <row r="117">
          <cell r="B117" t="str">
            <v>5,001-20,000</v>
          </cell>
          <cell r="C117">
            <v>0.46382631638129862</v>
          </cell>
          <cell r="D117">
            <v>0.53617368361870132</v>
          </cell>
          <cell r="E117">
            <v>1</v>
          </cell>
          <cell r="F117">
            <v>142334439.47546965</v>
          </cell>
          <cell r="I117" t="str">
            <v>Small Ret</v>
          </cell>
          <cell r="J117">
            <v>0.25807376864155529</v>
          </cell>
          <cell r="K117">
            <v>0.74192623135844471</v>
          </cell>
          <cell r="L117">
            <v>0.6004457335185307</v>
          </cell>
          <cell r="M117">
            <v>0.3995542664814693</v>
          </cell>
          <cell r="O117" t="str">
            <v>Hospital</v>
          </cell>
          <cell r="P117">
            <v>0.74192623135844471</v>
          </cell>
          <cell r="Q117">
            <v>0.10311447532768504</v>
          </cell>
          <cell r="R117">
            <v>0.15495929331387026</v>
          </cell>
        </row>
        <row r="118">
          <cell r="B118" t="str">
            <v>20,001-50,000</v>
          </cell>
          <cell r="C118">
            <v>0.11633093892826991</v>
          </cell>
          <cell r="D118">
            <v>0.88366906107173016</v>
          </cell>
          <cell r="E118">
            <v>1</v>
          </cell>
          <cell r="F118">
            <v>150479652.53202388</v>
          </cell>
          <cell r="I118" t="str">
            <v>School K-12</v>
          </cell>
          <cell r="J118">
            <v>1.4242837102056283E-2</v>
          </cell>
          <cell r="K118">
            <v>0.98575716289794368</v>
          </cell>
          <cell r="L118">
            <v>0.60623284948217304</v>
          </cell>
          <cell r="M118">
            <v>0.39376715051782696</v>
          </cell>
          <cell r="O118" t="str">
            <v>Residential Care</v>
          </cell>
          <cell r="P118">
            <v>0.98575716289794368</v>
          </cell>
          <cell r="Q118">
            <v>5.6083613809662864E-3</v>
          </cell>
          <cell r="R118">
            <v>8.6344757210899958E-3</v>
          </cell>
        </row>
        <row r="119">
          <cell r="B119" t="str">
            <v>100,001+</v>
          </cell>
          <cell r="C119">
            <v>3.7919073269764856E-3</v>
          </cell>
          <cell r="D119">
            <v>0.99620809267302346</v>
          </cell>
          <cell r="E119">
            <v>1</v>
          </cell>
          <cell r="F119">
            <v>29532449.302067615</v>
          </cell>
          <cell r="I119" t="str">
            <v>University</v>
          </cell>
          <cell r="J119">
            <v>1.4242837102056283E-2</v>
          </cell>
          <cell r="K119">
            <v>0.98575716289794368</v>
          </cell>
          <cell r="L119">
            <v>0.60623284948217304</v>
          </cell>
          <cell r="M119">
            <v>0.39376715051782696</v>
          </cell>
          <cell r="O119" t="str">
            <v>Assembly</v>
          </cell>
          <cell r="P119">
            <v>0.98575716289794368</v>
          </cell>
          <cell r="Q119">
            <v>5.6083613809662864E-3</v>
          </cell>
          <cell r="R119">
            <v>8.6344757210899958E-3</v>
          </cell>
        </row>
      </sheetData>
      <sheetData sheetId="20">
        <row r="11">
          <cell r="B11" t="str">
            <v>Compressed Air</v>
          </cell>
          <cell r="C11" t="str">
            <v>Compressed Air System Improvements</v>
          </cell>
          <cell r="D11" t="str">
            <v>Compressors</v>
          </cell>
        </row>
        <row r="12">
          <cell r="B12" t="str">
            <v>Compressed Air</v>
          </cell>
          <cell r="C12" t="str">
            <v>Compressed Air System Improvements</v>
          </cell>
          <cell r="D12" t="str">
            <v>Interactive Compressed Air System Supply/Demand Improvements</v>
          </cell>
        </row>
        <row r="13">
          <cell r="B13" t="str">
            <v>Compressed Air</v>
          </cell>
          <cell r="C13" t="str">
            <v>Heat Recovery</v>
          </cell>
          <cell r="D13" t="str">
            <v>Heat Recovery Improvements</v>
          </cell>
        </row>
        <row r="14">
          <cell r="B14" t="str">
            <v>HVAC</v>
          </cell>
          <cell r="C14" t="str">
            <v>HVAC System Improvements</v>
          </cell>
          <cell r="D14" t="str">
            <v>Interactive HVAC System Improvements</v>
          </cell>
        </row>
        <row r="15">
          <cell r="B15" t="str">
            <v>Irrigation</v>
          </cell>
          <cell r="C15" t="str">
            <v>Center Pivot System and Equipment</v>
          </cell>
          <cell r="D15" t="str">
            <v>Center Pivot Conversions</v>
          </cell>
        </row>
        <row r="16">
          <cell r="B16" t="str">
            <v>Irrigation</v>
          </cell>
          <cell r="C16" t="str">
            <v>Center Pivot System and Equipment</v>
          </cell>
          <cell r="D16" t="str">
            <v>Reduce System Friction Head</v>
          </cell>
        </row>
        <row r="17">
          <cell r="B17" t="str">
            <v>Irrigation</v>
          </cell>
          <cell r="C17" t="str">
            <v>Center Pivot System and Equipment</v>
          </cell>
          <cell r="D17" t="str">
            <v xml:space="preserve">Reduce System Friction Head </v>
          </cell>
        </row>
        <row r="18">
          <cell r="B18" t="str">
            <v>Irrigation</v>
          </cell>
          <cell r="C18" t="str">
            <v>Center Pivot System and Equipment</v>
          </cell>
          <cell r="D18" t="str">
            <v>Reduce System Leakage</v>
          </cell>
        </row>
        <row r="19">
          <cell r="B19" t="str">
            <v>Irrigation</v>
          </cell>
          <cell r="C19" t="str">
            <v>Center Pivot System and Equipment</v>
          </cell>
          <cell r="D19" t="str">
            <v>Reduce System Lift</v>
          </cell>
        </row>
        <row r="20">
          <cell r="B20" t="str">
            <v>Irrigation</v>
          </cell>
          <cell r="C20" t="str">
            <v>Center Pivot System and Equipment</v>
          </cell>
          <cell r="D20" t="str">
            <v>System Water Delivery Improvements</v>
          </cell>
        </row>
        <row r="21">
          <cell r="B21" t="str">
            <v>Irrigation</v>
          </cell>
          <cell r="C21" t="str">
            <v>Discharge Fitting Equipment</v>
          </cell>
          <cell r="D21" t="str">
            <v>Drop Installation for Spray Heads and Pressure Regulators</v>
          </cell>
        </row>
        <row r="22">
          <cell r="B22" t="str">
            <v>Irrigation</v>
          </cell>
          <cell r="C22" t="str">
            <v>Discharge Fitting Equipment</v>
          </cell>
          <cell r="D22" t="str">
            <v>Flow Control Nozzles and Diffuser</v>
          </cell>
        </row>
        <row r="23">
          <cell r="B23" t="str">
            <v>Irrigation</v>
          </cell>
          <cell r="C23" t="str">
            <v>Discharge Fitting Equipment</v>
          </cell>
          <cell r="D23" t="str">
            <v>Impact Sprinkler Heads</v>
          </cell>
        </row>
        <row r="24">
          <cell r="B24" t="str">
            <v>Irrigation</v>
          </cell>
          <cell r="C24" t="str">
            <v>Discharge Fitting Equipment</v>
          </cell>
          <cell r="D24" t="str">
            <v>Low Angle Heads</v>
          </cell>
        </row>
        <row r="25">
          <cell r="B25" t="str">
            <v>Irrigation</v>
          </cell>
          <cell r="C25" t="str">
            <v>Discharge Fitting Equipment</v>
          </cell>
          <cell r="D25" t="str">
            <v>Low Pressure End guns/Big guns</v>
          </cell>
        </row>
        <row r="26">
          <cell r="B26" t="str">
            <v>Irrigation</v>
          </cell>
          <cell r="C26" t="str">
            <v>Discharge Fitting Equipment</v>
          </cell>
          <cell r="D26" t="str">
            <v>Nozzle Replacement</v>
          </cell>
        </row>
        <row r="27">
          <cell r="B27" t="str">
            <v>Irrigation</v>
          </cell>
          <cell r="C27" t="str">
            <v>Discharge Fitting Equipment</v>
          </cell>
          <cell r="D27" t="str">
            <v>Spray Heads</v>
          </cell>
        </row>
        <row r="28">
          <cell r="B28" t="str">
            <v>Irrigation</v>
          </cell>
          <cell r="C28" t="str">
            <v>Handmove and Sideroll System and Equipment</v>
          </cell>
          <cell r="D28" t="str">
            <v>Reduce System Friction Head</v>
          </cell>
        </row>
        <row r="29">
          <cell r="B29" t="str">
            <v>Irrigation</v>
          </cell>
          <cell r="C29" t="str">
            <v>Handmove and Sideroll System and Equipment</v>
          </cell>
          <cell r="D29" t="str">
            <v>Reduce System Leakage</v>
          </cell>
        </row>
        <row r="30">
          <cell r="B30" t="str">
            <v>Irrigation</v>
          </cell>
          <cell r="C30" t="str">
            <v>Handmove and Sideroll System and Equipment</v>
          </cell>
          <cell r="D30" t="str">
            <v>Reduce System Lift</v>
          </cell>
        </row>
        <row r="31">
          <cell r="B31" t="str">
            <v>Irrigation</v>
          </cell>
          <cell r="C31" t="str">
            <v>Handmove and Sideroll System and Equipment</v>
          </cell>
          <cell r="D31" t="str">
            <v>System Water Delivery Improvements</v>
          </cell>
        </row>
        <row r="32">
          <cell r="B32" t="str">
            <v>Irrigation</v>
          </cell>
          <cell r="C32" t="str">
            <v>Hardware</v>
          </cell>
          <cell r="D32" t="str">
            <v>Drain Replacement</v>
          </cell>
        </row>
        <row r="33">
          <cell r="B33" t="str">
            <v>Irrigation</v>
          </cell>
          <cell r="C33" t="str">
            <v>Hardware</v>
          </cell>
          <cell r="D33" t="str">
            <v>Drop Tube/Hose Extension</v>
          </cell>
        </row>
        <row r="34">
          <cell r="B34" t="str">
            <v>Irrigation</v>
          </cell>
          <cell r="C34" t="str">
            <v>Hardware</v>
          </cell>
          <cell r="D34" t="str">
            <v>Gasket Replacement</v>
          </cell>
        </row>
        <row r="35">
          <cell r="B35" t="str">
            <v>Irrigation</v>
          </cell>
          <cell r="C35" t="str">
            <v>Hardware</v>
          </cell>
          <cell r="D35" t="str">
            <v>Goose Necks</v>
          </cell>
        </row>
        <row r="36">
          <cell r="B36" t="str">
            <v>Irrigation</v>
          </cell>
          <cell r="C36" t="str">
            <v>Hardware</v>
          </cell>
          <cell r="D36" t="str">
            <v>Hub Replacement</v>
          </cell>
        </row>
        <row r="37">
          <cell r="B37" t="str">
            <v>Irrigation</v>
          </cell>
          <cell r="C37" t="str">
            <v>Hardware</v>
          </cell>
          <cell r="D37" t="str">
            <v>Leveler Rebuild</v>
          </cell>
        </row>
        <row r="38">
          <cell r="B38" t="str">
            <v>Irrigation</v>
          </cell>
          <cell r="C38" t="str">
            <v>Hardware</v>
          </cell>
          <cell r="D38" t="str">
            <v>Line Repairs</v>
          </cell>
        </row>
        <row r="39">
          <cell r="B39" t="str">
            <v>Irrigation</v>
          </cell>
          <cell r="C39" t="str">
            <v>Hardware</v>
          </cell>
          <cell r="D39" t="str">
            <v>Multi-Trajectory Sprays</v>
          </cell>
        </row>
        <row r="40">
          <cell r="B40" t="str">
            <v>Irrigation</v>
          </cell>
          <cell r="C40" t="str">
            <v>Hardware</v>
          </cell>
          <cell r="D40" t="str">
            <v>Nozzle Replacement</v>
          </cell>
        </row>
        <row r="41">
          <cell r="B41" t="str">
            <v>Irrigation</v>
          </cell>
          <cell r="C41" t="str">
            <v>Hardware</v>
          </cell>
          <cell r="D41" t="str">
            <v>Pipe Repair</v>
          </cell>
        </row>
        <row r="42">
          <cell r="B42" t="str">
            <v>Irrigation</v>
          </cell>
          <cell r="C42" t="str">
            <v>Hardware</v>
          </cell>
          <cell r="D42" t="str">
            <v>Regulator Replacement</v>
          </cell>
        </row>
        <row r="43">
          <cell r="B43" t="str">
            <v>Irrigation</v>
          </cell>
          <cell r="C43" t="str">
            <v>Hardware</v>
          </cell>
          <cell r="D43" t="str">
            <v>Sprinkler Replacements</v>
          </cell>
        </row>
        <row r="44">
          <cell r="B44" t="str">
            <v>Irrigation</v>
          </cell>
          <cell r="C44" t="str">
            <v>Irrigation System Improvements</v>
          </cell>
          <cell r="D44" t="str">
            <v>Change in Water Source</v>
          </cell>
        </row>
        <row r="45">
          <cell r="B45" t="str">
            <v>Irrigation</v>
          </cell>
          <cell r="C45" t="str">
            <v>Irrigation System Improvements</v>
          </cell>
          <cell r="D45" t="str">
            <v>Irrigation System Improvements</v>
          </cell>
        </row>
        <row r="46">
          <cell r="B46" t="str">
            <v>Irrigation</v>
          </cell>
          <cell r="C46" t="str">
            <v>Irrigation System Improvements</v>
          </cell>
          <cell r="D46" t="str">
            <v>Reduce Delivery System Leakage</v>
          </cell>
        </row>
        <row r="47">
          <cell r="B47" t="str">
            <v>Irrigation</v>
          </cell>
          <cell r="C47" t="str">
            <v>Mainline System and Equipment</v>
          </cell>
          <cell r="D47" t="str">
            <v>Interactive Mainline System and Equipment Improvements</v>
          </cell>
        </row>
        <row r="48">
          <cell r="B48" t="str">
            <v>Irrigation</v>
          </cell>
          <cell r="C48" t="str">
            <v>Mainline System and Equipment</v>
          </cell>
          <cell r="D48" t="str">
            <v>Mainline System Pump Improvements</v>
          </cell>
        </row>
        <row r="49">
          <cell r="B49" t="str">
            <v>Irrigation</v>
          </cell>
          <cell r="C49" t="str">
            <v>Mainline System and Equipment</v>
          </cell>
          <cell r="D49" t="str">
            <v>Reduce Friction Loss</v>
          </cell>
        </row>
        <row r="50">
          <cell r="B50" t="str">
            <v>Irrigation</v>
          </cell>
          <cell r="C50" t="str">
            <v>Mainline System and Equipment</v>
          </cell>
          <cell r="D50" t="str">
            <v xml:space="preserve">Reduce System Friction Head </v>
          </cell>
        </row>
        <row r="51">
          <cell r="B51" t="str">
            <v>Irrigation</v>
          </cell>
          <cell r="C51" t="str">
            <v>Mainline System and Equipment</v>
          </cell>
          <cell r="D51" t="str">
            <v>Reduce System Leakage</v>
          </cell>
        </row>
        <row r="52">
          <cell r="B52" t="str">
            <v>Irrigation</v>
          </cell>
          <cell r="C52" t="str">
            <v>Mainline System and Equipment</v>
          </cell>
          <cell r="D52" t="str">
            <v>Reduce System Lift</v>
          </cell>
        </row>
        <row r="53">
          <cell r="B53" t="str">
            <v>Irrigation</v>
          </cell>
          <cell r="C53" t="str">
            <v>Mainline System and Equipment</v>
          </cell>
          <cell r="D53" t="str">
            <v>System Water Delivery Improvements</v>
          </cell>
        </row>
        <row r="54">
          <cell r="B54" t="str">
            <v>Irrigation</v>
          </cell>
          <cell r="C54" t="str">
            <v>Pumps and Fans</v>
          </cell>
          <cell r="D54" t="str">
            <v>Centrifugal Pump System Improvements</v>
          </cell>
        </row>
        <row r="55">
          <cell r="B55" t="str">
            <v>Irrigation</v>
          </cell>
          <cell r="C55" t="str">
            <v>Pumps and Fans</v>
          </cell>
          <cell r="D55" t="str">
            <v>Pump Testing Service</v>
          </cell>
        </row>
        <row r="56">
          <cell r="B56" t="str">
            <v>Irrigation</v>
          </cell>
          <cell r="C56" t="str">
            <v>Pumps and Fans</v>
          </cell>
          <cell r="D56" t="str">
            <v>Turbine Pump System Improvements</v>
          </cell>
        </row>
        <row r="57">
          <cell r="B57" t="str">
            <v>Irrigation</v>
          </cell>
          <cell r="C57" t="str">
            <v>Pumps and Fans</v>
          </cell>
          <cell r="D57" t="str">
            <v>Vacuum Pump System Improvements</v>
          </cell>
        </row>
        <row r="58">
          <cell r="B58" t="str">
            <v>Irrigation</v>
          </cell>
          <cell r="C58" t="str">
            <v>Suction Fittings Equipment</v>
          </cell>
          <cell r="D58" t="str">
            <v>Reduce Cavitation</v>
          </cell>
        </row>
        <row r="59">
          <cell r="B59" t="str">
            <v>Irrigation</v>
          </cell>
          <cell r="C59" t="str">
            <v>Suction Fittings Equipment</v>
          </cell>
          <cell r="D59" t="str">
            <v xml:space="preserve">Reduce System Friction Head </v>
          </cell>
        </row>
        <row r="60">
          <cell r="B60" t="str">
            <v>Irrigation</v>
          </cell>
          <cell r="C60" t="str">
            <v>Suction Fittings Equipment</v>
          </cell>
          <cell r="D60" t="str">
            <v>Reduce System Leakage</v>
          </cell>
        </row>
        <row r="61">
          <cell r="B61" t="str">
            <v>Irrigation</v>
          </cell>
          <cell r="C61" t="str">
            <v>Suction Fittings Equipment</v>
          </cell>
          <cell r="D61" t="str">
            <v>Reduce System Lift</v>
          </cell>
        </row>
        <row r="62">
          <cell r="B62" t="str">
            <v>Irrigation</v>
          </cell>
          <cell r="C62" t="str">
            <v>Water Management</v>
          </cell>
          <cell r="D62" t="str">
            <v>Scientific Irrigation Scheduling</v>
          </cell>
        </row>
        <row r="63">
          <cell r="B63" t="str">
            <v>Lighting</v>
          </cell>
          <cell r="C63" t="str">
            <v>Delamping</v>
          </cell>
          <cell r="D63" t="str">
            <v>Delamping</v>
          </cell>
        </row>
        <row r="64">
          <cell r="B64" t="str">
            <v>Lighting</v>
          </cell>
          <cell r="C64" t="str">
            <v>Lamps/Ballasts/Fixtures</v>
          </cell>
          <cell r="D64" t="str">
            <v>Lamps/Ballasts</v>
          </cell>
        </row>
        <row r="65">
          <cell r="B65" t="str">
            <v>Lighting</v>
          </cell>
          <cell r="C65" t="str">
            <v>Lamps/Ballasts/Fixtures</v>
          </cell>
          <cell r="D65" t="str">
            <v>Lamps/Ballasts w/Controls</v>
          </cell>
        </row>
        <row r="66">
          <cell r="B66" t="str">
            <v>Lighting</v>
          </cell>
          <cell r="C66" t="str">
            <v>Lamps/Ballasts/Fixtures</v>
          </cell>
          <cell r="D66" t="str">
            <v>Lamps/Ballasts w/Delamping</v>
          </cell>
        </row>
        <row r="67">
          <cell r="B67" t="str">
            <v>Lighting</v>
          </cell>
          <cell r="C67" t="str">
            <v>Lamps/Ballasts/Fixtures</v>
          </cell>
          <cell r="D67" t="str">
            <v>Lamps/Ballasts w/Delamping and Controls</v>
          </cell>
        </row>
        <row r="68">
          <cell r="B68" t="str">
            <v>Lighting</v>
          </cell>
          <cell r="C68" t="str">
            <v>Lamps/Ballasts/Fixtures</v>
          </cell>
          <cell r="D68" t="str">
            <v>Lamps/Ballasts/Fixtures</v>
          </cell>
        </row>
        <row r="69">
          <cell r="B69" t="str">
            <v>Lighting</v>
          </cell>
          <cell r="C69" t="str">
            <v>Lamps/Ballasts/Fixtures</v>
          </cell>
          <cell r="D69" t="str">
            <v>Lamps/Ballasts/Fixtures w/Controls</v>
          </cell>
        </row>
        <row r="70">
          <cell r="B70" t="str">
            <v>Lighting</v>
          </cell>
          <cell r="C70" t="str">
            <v>Lamps/Ballasts/Fixtures</v>
          </cell>
          <cell r="D70" t="str">
            <v>Lamps/Ballasts/Fixtures w/Delamping</v>
          </cell>
        </row>
        <row r="71">
          <cell r="B71" t="str">
            <v>Lighting</v>
          </cell>
          <cell r="C71" t="str">
            <v>Lamps/Ballasts/Fixtures</v>
          </cell>
          <cell r="D71" t="str">
            <v>Lamps/Ballasts/Fixtures w/Delamping and Controls</v>
          </cell>
        </row>
        <row r="72">
          <cell r="B72" t="str">
            <v>Lighting</v>
          </cell>
          <cell r="C72" t="str">
            <v>Lamps/Ballasts/Fixtures</v>
          </cell>
          <cell r="D72" t="str">
            <v>Stall Lighting</v>
          </cell>
        </row>
        <row r="73">
          <cell r="B73" t="str">
            <v>Lighting</v>
          </cell>
          <cell r="C73" t="str">
            <v>Lighting Controls</v>
          </cell>
          <cell r="D73" t="str">
            <v>Control Panels</v>
          </cell>
        </row>
        <row r="74">
          <cell r="B74" t="str">
            <v>Lighting</v>
          </cell>
          <cell r="C74" t="str">
            <v>Lighting Controls</v>
          </cell>
          <cell r="D74" t="str">
            <v>Daylighting</v>
          </cell>
        </row>
        <row r="75">
          <cell r="B75" t="str">
            <v>Lighting</v>
          </cell>
          <cell r="C75" t="str">
            <v>Lighting Controls</v>
          </cell>
          <cell r="D75" t="str">
            <v>Occupancy Sensors</v>
          </cell>
        </row>
        <row r="76">
          <cell r="B76" t="str">
            <v>Lighting</v>
          </cell>
          <cell r="C76" t="str">
            <v>Lighting Controls</v>
          </cell>
          <cell r="D76" t="str">
            <v>Photocells</v>
          </cell>
        </row>
        <row r="77">
          <cell r="B77" t="str">
            <v>Lighting</v>
          </cell>
          <cell r="C77" t="str">
            <v>Lighting Controls</v>
          </cell>
          <cell r="D77" t="str">
            <v>Timers</v>
          </cell>
        </row>
        <row r="78">
          <cell r="B78" t="str">
            <v>Lighting</v>
          </cell>
          <cell r="C78" t="str">
            <v>Signs and Signals</v>
          </cell>
          <cell r="D78" t="str">
            <v>LED Exit Signs</v>
          </cell>
        </row>
        <row r="79">
          <cell r="B79" t="str">
            <v>Motors/Drives</v>
          </cell>
          <cell r="C79" t="str">
            <v>Compressed Air System Improvements</v>
          </cell>
          <cell r="D79" t="str">
            <v>Motors/Drives Installation on Compressed Air System</v>
          </cell>
        </row>
        <row r="80">
          <cell r="B80" t="str">
            <v>Motors/Drives</v>
          </cell>
          <cell r="C80" t="str">
            <v>Motors</v>
          </cell>
          <cell r="D80" t="str">
            <v>Motor Rewind</v>
          </cell>
        </row>
        <row r="81">
          <cell r="B81" t="str">
            <v>Motors/Drives</v>
          </cell>
          <cell r="C81" t="str">
            <v>Motors</v>
          </cell>
          <cell r="D81" t="str">
            <v>Motors</v>
          </cell>
        </row>
        <row r="82">
          <cell r="B82" t="str">
            <v>Motors/Drives</v>
          </cell>
          <cell r="C82" t="str">
            <v>Motors/Drives Controls</v>
          </cell>
          <cell r="D82" t="str">
            <v>Dairy Milking Machine Control Improvements (VFD)</v>
          </cell>
        </row>
        <row r="83">
          <cell r="B83" t="str">
            <v>Motors/Drives</v>
          </cell>
          <cell r="C83" t="str">
            <v>Motors/Drives Controls</v>
          </cell>
          <cell r="D83" t="str">
            <v>Electronically Commutated Motor (ECM)</v>
          </cell>
        </row>
        <row r="84">
          <cell r="B84" t="str">
            <v>Motors/Drives</v>
          </cell>
          <cell r="C84" t="str">
            <v>Motors/Drives Controls</v>
          </cell>
          <cell r="D84" t="str">
            <v>Energy Management Systems/System Controls</v>
          </cell>
        </row>
        <row r="85">
          <cell r="B85" t="str">
            <v>Motors/Drives</v>
          </cell>
          <cell r="C85" t="str">
            <v>Motors/Drives Controls</v>
          </cell>
          <cell r="D85" t="str">
            <v>Motors/Drives Control Improvements (non-VFD)</v>
          </cell>
        </row>
        <row r="86">
          <cell r="B86" t="str">
            <v>Motors/Drives</v>
          </cell>
          <cell r="C86" t="str">
            <v>Motors/Drives Controls</v>
          </cell>
          <cell r="D86" t="str">
            <v>Motors/Drives Control Improvements (VFD)</v>
          </cell>
        </row>
        <row r="87">
          <cell r="B87" t="str">
            <v>Motors/Drives</v>
          </cell>
          <cell r="C87" t="str">
            <v>Pumps and Fans</v>
          </cell>
          <cell r="D87" t="str">
            <v>Motors/Drives Installation on Fan System</v>
          </cell>
        </row>
        <row r="88">
          <cell r="B88" t="str">
            <v>Motors/Drives</v>
          </cell>
          <cell r="C88" t="str">
            <v>Pumps and Fans</v>
          </cell>
          <cell r="D88" t="str">
            <v>Motors/Drives Installation on Pump System</v>
          </cell>
        </row>
        <row r="89">
          <cell r="B89" t="str">
            <v>Motors/Drives</v>
          </cell>
          <cell r="C89" t="str">
            <v>Pumps and Fans</v>
          </cell>
          <cell r="D89" t="str">
            <v>Motors/Drives Installation on Vacuum Pumps</v>
          </cell>
        </row>
        <row r="90">
          <cell r="B90" t="str">
            <v>Process Loads</v>
          </cell>
          <cell r="C90" t="str">
            <v>Livestock Tanks</v>
          </cell>
          <cell r="D90" t="str">
            <v>Freeze Resistant Stock Tanks</v>
          </cell>
        </row>
        <row r="91">
          <cell r="B91" t="str">
            <v>Process Loads</v>
          </cell>
          <cell r="C91" t="str">
            <v>Process Loads System Improvements</v>
          </cell>
          <cell r="D91" t="str">
            <v>Interactive Process Loads System Improvements</v>
          </cell>
        </row>
        <row r="92">
          <cell r="B92" t="str">
            <v>Process Loads</v>
          </cell>
          <cell r="C92" t="str">
            <v>Pumps and Fans</v>
          </cell>
          <cell r="D92" t="str">
            <v>Centrifugal Pump System Improvements</v>
          </cell>
        </row>
        <row r="93">
          <cell r="B93" t="str">
            <v>Process Loads</v>
          </cell>
          <cell r="C93" t="str">
            <v>Pumps and Fans</v>
          </cell>
          <cell r="D93" t="str">
            <v>Fan System Improvements</v>
          </cell>
        </row>
        <row r="94">
          <cell r="B94" t="str">
            <v>Process Loads</v>
          </cell>
          <cell r="C94" t="str">
            <v>Pumps and Fans</v>
          </cell>
          <cell r="D94" t="str">
            <v>Pump System Improvements</v>
          </cell>
        </row>
        <row r="95">
          <cell r="B95" t="str">
            <v>Process Loads</v>
          </cell>
          <cell r="C95" t="str">
            <v>Pumps and Fans</v>
          </cell>
          <cell r="D95" t="str">
            <v>Turbine Pump System Improvements</v>
          </cell>
        </row>
        <row r="96">
          <cell r="B96" t="str">
            <v>Process Loads</v>
          </cell>
          <cell r="C96" t="str">
            <v>Pumps and Fans</v>
          </cell>
          <cell r="D96" t="str">
            <v>Vacuum Pump System Improvements</v>
          </cell>
        </row>
        <row r="97">
          <cell r="B97" t="str">
            <v>Refrigeration</v>
          </cell>
          <cell r="C97" t="str">
            <v>Dairy System Improvements</v>
          </cell>
          <cell r="D97" t="str">
            <v>Heat Recovery Improvements</v>
          </cell>
        </row>
        <row r="98">
          <cell r="B98" t="str">
            <v>Refrigeration</v>
          </cell>
          <cell r="C98" t="str">
            <v>Dairy System Improvements</v>
          </cell>
          <cell r="D98" t="str">
            <v>Plate Milk Pre-cooler</v>
          </cell>
        </row>
        <row r="99">
          <cell r="B99" t="str">
            <v>Refrigeration</v>
          </cell>
          <cell r="C99" t="str">
            <v>Heat Recovery</v>
          </cell>
          <cell r="D99" t="str">
            <v>Heat Recovery Improvements</v>
          </cell>
        </row>
        <row r="100">
          <cell r="B100" t="str">
            <v>Refrigeration</v>
          </cell>
          <cell r="C100" t="str">
            <v>Packaged Refrigeration</v>
          </cell>
          <cell r="D100" t="str">
            <v>Packaged Refrigeration System Improvements</v>
          </cell>
        </row>
        <row r="101">
          <cell r="B101" t="str">
            <v>Refrigeration</v>
          </cell>
          <cell r="C101" t="str">
            <v>Pumps and Fans</v>
          </cell>
          <cell r="D101" t="str">
            <v>Condensor Fan System Improvements</v>
          </cell>
        </row>
        <row r="102">
          <cell r="B102" t="str">
            <v>Refrigeration</v>
          </cell>
          <cell r="C102" t="str">
            <v>Pumps and Fans</v>
          </cell>
          <cell r="D102" t="str">
            <v>Evaporator Coil Fan System Improvements</v>
          </cell>
        </row>
        <row r="103">
          <cell r="B103" t="str">
            <v>Refrigeration</v>
          </cell>
          <cell r="C103" t="str">
            <v>Pumps and Fans</v>
          </cell>
          <cell r="D103" t="str">
            <v>Evaporator Fan System Improvements</v>
          </cell>
        </row>
        <row r="104">
          <cell r="B104" t="str">
            <v>Refrigeration</v>
          </cell>
          <cell r="C104" t="str">
            <v>Refrigeration System Controls</v>
          </cell>
          <cell r="D104" t="str">
            <v>Defrost Control Improvements</v>
          </cell>
        </row>
        <row r="105">
          <cell r="B105" t="str">
            <v>Refrigeration</v>
          </cell>
          <cell r="C105" t="str">
            <v>Refrigeration System Controls</v>
          </cell>
          <cell r="D105" t="str">
            <v>Refrigeration Control Improvements (non-VFD)</v>
          </cell>
        </row>
        <row r="106">
          <cell r="B106" t="str">
            <v>Refrigeration</v>
          </cell>
          <cell r="C106" t="str">
            <v>Refrigeration System Controls</v>
          </cell>
          <cell r="D106" t="str">
            <v>Refrigeration Control Improvements (VFD)</v>
          </cell>
        </row>
        <row r="107">
          <cell r="B107" t="str">
            <v>Refrigeration</v>
          </cell>
          <cell r="C107" t="str">
            <v>Refrigeration System Improvements</v>
          </cell>
          <cell r="D107" t="str">
            <v>Chiller Improvements</v>
          </cell>
        </row>
        <row r="108">
          <cell r="B108" t="str">
            <v>Refrigeration</v>
          </cell>
          <cell r="C108" t="str">
            <v>Refrigeration System Improvements</v>
          </cell>
          <cell r="D108" t="str">
            <v>Insulation</v>
          </cell>
        </row>
        <row r="109">
          <cell r="B109" t="str">
            <v>Refrigeration</v>
          </cell>
          <cell r="C109" t="str">
            <v>Refrigeration System Improvements</v>
          </cell>
          <cell r="D109" t="str">
            <v>Interactive Refrigeration System Improvements</v>
          </cell>
        </row>
        <row r="110">
          <cell r="B110" t="str">
            <v xml:space="preserve">Utility Distribution System </v>
          </cell>
          <cell r="C110" t="str">
            <v>Transformers</v>
          </cell>
          <cell r="D110" t="str">
            <v>De-Energization</v>
          </cell>
        </row>
        <row r="111">
          <cell r="B111" t="str">
            <v>Water Heating</v>
          </cell>
          <cell r="C111" t="str">
            <v>Heat Recovery</v>
          </cell>
          <cell r="D111" t="str">
            <v>Heat Recovery Improvements</v>
          </cell>
        </row>
        <row r="112">
          <cell r="B112" t="str">
            <v>Water Heating</v>
          </cell>
          <cell r="C112" t="str">
            <v>System Efficiency Improvements</v>
          </cell>
          <cell r="D112" t="str">
            <v>Insulation</v>
          </cell>
        </row>
        <row r="113">
          <cell r="B113" t="str">
            <v>Water Heating</v>
          </cell>
          <cell r="C113" t="str">
            <v>Water Heaters</v>
          </cell>
          <cell r="D113" t="str">
            <v>Water Heaters</v>
          </cell>
        </row>
        <row r="114">
          <cell r="B114" t="str">
            <v>Whole Bldg/Meter Level</v>
          </cell>
          <cell r="C114" t="str">
            <v>Whole Bldg/Meter Level System Improvements</v>
          </cell>
          <cell r="D114" t="str">
            <v>Interactive Whole Bldg/Meter Level System Improvements</v>
          </cell>
        </row>
        <row r="115">
          <cell r="B115" t="str">
            <v>Compressed Air</v>
          </cell>
          <cell r="C115" t="str">
            <v>Compressed Air System Controls</v>
          </cell>
          <cell r="D115" t="str">
            <v>Compressed Air Control Improvements (non-VFD)</v>
          </cell>
        </row>
        <row r="116">
          <cell r="B116" t="str">
            <v>Compressed Air</v>
          </cell>
          <cell r="C116" t="str">
            <v>Compressed Air System Controls</v>
          </cell>
          <cell r="D116" t="str">
            <v>Compressed Air Control Improvements (VFD)</v>
          </cell>
        </row>
        <row r="117">
          <cell r="B117" t="str">
            <v>Compressed Air</v>
          </cell>
          <cell r="C117" t="str">
            <v>Compressed Air System Improvements</v>
          </cell>
          <cell r="D117" t="str">
            <v>Compressed Air System Compressor Improvements (non-VFD)</v>
          </cell>
        </row>
        <row r="118">
          <cell r="B118" t="str">
            <v>Compressed Air</v>
          </cell>
          <cell r="C118" t="str">
            <v>Compressed Air System Improvements</v>
          </cell>
          <cell r="D118" t="str">
            <v>Compressed Air System Compressor Improvements (VFD)</v>
          </cell>
        </row>
        <row r="119">
          <cell r="B119" t="str">
            <v>Compressed Air</v>
          </cell>
          <cell r="C119" t="str">
            <v>Compressed Air System Improvements</v>
          </cell>
          <cell r="D119" t="str">
            <v>Compressed Air System Demand Side Improvements</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LOG"/>
      <sheetName val="Forecast Switchboard"/>
      <sheetName val="Lists&amp;Tables"/>
      <sheetName val="Res Forecast (Low)"/>
      <sheetName val="Res Forecast (Base Case)"/>
      <sheetName val="Res Forecast (High)"/>
      <sheetName val="Com Forecast (Low)"/>
      <sheetName val="Com Forecast (Base Case)"/>
      <sheetName val="Com Forecast (High)"/>
      <sheetName val="Ind Forecast (Low)"/>
      <sheetName val="Ind Forecast (Base Case)"/>
      <sheetName val="Ind Forecast (High)"/>
      <sheetName val="Ag Forecast (Low)"/>
      <sheetName val="Ag Forecast (Base Case)"/>
      <sheetName val="Ag Forecast (High)"/>
      <sheetName val="Pop Forecast (High)"/>
      <sheetName val="Pop Forecast (Base Case)"/>
      <sheetName val="Pop Forecast (Low)"/>
      <sheetName val="DEI (Base Case)"/>
      <sheetName val="Dairy Forecast (Base Case)"/>
      <sheetName val="Dairy Forecast (Low)"/>
      <sheetName val="Dairy Forecast (High)"/>
      <sheetName val="EV Forecast (Base Case)"/>
      <sheetName val="EV Forecast (Low)"/>
      <sheetName val="EV Forecast (High)"/>
      <sheetName val="Region Load (Base Case)"/>
      <sheetName val="Region Load (High)"/>
      <sheetName val="Region Load (Low)"/>
      <sheetName val="DataCenter Forecast (Base Case)"/>
      <sheetName val="DataCenter Forecast (High)"/>
      <sheetName val="DataCenter Forecast (Low)"/>
      <sheetName val="7P Forecasts D2"/>
      <sheetName val="Pop Forecast (High Case)"/>
      <sheetName val="Pop Forecast (Low Case)"/>
      <sheetName val="ProCost 6th Plan Inputs"/>
    </sheetNames>
    <definedNames>
      <definedName name="rng_ForecastColumnLookup" refersTo="='Forecast Switchboard'!$H$20:$AE$20"/>
      <definedName name="rng_ForecastRowLookup" refersTo="='Forecast Switchboard'!$G$21:$G$501"/>
      <definedName name="switch_ForecastScenario" refersTo="='Forecast Switchboard'!$H$3"/>
      <definedName name="switch_ForecastState" refersTo="='Forecast Switchboard'!$H$4"/>
      <definedName name="tbl_Forecast" refersTo="='Forecast Switchboard'!$H$21:$AE$501"/>
    </definedNames>
    <sheetDataSet>
      <sheetData sheetId="0"/>
      <sheetData sheetId="1">
        <row r="3">
          <cell r="H3" t="str">
            <v>Base</v>
          </cell>
        </row>
        <row r="4">
          <cell r="H4" t="str">
            <v>Region</v>
          </cell>
        </row>
        <row r="20">
          <cell r="H20" t="str">
            <v>Sector</v>
          </cell>
          <cell r="I20" t="str">
            <v>Building/Industry Type</v>
          </cell>
          <cell r="J20" t="str">
            <v>Vintage / Subcategory</v>
          </cell>
          <cell r="K20" t="str">
            <v>Forecast Units</v>
          </cell>
          <cell r="L20">
            <v>2016</v>
          </cell>
          <cell r="M20">
            <v>2017</v>
          </cell>
          <cell r="N20">
            <v>2018</v>
          </cell>
          <cell r="O20">
            <v>2019</v>
          </cell>
          <cell r="P20">
            <v>2020</v>
          </cell>
          <cell r="Q20">
            <v>2021</v>
          </cell>
          <cell r="R20">
            <v>2022</v>
          </cell>
          <cell r="S20">
            <v>2023</v>
          </cell>
          <cell r="T20">
            <v>2024</v>
          </cell>
          <cell r="U20">
            <v>2025</v>
          </cell>
          <cell r="V20">
            <v>2026</v>
          </cell>
          <cell r="W20">
            <v>2027</v>
          </cell>
          <cell r="X20">
            <v>2028</v>
          </cell>
          <cell r="Y20">
            <v>2029</v>
          </cell>
          <cell r="Z20">
            <v>2030</v>
          </cell>
          <cell r="AA20">
            <v>2031</v>
          </cell>
          <cell r="AB20">
            <v>2032</v>
          </cell>
          <cell r="AC20">
            <v>2033</v>
          </cell>
          <cell r="AD20">
            <v>2034</v>
          </cell>
          <cell r="AE20">
            <v>2035</v>
          </cell>
        </row>
        <row r="21">
          <cell r="G21" t="str">
            <v>RegionSingle FamilyNew</v>
          </cell>
          <cell r="H21" t="str">
            <v>Res</v>
          </cell>
          <cell r="I21" t="str">
            <v>Single Family</v>
          </cell>
          <cell r="J21" t="str">
            <v>New</v>
          </cell>
          <cell r="K21" t="str">
            <v>Buildings</v>
          </cell>
          <cell r="L21">
            <v>62685.758999999998</v>
          </cell>
          <cell r="M21">
            <v>59961.781000000003</v>
          </cell>
          <cell r="N21">
            <v>56834.012000000002</v>
          </cell>
          <cell r="O21">
            <v>54985.192999999999</v>
          </cell>
          <cell r="P21">
            <v>53507.474000000002</v>
          </cell>
          <cell r="Q21">
            <v>50982.05</v>
          </cell>
          <cell r="R21">
            <v>49561.669000000002</v>
          </cell>
          <cell r="S21">
            <v>49324.517999999996</v>
          </cell>
          <cell r="T21">
            <v>48815.77</v>
          </cell>
          <cell r="U21">
            <v>49683.252</v>
          </cell>
          <cell r="V21">
            <v>50030.137000000002</v>
          </cell>
          <cell r="W21">
            <v>49387.762999999999</v>
          </cell>
          <cell r="X21">
            <v>48079.345999999998</v>
          </cell>
          <cell r="Y21">
            <v>48129.050999999999</v>
          </cell>
          <cell r="Z21">
            <v>48690.569000000003</v>
          </cell>
          <cell r="AA21">
            <v>48482.864000000001</v>
          </cell>
          <cell r="AB21">
            <v>46879.000999999997</v>
          </cell>
          <cell r="AC21">
            <v>46798.777999999998</v>
          </cell>
          <cell r="AD21">
            <v>46917.627</v>
          </cell>
          <cell r="AE21">
            <v>47236.144999999997</v>
          </cell>
        </row>
        <row r="22">
          <cell r="G22" t="str">
            <v>RegionMultifamily - Low RiseNew</v>
          </cell>
          <cell r="H22" t="str">
            <v>Res</v>
          </cell>
          <cell r="I22" t="str">
            <v>Multifamily - Low Rise</v>
          </cell>
          <cell r="J22" t="str">
            <v>New</v>
          </cell>
          <cell r="K22" t="str">
            <v>Buildings</v>
          </cell>
          <cell r="L22">
            <v>23280.347100904564</v>
          </cell>
          <cell r="M22">
            <v>23017.418106038647</v>
          </cell>
          <cell r="N22">
            <v>22811.60852767331</v>
          </cell>
          <cell r="O22">
            <v>22085.916378202593</v>
          </cell>
          <cell r="P22">
            <v>20817.853908138593</v>
          </cell>
          <cell r="Q22">
            <v>20070.279329962508</v>
          </cell>
          <cell r="R22">
            <v>19887.831284331631</v>
          </cell>
          <cell r="S22">
            <v>20257.583209811291</v>
          </cell>
          <cell r="T22">
            <v>20750.368029493613</v>
          </cell>
          <cell r="U22">
            <v>21314.334279744231</v>
          </cell>
          <cell r="V22">
            <v>21403.286239774712</v>
          </cell>
          <cell r="W22">
            <v>21409.137516518917</v>
          </cell>
          <cell r="X22">
            <v>21443.358292282628</v>
          </cell>
          <cell r="Y22">
            <v>21209.865626522758</v>
          </cell>
          <cell r="Z22">
            <v>20954.17798283829</v>
          </cell>
          <cell r="AA22">
            <v>20525.44023202754</v>
          </cell>
          <cell r="AB22">
            <v>20175.505597554071</v>
          </cell>
          <cell r="AC22">
            <v>19919.723927484571</v>
          </cell>
          <cell r="AD22">
            <v>19536.194066416414</v>
          </cell>
          <cell r="AE22">
            <v>19462.287131015248</v>
          </cell>
        </row>
        <row r="23">
          <cell r="G23" t="str">
            <v>RegionMultifamily - High RiseNew</v>
          </cell>
          <cell r="H23" t="str">
            <v>Res</v>
          </cell>
          <cell r="I23" t="str">
            <v>Multifamily - High Rise</v>
          </cell>
          <cell r="J23" t="str">
            <v>New</v>
          </cell>
          <cell r="K23" t="str">
            <v>Buildings</v>
          </cell>
          <cell r="L23">
            <v>5226.2387411561367</v>
          </cell>
          <cell r="M23">
            <v>5239.95312759432</v>
          </cell>
          <cell r="N23">
            <v>5271.2612760989568</v>
          </cell>
          <cell r="O23">
            <v>4985.883552972361</v>
          </cell>
          <cell r="P23">
            <v>4608.5912035798974</v>
          </cell>
          <cell r="Q23">
            <v>4509.6375960361838</v>
          </cell>
          <cell r="R23">
            <v>4481.760351096189</v>
          </cell>
          <cell r="S23">
            <v>4621.8312800578688</v>
          </cell>
          <cell r="T23">
            <v>4700.9782942419988</v>
          </cell>
          <cell r="U23">
            <v>4828.2391631488581</v>
          </cell>
          <cell r="V23">
            <v>4790.0249139778334</v>
          </cell>
          <cell r="W23">
            <v>4782.0649962402858</v>
          </cell>
          <cell r="X23">
            <v>4748.3908346265653</v>
          </cell>
          <cell r="Y23">
            <v>4733.4823682495089</v>
          </cell>
          <cell r="Z23">
            <v>4698.697177079107</v>
          </cell>
          <cell r="AA23">
            <v>4599.2987885998937</v>
          </cell>
          <cell r="AB23">
            <v>4526.3104216428001</v>
          </cell>
          <cell r="AC23">
            <v>4422.0600452822764</v>
          </cell>
          <cell r="AD23">
            <v>4405.182362066379</v>
          </cell>
          <cell r="AE23">
            <v>4385.1136986120664</v>
          </cell>
        </row>
        <row r="24">
          <cell r="G24" t="str">
            <v>RegionManufacturedNew</v>
          </cell>
          <cell r="H24" t="str">
            <v>Res</v>
          </cell>
          <cell r="I24" t="str">
            <v>Manufactured</v>
          </cell>
          <cell r="J24" t="str">
            <v>New</v>
          </cell>
          <cell r="K24" t="str">
            <v>Buildings</v>
          </cell>
          <cell r="L24">
            <v>1869.5754050925925</v>
          </cell>
          <cell r="M24">
            <v>1881.796305941358</v>
          </cell>
          <cell r="N24">
            <v>1949.1340235982509</v>
          </cell>
          <cell r="O24">
            <v>2021.1963608646258</v>
          </cell>
          <cell r="P24">
            <v>1959.5061710087307</v>
          </cell>
          <cell r="Q24">
            <v>1928.5764356212967</v>
          </cell>
          <cell r="R24">
            <v>1934.9641170211423</v>
          </cell>
          <cell r="S24">
            <v>1945.862235675901</v>
          </cell>
          <cell r="T24">
            <v>1956.539890631658</v>
          </cell>
          <cell r="U24">
            <v>1957.7742018038925</v>
          </cell>
          <cell r="V24">
            <v>1947.2038419604366</v>
          </cell>
          <cell r="W24">
            <v>1945.153453785721</v>
          </cell>
          <cell r="X24">
            <v>1947.9162901464586</v>
          </cell>
          <cell r="Y24">
            <v>1950.0749856673444</v>
          </cell>
          <cell r="Z24">
            <v>1950.7771106659191</v>
          </cell>
          <cell r="AA24">
            <v>1949.8166473382953</v>
          </cell>
          <cell r="AB24">
            <v>1948.4903882606959</v>
          </cell>
          <cell r="AC24">
            <v>1948.7048126440727</v>
          </cell>
          <cell r="AD24">
            <v>1949.296705787131</v>
          </cell>
          <cell r="AE24">
            <v>1949.5267750605763</v>
          </cell>
        </row>
        <row r="25">
          <cell r="G25" t="str">
            <v>RegionSingle FamilyExisting</v>
          </cell>
          <cell r="H25" t="str">
            <v>Res</v>
          </cell>
          <cell r="I25" t="str">
            <v>Single Family</v>
          </cell>
          <cell r="J25" t="str">
            <v>Existing</v>
          </cell>
          <cell r="K25" t="str">
            <v>Buildings</v>
          </cell>
          <cell r="L25">
            <v>4203528.2719999999</v>
          </cell>
          <cell r="M25">
            <v>4193982.9785983553</v>
          </cell>
          <cell r="N25">
            <v>4184459.3604704877</v>
          </cell>
          <cell r="O25">
            <v>4174957.36839659</v>
          </cell>
          <cell r="P25">
            <v>4165476.9532686244</v>
          </cell>
          <cell r="Q25">
            <v>4156018.0660900641</v>
          </cell>
          <cell r="R25">
            <v>4146580.6579756448</v>
          </cell>
          <cell r="S25">
            <v>4137164.6801511091</v>
          </cell>
          <cell r="T25">
            <v>4127770.0839529554</v>
          </cell>
          <cell r="U25">
            <v>4118396.8208281873</v>
          </cell>
          <cell r="V25">
            <v>4109044.8423340586</v>
          </cell>
          <cell r="W25">
            <v>4099714.1001378288</v>
          </cell>
          <cell r="X25">
            <v>4090404.5460165106</v>
          </cell>
          <cell r="Y25">
            <v>4081116.1318566194</v>
          </cell>
          <cell r="Z25">
            <v>4071848.8096539262</v>
          </cell>
          <cell r="AA25">
            <v>4062602.5315132081</v>
          </cell>
          <cell r="AB25">
            <v>4053377.2496480034</v>
          </cell>
          <cell r="AC25">
            <v>4044172.9163803621</v>
          </cell>
          <cell r="AD25">
            <v>4034989.4841406001</v>
          </cell>
          <cell r="AE25">
            <v>4025826.9054670548</v>
          </cell>
        </row>
        <row r="26">
          <cell r="G26" t="str">
            <v>RegionMultifamily - Low RiseExisting</v>
          </cell>
          <cell r="H26" t="str">
            <v>Res</v>
          </cell>
          <cell r="I26" t="str">
            <v>Multifamily - Low Rise</v>
          </cell>
          <cell r="J26" t="str">
            <v>Existing</v>
          </cell>
          <cell r="K26" t="str">
            <v>Buildings</v>
          </cell>
          <cell r="L26">
            <v>926243.25609262148</v>
          </cell>
          <cell r="M26">
            <v>924139.92640956037</v>
          </cell>
          <cell r="N26">
            <v>922041.3730050053</v>
          </cell>
          <cell r="O26">
            <v>919947.58503289847</v>
          </cell>
          <cell r="P26">
            <v>917858.55167181045</v>
          </cell>
          <cell r="Q26">
            <v>915774.26212488639</v>
          </cell>
          <cell r="R26">
            <v>913694.70561978838</v>
          </cell>
          <cell r="S26">
            <v>911619.87140864041</v>
          </cell>
          <cell r="T26">
            <v>909549.74876797362</v>
          </cell>
          <cell r="U26">
            <v>907484.32699866977</v>
          </cell>
          <cell r="V26">
            <v>905423.59542590659</v>
          </cell>
          <cell r="W26">
            <v>903367.54339910217</v>
          </cell>
          <cell r="X26">
            <v>901316.16029185988</v>
          </cell>
          <cell r="Y26">
            <v>899269.43550191447</v>
          </cell>
          <cell r="Z26">
            <v>897227.35845107585</v>
          </cell>
          <cell r="AA26">
            <v>895189.9185851753</v>
          </cell>
          <cell r="AB26">
            <v>893157.10537401051</v>
          </cell>
          <cell r="AC26">
            <v>891128.90831129183</v>
          </cell>
          <cell r="AD26">
            <v>889105.31691458682</v>
          </cell>
          <cell r="AE26">
            <v>887086.32072526717</v>
          </cell>
        </row>
        <row r="27">
          <cell r="G27" t="str">
            <v>RegionMultifamily - High RiseExisting</v>
          </cell>
          <cell r="H27" t="str">
            <v>Res</v>
          </cell>
          <cell r="I27" t="str">
            <v>Multifamily - High Rise</v>
          </cell>
          <cell r="J27" t="str">
            <v>Existing</v>
          </cell>
          <cell r="K27" t="str">
            <v>Buildings</v>
          </cell>
          <cell r="L27">
            <v>211180.07985625503</v>
          </cell>
          <cell r="M27">
            <v>210700.52836963299</v>
          </cell>
          <cell r="N27">
            <v>210222.06585706791</v>
          </cell>
          <cell r="O27">
            <v>209744.68984569819</v>
          </cell>
          <cell r="P27">
            <v>209268.39786827751</v>
          </cell>
          <cell r="Q27">
            <v>208793.18746316229</v>
          </cell>
          <cell r="R27">
            <v>208319.05617429892</v>
          </cell>
          <cell r="S27">
            <v>207846.00155121088</v>
          </cell>
          <cell r="T27">
            <v>207374.0211489865</v>
          </cell>
          <cell r="U27">
            <v>206903.11252826577</v>
          </cell>
          <cell r="V27">
            <v>206433.27325522827</v>
          </cell>
          <cell r="W27">
            <v>205964.50090158021</v>
          </cell>
          <cell r="X27">
            <v>205496.79304454199</v>
          </cell>
          <cell r="Y27">
            <v>205030.14726683579</v>
          </cell>
          <cell r="Z27">
            <v>204564.56115667295</v>
          </cell>
          <cell r="AA27">
            <v>204100.03230774152</v>
          </cell>
          <cell r="AB27">
            <v>203636.55831919383</v>
          </cell>
          <cell r="AC27">
            <v>203174.13679563423</v>
          </cell>
          <cell r="AD27">
            <v>202712.76534710638</v>
          </cell>
          <cell r="AE27">
            <v>202252.44158908122</v>
          </cell>
        </row>
        <row r="28">
          <cell r="G28" t="str">
            <v>RegionManufacturedExisting</v>
          </cell>
          <cell r="H28" t="str">
            <v>Res</v>
          </cell>
          <cell r="I28" t="str">
            <v>Manufactured</v>
          </cell>
          <cell r="J28" t="str">
            <v>Existing</v>
          </cell>
          <cell r="K28" t="str">
            <v>Buildings</v>
          </cell>
          <cell r="L28">
            <v>572006.3278356482</v>
          </cell>
          <cell r="M28">
            <v>565893.30394507048</v>
          </cell>
          <cell r="N28">
            <v>559845.60985814757</v>
          </cell>
          <cell r="O28">
            <v>553862.54739615123</v>
          </cell>
          <cell r="P28">
            <v>547943.42584177968</v>
          </cell>
          <cell r="Q28">
            <v>542087.56185941794</v>
          </cell>
          <cell r="R28">
            <v>536294.27941624937</v>
          </cell>
          <cell r="S28">
            <v>530562.90970421082</v>
          </cell>
          <cell r="T28">
            <v>524892.79106278194</v>
          </cell>
          <cell r="U28">
            <v>519283.26890259917</v>
          </cell>
          <cell r="V28">
            <v>513733.69562988722</v>
          </cell>
          <cell r="W28">
            <v>508243.4305716962</v>
          </cell>
          <cell r="X28">
            <v>502811.8399019395</v>
          </cell>
          <cell r="Y28">
            <v>497438.2965682213</v>
          </cell>
          <cell r="Z28">
            <v>492122.18021944637</v>
          </cell>
          <cell r="AA28">
            <v>486862.87713420321</v>
          </cell>
          <cell r="AB28">
            <v>481659.78014991269</v>
          </cell>
          <cell r="AC28">
            <v>476512.28859273402</v>
          </cell>
          <cell r="AD28">
            <v>471419.80820821953</v>
          </cell>
          <cell r="AE28">
            <v>466381.75109271082</v>
          </cell>
        </row>
        <row r="29">
          <cell r="G29" t="str">
            <v>RegionLarge OffNew</v>
          </cell>
          <cell r="H29" t="str">
            <v>Com</v>
          </cell>
          <cell r="I29" t="str">
            <v>Large Off</v>
          </cell>
          <cell r="J29" t="str">
            <v>New</v>
          </cell>
          <cell r="K29" t="str">
            <v>Millions SqFt</v>
          </cell>
          <cell r="L29">
            <v>7.8066550111953834</v>
          </cell>
          <cell r="M29">
            <v>5.9496992573140863</v>
          </cell>
          <cell r="N29">
            <v>5.890903545908837</v>
          </cell>
          <cell r="O29">
            <v>6.8915688291332424</v>
          </cell>
          <cell r="P29">
            <v>6.6410191533148355</v>
          </cell>
          <cell r="Q29">
            <v>5.4382226791221893</v>
          </cell>
          <cell r="R29">
            <v>6.9236851515846078</v>
          </cell>
          <cell r="S29">
            <v>6.040566884985755</v>
          </cell>
          <cell r="T29">
            <v>5.8620040343764588</v>
          </cell>
          <cell r="U29">
            <v>6.6048352977963205</v>
          </cell>
          <cell r="V29">
            <v>6.6081856774849808</v>
          </cell>
          <cell r="W29">
            <v>7.2276230030590352</v>
          </cell>
          <cell r="X29">
            <v>7.9321378463678132</v>
          </cell>
          <cell r="Y29">
            <v>7.2590370336019197</v>
          </cell>
          <cell r="Z29">
            <v>7.9122271387396417</v>
          </cell>
          <cell r="AA29">
            <v>7.7623340380974311</v>
          </cell>
          <cell r="AB29">
            <v>7.6402299023279152</v>
          </cell>
          <cell r="AC29">
            <v>7.1724831299946894</v>
          </cell>
          <cell r="AD29">
            <v>7.0810470955732994</v>
          </cell>
          <cell r="AE29">
            <v>7.4281005850341701</v>
          </cell>
        </row>
        <row r="30">
          <cell r="G30" t="str">
            <v>RegionMedium OffNew</v>
          </cell>
          <cell r="H30" t="str">
            <v>Com</v>
          </cell>
          <cell r="I30" t="str">
            <v>Medium Off</v>
          </cell>
          <cell r="J30" t="str">
            <v>New</v>
          </cell>
          <cell r="K30" t="str">
            <v>Millions SqFt</v>
          </cell>
          <cell r="L30">
            <v>6.3306892326899415</v>
          </cell>
          <cell r="M30">
            <v>4.6245517962703104</v>
          </cell>
          <cell r="N30">
            <v>4.6954401235311058</v>
          </cell>
          <cell r="O30">
            <v>5.5561738496820645</v>
          </cell>
          <cell r="P30">
            <v>5.2903315868283292</v>
          </cell>
          <cell r="Q30">
            <v>4.0954748538564614</v>
          </cell>
          <cell r="R30">
            <v>5.6166455086822502</v>
          </cell>
          <cell r="S30">
            <v>4.8928421056079552</v>
          </cell>
          <cell r="T30">
            <v>4.6489885594062974</v>
          </cell>
          <cell r="U30">
            <v>5.3600762751998365</v>
          </cell>
          <cell r="V30">
            <v>5.3451061612370649</v>
          </cell>
          <cell r="W30">
            <v>5.7169042762389006</v>
          </cell>
          <cell r="X30">
            <v>6.1644080859749115</v>
          </cell>
          <cell r="Y30">
            <v>5.8003829082546376</v>
          </cell>
          <cell r="Z30">
            <v>6.4331999103991837</v>
          </cell>
          <cell r="AA30">
            <v>6.1077443299386847</v>
          </cell>
          <cell r="AB30">
            <v>6.3133258324543373</v>
          </cell>
          <cell r="AC30">
            <v>5.5403053352108875</v>
          </cell>
          <cell r="AD30">
            <v>5.5266028757425794</v>
          </cell>
          <cell r="AE30">
            <v>5.9833355534459063</v>
          </cell>
        </row>
        <row r="31">
          <cell r="G31" t="str">
            <v>RegionSmall OffNew</v>
          </cell>
          <cell r="H31" t="str">
            <v>Com</v>
          </cell>
          <cell r="I31" t="str">
            <v>Small Off</v>
          </cell>
          <cell r="J31" t="str">
            <v>New</v>
          </cell>
          <cell r="K31" t="str">
            <v>Millions SqFt</v>
          </cell>
          <cell r="L31">
            <v>1.6621196768024407</v>
          </cell>
          <cell r="M31">
            <v>1.2170657423442173</v>
          </cell>
          <cell r="N31">
            <v>1.2444333527444498</v>
          </cell>
          <cell r="O31">
            <v>1.4586094503549032</v>
          </cell>
          <cell r="P31">
            <v>1.4004070058555529</v>
          </cell>
          <cell r="Q31">
            <v>1.0787722980410579</v>
          </cell>
          <cell r="R31">
            <v>1.4747976167420549</v>
          </cell>
          <cell r="S31">
            <v>1.2896357804774434</v>
          </cell>
          <cell r="T31">
            <v>1.2239291307589197</v>
          </cell>
          <cell r="U31">
            <v>1.4012443744673324</v>
          </cell>
          <cell r="V31">
            <v>1.3991315932028052</v>
          </cell>
          <cell r="W31">
            <v>1.4996248899933684</v>
          </cell>
          <cell r="X31">
            <v>1.6197763904689295</v>
          </cell>
          <cell r="Y31">
            <v>1.5187400891362097</v>
          </cell>
          <cell r="Z31">
            <v>1.6890757136254622</v>
          </cell>
          <cell r="AA31">
            <v>1.5972356158259797</v>
          </cell>
          <cell r="AB31">
            <v>1.640465747141107</v>
          </cell>
          <cell r="AC31">
            <v>1.4565955217811706</v>
          </cell>
          <cell r="AD31">
            <v>1.4531741906643101</v>
          </cell>
          <cell r="AE31">
            <v>1.5648660344158036</v>
          </cell>
        </row>
        <row r="32">
          <cell r="G32" t="str">
            <v>RegionXLarge RetNew</v>
          </cell>
          <cell r="H32" t="str">
            <v>Com</v>
          </cell>
          <cell r="I32" t="str">
            <v>XLarge Ret</v>
          </cell>
          <cell r="J32" t="str">
            <v>New</v>
          </cell>
          <cell r="K32" t="str">
            <v>Millions SqFt</v>
          </cell>
          <cell r="L32">
            <v>1.799418169017593</v>
          </cell>
          <cell r="M32">
            <v>1.485755176968429</v>
          </cell>
          <cell r="N32">
            <v>0.89794362681754358</v>
          </cell>
          <cell r="O32">
            <v>0.91201694404352718</v>
          </cell>
          <cell r="P32">
            <v>0.85125423267540556</v>
          </cell>
          <cell r="Q32">
            <v>0.73204497427617965</v>
          </cell>
          <cell r="R32">
            <v>0.73428349109996394</v>
          </cell>
          <cell r="S32">
            <v>0.71341173425108251</v>
          </cell>
          <cell r="T32">
            <v>0.89455902577447755</v>
          </cell>
          <cell r="U32">
            <v>1.032083805968905</v>
          </cell>
          <cell r="V32">
            <v>1.0963398187475875</v>
          </cell>
          <cell r="W32">
            <v>1.617287860192538</v>
          </cell>
          <cell r="X32">
            <v>1.8239074921539626</v>
          </cell>
          <cell r="Y32">
            <v>1.6267354909009817</v>
          </cell>
          <cell r="Z32">
            <v>1.5970323938843554</v>
          </cell>
          <cell r="AA32">
            <v>1.5393396581386409</v>
          </cell>
          <cell r="AB32">
            <v>1.2960530677092543</v>
          </cell>
          <cell r="AC32">
            <v>1.3176455108269955</v>
          </cell>
          <cell r="AD32">
            <v>1.2469979474733393</v>
          </cell>
          <cell r="AE32">
            <v>1.3540449607593745</v>
          </cell>
        </row>
        <row r="33">
          <cell r="G33" t="str">
            <v>RegionLarge RetNew</v>
          </cell>
          <cell r="H33" t="str">
            <v>Com</v>
          </cell>
          <cell r="I33" t="str">
            <v>Large Ret</v>
          </cell>
          <cell r="J33" t="str">
            <v>New</v>
          </cell>
          <cell r="K33" t="str">
            <v>Millions SqFt</v>
          </cell>
          <cell r="L33">
            <v>0.71960427219664069</v>
          </cell>
          <cell r="M33">
            <v>0.59647847099566831</v>
          </cell>
          <cell r="N33">
            <v>0.36611838042447359</v>
          </cell>
          <cell r="O33">
            <v>0.3731768350638246</v>
          </cell>
          <cell r="P33">
            <v>0.34504559304633386</v>
          </cell>
          <cell r="Q33">
            <v>0.2928623587115301</v>
          </cell>
          <cell r="R33">
            <v>0.29376294298921468</v>
          </cell>
          <cell r="S33">
            <v>0.28416308329236456</v>
          </cell>
          <cell r="T33">
            <v>0.36455471421578001</v>
          </cell>
          <cell r="U33">
            <v>0.42646627810709853</v>
          </cell>
          <cell r="V33">
            <v>0.44956380488737768</v>
          </cell>
          <cell r="W33">
            <v>0.65213839834683018</v>
          </cell>
          <cell r="X33">
            <v>0.73353807331773047</v>
          </cell>
          <cell r="Y33">
            <v>0.65560780242911365</v>
          </cell>
          <cell r="Z33">
            <v>0.64604928436358278</v>
          </cell>
          <cell r="AA33">
            <v>0.62178261445398098</v>
          </cell>
          <cell r="AB33">
            <v>0.52554853465709617</v>
          </cell>
          <cell r="AC33">
            <v>0.53266253778165396</v>
          </cell>
          <cell r="AD33">
            <v>0.50454130308386236</v>
          </cell>
          <cell r="AE33">
            <v>0.54553111610891503</v>
          </cell>
        </row>
        <row r="34">
          <cell r="G34" t="str">
            <v>RegionMedium RetNew</v>
          </cell>
          <cell r="H34" t="str">
            <v>Com</v>
          </cell>
          <cell r="I34" t="str">
            <v>Medium Ret</v>
          </cell>
          <cell r="J34" t="str">
            <v>New</v>
          </cell>
          <cell r="K34" t="str">
            <v>Millions SqFt</v>
          </cell>
          <cell r="L34">
            <v>2.7275899469990224</v>
          </cell>
          <cell r="M34">
            <v>2.2451802625726844</v>
          </cell>
          <cell r="N34">
            <v>1.3846551620328988</v>
          </cell>
          <cell r="O34">
            <v>1.414332931216091</v>
          </cell>
          <cell r="P34">
            <v>1.3048976182463843</v>
          </cell>
          <cell r="Q34">
            <v>1.1035456427042536</v>
          </cell>
          <cell r="R34">
            <v>1.0932193385059683</v>
          </cell>
          <cell r="S34">
            <v>1.0602010304011045</v>
          </cell>
          <cell r="T34">
            <v>1.3687417218066935</v>
          </cell>
          <cell r="U34">
            <v>1.6102119957699914</v>
          </cell>
          <cell r="V34">
            <v>1.7014476793012303</v>
          </cell>
          <cell r="W34">
            <v>2.4475448442766612</v>
          </cell>
          <cell r="X34">
            <v>2.7642584104961641</v>
          </cell>
          <cell r="Y34">
            <v>2.4645092385842489</v>
          </cell>
          <cell r="Z34">
            <v>2.435211674558635</v>
          </cell>
          <cell r="AA34">
            <v>2.3436666024455817</v>
          </cell>
          <cell r="AB34">
            <v>1.9970991421399598</v>
          </cell>
          <cell r="AC34">
            <v>2.0220850932468024</v>
          </cell>
          <cell r="AD34">
            <v>1.9074632582746243</v>
          </cell>
          <cell r="AE34">
            <v>2.0633846520749657</v>
          </cell>
        </row>
        <row r="35">
          <cell r="G35" t="str">
            <v>RegionSmall RetNew</v>
          </cell>
          <cell r="H35" t="str">
            <v>Com</v>
          </cell>
          <cell r="I35" t="str">
            <v>Small Ret</v>
          </cell>
          <cell r="J35" t="str">
            <v>New</v>
          </cell>
          <cell r="K35" t="str">
            <v>Millions SqFt</v>
          </cell>
          <cell r="L35">
            <v>0.86249938561661099</v>
          </cell>
          <cell r="M35">
            <v>0.71243811393533818</v>
          </cell>
          <cell r="N35">
            <v>0.43988135050703958</v>
          </cell>
          <cell r="O35">
            <v>0.44879648252082133</v>
          </cell>
          <cell r="P35">
            <v>0.41374173801952452</v>
          </cell>
          <cell r="Q35">
            <v>0.34301620014224921</v>
          </cell>
          <cell r="R35">
            <v>0.33946657261656726</v>
          </cell>
          <cell r="S35">
            <v>0.32965754978673117</v>
          </cell>
          <cell r="T35">
            <v>0.43689232903555525</v>
          </cell>
          <cell r="U35">
            <v>0.51886957722704219</v>
          </cell>
          <cell r="V35">
            <v>0.54817313334918127</v>
          </cell>
          <cell r="W35">
            <v>0.77969532117377649</v>
          </cell>
          <cell r="X35">
            <v>0.87858644381951334</v>
          </cell>
          <cell r="Y35">
            <v>0.78420074698109388</v>
          </cell>
          <cell r="Z35">
            <v>0.77728841592354081</v>
          </cell>
          <cell r="AA35">
            <v>0.74886674252534069</v>
          </cell>
          <cell r="AB35">
            <v>0.63964179951326661</v>
          </cell>
          <cell r="AC35">
            <v>0.64714740319049269</v>
          </cell>
          <cell r="AD35">
            <v>0.61166389038687663</v>
          </cell>
          <cell r="AE35">
            <v>0.66242443593788758</v>
          </cell>
        </row>
        <row r="36">
          <cell r="G36" t="str">
            <v>RegionSchool K-12New</v>
          </cell>
          <cell r="H36" t="str">
            <v>Com</v>
          </cell>
          <cell r="I36" t="str">
            <v>School K-12</v>
          </cell>
          <cell r="J36" t="str">
            <v>New</v>
          </cell>
          <cell r="K36" t="str">
            <v>Millions SqFt</v>
          </cell>
          <cell r="L36">
            <v>0.49337113702797691</v>
          </cell>
          <cell r="M36">
            <v>1.1029723159217257</v>
          </cell>
          <cell r="N36">
            <v>0.94992456965043459</v>
          </cell>
          <cell r="O36">
            <v>0.71720701164062661</v>
          </cell>
          <cell r="P36">
            <v>0.7442281187428561</v>
          </cell>
          <cell r="Q36">
            <v>0.85140099810585501</v>
          </cell>
          <cell r="R36">
            <v>0.99139466996200198</v>
          </cell>
          <cell r="S36">
            <v>1.5014629353162949</v>
          </cell>
          <cell r="T36">
            <v>1.8697826256608596</v>
          </cell>
          <cell r="U36">
            <v>1.6452707482432332</v>
          </cell>
          <cell r="V36">
            <v>1.6753181172445872</v>
          </cell>
          <cell r="W36">
            <v>1.7943041099264481</v>
          </cell>
          <cell r="X36">
            <v>1.8624299937819393</v>
          </cell>
          <cell r="Y36">
            <v>1.7489264522150836</v>
          </cell>
          <cell r="Z36">
            <v>1.7975598556031414</v>
          </cell>
          <cell r="AA36">
            <v>1.6195220459723754</v>
          </cell>
          <cell r="AB36">
            <v>1.8221433074925411</v>
          </cell>
          <cell r="AC36">
            <v>1.6336676691608698</v>
          </cell>
          <cell r="AD36">
            <v>1.7826242149357872</v>
          </cell>
          <cell r="AE36">
            <v>1.6891002859244486</v>
          </cell>
        </row>
        <row r="37">
          <cell r="G37" t="str">
            <v>RegionUniversityNew</v>
          </cell>
          <cell r="H37" t="str">
            <v>Com</v>
          </cell>
          <cell r="I37" t="str">
            <v>University</v>
          </cell>
          <cell r="J37" t="str">
            <v>New</v>
          </cell>
          <cell r="K37" t="str">
            <v>Millions SqFt</v>
          </cell>
          <cell r="L37">
            <v>0.2800209986196866</v>
          </cell>
          <cell r="M37">
            <v>0.29719871383536939</v>
          </cell>
          <cell r="N37">
            <v>0.58203115602335975</v>
          </cell>
          <cell r="O37">
            <v>0.83189457735737737</v>
          </cell>
          <cell r="P37">
            <v>0.66610454718876777</v>
          </cell>
          <cell r="Q37">
            <v>0.73648247778559484</v>
          </cell>
          <cell r="R37">
            <v>0.64334185638367225</v>
          </cell>
          <cell r="S37">
            <v>0.97289424291238524</v>
          </cell>
          <cell r="T37">
            <v>1.1820978013224126</v>
          </cell>
          <cell r="U37">
            <v>1.1785313924254113</v>
          </cell>
          <cell r="V37">
            <v>1.2952038876416079</v>
          </cell>
          <cell r="W37">
            <v>1.3229243736280945</v>
          </cell>
          <cell r="X37">
            <v>1.422909455419719</v>
          </cell>
          <cell r="Y37">
            <v>1.4430187909981058</v>
          </cell>
          <cell r="Z37">
            <v>1.2923971403480323</v>
          </cell>
          <cell r="AA37">
            <v>1.1785050733908478</v>
          </cell>
          <cell r="AB37">
            <v>1.3433889489273994</v>
          </cell>
          <cell r="AC37">
            <v>1.2265545990556588</v>
          </cell>
          <cell r="AD37">
            <v>1.2571458643971927</v>
          </cell>
          <cell r="AE37">
            <v>1.2979913333963795</v>
          </cell>
        </row>
        <row r="38">
          <cell r="G38" t="str">
            <v>RegionWarehouseNew</v>
          </cell>
          <cell r="H38" t="str">
            <v>Com</v>
          </cell>
          <cell r="I38" t="str">
            <v>Warehouse</v>
          </cell>
          <cell r="J38" t="str">
            <v>New</v>
          </cell>
          <cell r="K38" t="str">
            <v>Millions SqFt</v>
          </cell>
          <cell r="L38">
            <v>7.6586609772993617</v>
          </cell>
          <cell r="M38">
            <v>7.5774552212762423</v>
          </cell>
          <cell r="N38">
            <v>5.6453939930651131</v>
          </cell>
          <cell r="O38">
            <v>4.800793231843981</v>
          </cell>
          <cell r="P38">
            <v>3.5881391412601156</v>
          </cell>
          <cell r="Q38">
            <v>3.1529819033971824</v>
          </cell>
          <cell r="R38">
            <v>4.0691744688008198</v>
          </cell>
          <cell r="S38">
            <v>4.5400289951106014</v>
          </cell>
          <cell r="T38">
            <v>4.8555474587969272</v>
          </cell>
          <cell r="U38">
            <v>4.6966359797376018</v>
          </cell>
          <cell r="V38">
            <v>4.8557170740974245</v>
          </cell>
          <cell r="W38">
            <v>4.451750056135543</v>
          </cell>
          <cell r="X38">
            <v>3.8657972013430704</v>
          </cell>
          <cell r="Y38">
            <v>3.9817445148405937</v>
          </cell>
          <cell r="Z38">
            <v>3.9951806948216846</v>
          </cell>
          <cell r="AA38">
            <v>4.4738164673360306</v>
          </cell>
          <cell r="AB38">
            <v>4.2737219736102183</v>
          </cell>
          <cell r="AC38">
            <v>4.0870251812551333</v>
          </cell>
          <cell r="AD38">
            <v>4.137725578117939</v>
          </cell>
          <cell r="AE38">
            <v>3.6922064696454697</v>
          </cell>
        </row>
        <row r="39">
          <cell r="G39" t="str">
            <v>RegionSupermarketNew</v>
          </cell>
          <cell r="H39" t="str">
            <v>Com</v>
          </cell>
          <cell r="I39" t="str">
            <v>Supermarket</v>
          </cell>
          <cell r="J39" t="str">
            <v>New</v>
          </cell>
          <cell r="K39" t="str">
            <v>Millions SqFt</v>
          </cell>
          <cell r="L39">
            <v>0.38924897939746522</v>
          </cell>
          <cell r="M39">
            <v>0.34341311895347121</v>
          </cell>
          <cell r="N39">
            <v>0.29927348040561341</v>
          </cell>
          <cell r="O39">
            <v>0.29688874456634085</v>
          </cell>
          <cell r="P39">
            <v>0.29379933994281465</v>
          </cell>
          <cell r="Q39">
            <v>0.29041766271303127</v>
          </cell>
          <cell r="R39">
            <v>0.28614144770449462</v>
          </cell>
          <cell r="S39">
            <v>0.28163861967746157</v>
          </cell>
          <cell r="T39">
            <v>0.27688800876616482</v>
          </cell>
          <cell r="U39">
            <v>0.27357754310134663</v>
          </cell>
          <cell r="V39">
            <v>0.27063184585003941</v>
          </cell>
          <cell r="W39">
            <v>0.26801411864303953</v>
          </cell>
          <cell r="X39">
            <v>0.26660240614409092</v>
          </cell>
          <cell r="Y39">
            <v>0.25138198684402913</v>
          </cell>
          <cell r="Z39">
            <v>0.26455339135243683</v>
          </cell>
          <cell r="AA39">
            <v>0.26299167309250365</v>
          </cell>
          <cell r="AB39">
            <v>0.26140909607327911</v>
          </cell>
          <cell r="AC39">
            <v>0.25947687815142023</v>
          </cell>
          <cell r="AD39">
            <v>0.25750619496776178</v>
          </cell>
          <cell r="AE39">
            <v>0.25562560804995926</v>
          </cell>
        </row>
        <row r="40">
          <cell r="G40" t="str">
            <v>RegionMiniMartNew</v>
          </cell>
          <cell r="H40" t="str">
            <v>Com</v>
          </cell>
          <cell r="I40" t="str">
            <v>MiniMart</v>
          </cell>
          <cell r="J40" t="str">
            <v>New</v>
          </cell>
          <cell r="K40" t="str">
            <v>Millions SqFt</v>
          </cell>
          <cell r="L40">
            <v>0.19765540078516197</v>
          </cell>
          <cell r="M40">
            <v>0.18600542935034625</v>
          </cell>
          <cell r="N40">
            <v>9.5760802585072302E-2</v>
          </cell>
          <cell r="O40">
            <v>0.10062051473914659</v>
          </cell>
          <cell r="P40">
            <v>8.5646792534183808E-2</v>
          </cell>
          <cell r="Q40">
            <v>6.5415041923045286E-2</v>
          </cell>
          <cell r="R40">
            <v>5.7242996146950373E-2</v>
          </cell>
          <cell r="S40">
            <v>5.5087150941189433E-2</v>
          </cell>
          <cell r="T40">
            <v>7.3916214299540497E-2</v>
          </cell>
          <cell r="U40">
            <v>9.2056169088318471E-2</v>
          </cell>
          <cell r="V40">
            <v>0.10393709432109566</v>
          </cell>
          <cell r="W40">
            <v>0.15172170448022598</v>
          </cell>
          <cell r="X40">
            <v>0.15706997726929292</v>
          </cell>
          <cell r="Y40">
            <v>0.14510580631504899</v>
          </cell>
          <cell r="Z40">
            <v>0.15272706829792246</v>
          </cell>
          <cell r="AA40">
            <v>0.14104647748606622</v>
          </cell>
          <cell r="AB40">
            <v>0.11700741064540764</v>
          </cell>
          <cell r="AC40">
            <v>0.1200067315077773</v>
          </cell>
          <cell r="AD40">
            <v>0.11457442878633581</v>
          </cell>
          <cell r="AE40">
            <v>0.1211768182439132</v>
          </cell>
        </row>
        <row r="41">
          <cell r="G41" t="str">
            <v>RegionRestaurantNew</v>
          </cell>
          <cell r="H41" t="str">
            <v>Com</v>
          </cell>
          <cell r="I41" t="str">
            <v>Restaurant</v>
          </cell>
          <cell r="J41" t="str">
            <v>New</v>
          </cell>
          <cell r="K41" t="str">
            <v>Millions SqFt</v>
          </cell>
          <cell r="L41">
            <v>0.46894871790011039</v>
          </cell>
          <cell r="M41">
            <v>0.47387410836125871</v>
          </cell>
          <cell r="N41">
            <v>0.45144590813821411</v>
          </cell>
          <cell r="O41">
            <v>0.4505136151455652</v>
          </cell>
          <cell r="P41">
            <v>0.44778046039172248</v>
          </cell>
          <cell r="Q41">
            <v>0.44523396067124349</v>
          </cell>
          <cell r="R41">
            <v>0.44273536313864043</v>
          </cell>
          <cell r="S41">
            <v>0.4399078135546039</v>
          </cell>
          <cell r="T41">
            <v>0.43708606600163591</v>
          </cell>
          <cell r="U41">
            <v>0.43513915585550955</v>
          </cell>
          <cell r="V41">
            <v>0.43580404899906589</v>
          </cell>
          <cell r="W41">
            <v>0.59161866303702282</v>
          </cell>
          <cell r="X41">
            <v>0.66467702134516005</v>
          </cell>
          <cell r="Y41">
            <v>0.65353995366480533</v>
          </cell>
          <cell r="Z41">
            <v>0.676060915960916</v>
          </cell>
          <cell r="AA41">
            <v>0.70559825286541389</v>
          </cell>
          <cell r="AB41">
            <v>0.63206878506691044</v>
          </cell>
          <cell r="AC41">
            <v>0.63726309269471215</v>
          </cell>
          <cell r="AD41">
            <v>0.5828366650853003</v>
          </cell>
          <cell r="AE41">
            <v>0.63928201324113043</v>
          </cell>
        </row>
        <row r="42">
          <cell r="G42" t="str">
            <v>RegionLodgingNew</v>
          </cell>
          <cell r="H42" t="str">
            <v>Com</v>
          </cell>
          <cell r="I42" t="str">
            <v>Lodging</v>
          </cell>
          <cell r="J42" t="str">
            <v>New</v>
          </cell>
          <cell r="K42" t="str">
            <v>Millions SqFt</v>
          </cell>
          <cell r="L42">
            <v>1.0326774321313152</v>
          </cell>
          <cell r="M42">
            <v>1.0158776160943388</v>
          </cell>
          <cell r="N42">
            <v>0.74304915446037911</v>
          </cell>
          <cell r="O42">
            <v>0.76054102414226543</v>
          </cell>
          <cell r="P42">
            <v>0.65616402459427536</v>
          </cell>
          <cell r="Q42">
            <v>0.62755023267601961</v>
          </cell>
          <cell r="R42">
            <v>0.61023293273354484</v>
          </cell>
          <cell r="S42">
            <v>0.60571699788717037</v>
          </cell>
          <cell r="T42">
            <v>0.65097903457434547</v>
          </cell>
          <cell r="U42">
            <v>0.69319811486407867</v>
          </cell>
          <cell r="V42">
            <v>0.78843795894088464</v>
          </cell>
          <cell r="W42">
            <v>1.3645659476947984</v>
          </cell>
          <cell r="X42">
            <v>1.6032227373726178</v>
          </cell>
          <cell r="Y42">
            <v>1.6412696995684901</v>
          </cell>
          <cell r="Z42">
            <v>1.670283030615213</v>
          </cell>
          <cell r="AA42">
            <v>1.755661848186447</v>
          </cell>
          <cell r="AB42">
            <v>1.4871375295645746</v>
          </cell>
          <cell r="AC42">
            <v>1.4400033906080374</v>
          </cell>
          <cell r="AD42">
            <v>1.3499648074414823</v>
          </cell>
          <cell r="AE42">
            <v>1.4487057151095009</v>
          </cell>
        </row>
        <row r="43">
          <cell r="G43" t="str">
            <v>RegionHospitalNew</v>
          </cell>
          <cell r="H43" t="str">
            <v>Com</v>
          </cell>
          <cell r="I43" t="str">
            <v>Hospital</v>
          </cell>
          <cell r="J43" t="str">
            <v>New</v>
          </cell>
          <cell r="K43" t="str">
            <v>Millions SqFt</v>
          </cell>
          <cell r="L43">
            <v>4.1336070304911159</v>
          </cell>
          <cell r="M43">
            <v>3.5601449453189118</v>
          </cell>
          <cell r="N43">
            <v>3.2007770264658664</v>
          </cell>
          <cell r="O43">
            <v>2.6531465767673241</v>
          </cell>
          <cell r="P43">
            <v>1.8730082465149496</v>
          </cell>
          <cell r="Q43">
            <v>1.6467285324389391</v>
          </cell>
          <cell r="R43">
            <v>1.5196240263467067</v>
          </cell>
          <cell r="S43">
            <v>1.3328145698119136</v>
          </cell>
          <cell r="T43">
            <v>1.3372342578617185</v>
          </cell>
          <cell r="U43">
            <v>1.4086686461757902</v>
          </cell>
          <cell r="V43">
            <v>1.6725933548501446</v>
          </cell>
          <cell r="W43">
            <v>2.0158466086985318</v>
          </cell>
          <cell r="X43">
            <v>2.3033709594417431</v>
          </cell>
          <cell r="Y43">
            <v>2.063930246052466</v>
          </cell>
          <cell r="Z43">
            <v>1.9880083370090949</v>
          </cell>
          <cell r="AA43">
            <v>1.9342270452860566</v>
          </cell>
          <cell r="AB43">
            <v>1.774507966199161</v>
          </cell>
          <cell r="AC43">
            <v>1.6723841845019074</v>
          </cell>
          <cell r="AD43">
            <v>1.5414284807799123</v>
          </cell>
          <cell r="AE43">
            <v>1.5563040522680198</v>
          </cell>
        </row>
        <row r="44">
          <cell r="G44" t="str">
            <v>RegionResidential CareNew</v>
          </cell>
          <cell r="H44" t="str">
            <v>Com</v>
          </cell>
          <cell r="I44" t="str">
            <v>Residential Care</v>
          </cell>
          <cell r="J44" t="str">
            <v>New</v>
          </cell>
          <cell r="K44" t="str">
            <v>Millions SqFt</v>
          </cell>
          <cell r="L44">
            <v>4.5029406937179912</v>
          </cell>
          <cell r="M44">
            <v>4.0786070344439063</v>
          </cell>
          <cell r="N44">
            <v>3.5919834720533679</v>
          </cell>
          <cell r="O44">
            <v>3.0400934926407626</v>
          </cell>
          <cell r="P44">
            <v>2.3018670718031324</v>
          </cell>
          <cell r="Q44">
            <v>2.1321468422073435</v>
          </cell>
          <cell r="R44">
            <v>1.9771504564110642</v>
          </cell>
          <cell r="S44">
            <v>1.8096072137015302</v>
          </cell>
          <cell r="T44">
            <v>1.9023478055732992</v>
          </cell>
          <cell r="U44">
            <v>2.0129777404511922</v>
          </cell>
          <cell r="V44">
            <v>2.304026079874093</v>
          </cell>
          <cell r="W44">
            <v>2.7992417645016405</v>
          </cell>
          <cell r="X44">
            <v>3.0682339807477179</v>
          </cell>
          <cell r="Y44">
            <v>2.7441690138981158</v>
          </cell>
          <cell r="Z44">
            <v>2.8046561391012603</v>
          </cell>
          <cell r="AA44">
            <v>2.7282838662201567</v>
          </cell>
          <cell r="AB44">
            <v>2.4959637785038216</v>
          </cell>
          <cell r="AC44">
            <v>2.4392052334479857</v>
          </cell>
          <cell r="AD44">
            <v>2.3386950979959957</v>
          </cell>
          <cell r="AE44">
            <v>2.3103955399373803</v>
          </cell>
        </row>
        <row r="45">
          <cell r="G45" t="str">
            <v>RegionAssemblyNew</v>
          </cell>
          <cell r="H45" t="str">
            <v>Com</v>
          </cell>
          <cell r="I45" t="str">
            <v>Assembly</v>
          </cell>
          <cell r="J45" t="str">
            <v>New</v>
          </cell>
          <cell r="K45" t="str">
            <v>Millions SqFt</v>
          </cell>
          <cell r="L45">
            <v>3.1854829351393543</v>
          </cell>
          <cell r="M45">
            <v>3.1699057451518957</v>
          </cell>
          <cell r="N45">
            <v>2.2628528186826316</v>
          </cell>
          <cell r="O45">
            <v>2.6023617076700645</v>
          </cell>
          <cell r="P45">
            <v>2.2919684786454506</v>
          </cell>
          <cell r="Q45">
            <v>2.1556450092355899</v>
          </cell>
          <cell r="R45">
            <v>1.4820394508668711</v>
          </cell>
          <cell r="S45">
            <v>1.5603361472368396</v>
          </cell>
          <cell r="T45">
            <v>2.3546097038898557</v>
          </cell>
          <cell r="U45">
            <v>3.2740386396924066</v>
          </cell>
          <cell r="V45">
            <v>3.6241751874536021</v>
          </cell>
          <cell r="W45">
            <v>4.4420137300219826</v>
          </cell>
          <cell r="X45">
            <v>5.8224273473135861</v>
          </cell>
          <cell r="Y45">
            <v>6.4604400946422142</v>
          </cell>
          <cell r="Z45">
            <v>6.9014803298142597</v>
          </cell>
          <cell r="AA45">
            <v>6.748515751490312</v>
          </cell>
          <cell r="AB45">
            <v>6.4364694734288266</v>
          </cell>
          <cell r="AC45">
            <v>6.3053235195290611</v>
          </cell>
          <cell r="AD45">
            <v>6.2236620394663484</v>
          </cell>
          <cell r="AE45">
            <v>6.0386522880717726</v>
          </cell>
        </row>
        <row r="46">
          <cell r="G46" t="str">
            <v>RegionOtherNew</v>
          </cell>
          <cell r="H46" t="str">
            <v>Com</v>
          </cell>
          <cell r="I46" t="str">
            <v>Other</v>
          </cell>
          <cell r="J46" t="str">
            <v>New</v>
          </cell>
          <cell r="K46" t="str">
            <v>Millions SqFt</v>
          </cell>
          <cell r="L46">
            <v>12.863107129152304</v>
          </cell>
          <cell r="M46">
            <v>10.7220378193485</v>
          </cell>
          <cell r="N46">
            <v>10.142128438066296</v>
          </cell>
          <cell r="O46">
            <v>9.4611923499879236</v>
          </cell>
          <cell r="P46">
            <v>7.3638556881373223</v>
          </cell>
          <cell r="Q46">
            <v>8.1591439254269407</v>
          </cell>
          <cell r="R46">
            <v>7.9603673258815011</v>
          </cell>
          <cell r="S46">
            <v>8.6026166911432824</v>
          </cell>
          <cell r="T46">
            <v>9.3207800366095146</v>
          </cell>
          <cell r="U46">
            <v>9.0572786632714859</v>
          </cell>
          <cell r="V46">
            <v>10.184423730877143</v>
          </cell>
          <cell r="W46">
            <v>10.787657533789663</v>
          </cell>
          <cell r="X46">
            <v>11.005378574708409</v>
          </cell>
          <cell r="Y46">
            <v>10.267063981307951</v>
          </cell>
          <cell r="Z46">
            <v>11.027475862918971</v>
          </cell>
          <cell r="AA46">
            <v>9.9609233822623686</v>
          </cell>
          <cell r="AB46">
            <v>10.340047869658916</v>
          </cell>
          <cell r="AC46">
            <v>9.8383849729989699</v>
          </cell>
          <cell r="AD46">
            <v>9.3282989614436094</v>
          </cell>
          <cell r="AE46">
            <v>9.0355729282982153</v>
          </cell>
        </row>
        <row r="47">
          <cell r="G47" t="str">
            <v>RegionLarge OffStock 2016</v>
          </cell>
          <cell r="H47" t="str">
            <v>Com</v>
          </cell>
          <cell r="I47" t="str">
            <v>Large Off</v>
          </cell>
          <cell r="J47" t="str">
            <v>Stock 2016</v>
          </cell>
          <cell r="K47" t="str">
            <v>Millions SqFt</v>
          </cell>
          <cell r="L47">
            <v>380.08828477966154</v>
          </cell>
          <cell r="M47">
            <v>378.94801992532251</v>
          </cell>
          <cell r="N47">
            <v>377.81117586554655</v>
          </cell>
          <cell r="O47">
            <v>376.67774233794995</v>
          </cell>
          <cell r="P47">
            <v>375.54770911093607</v>
          </cell>
          <cell r="Q47">
            <v>374.42106598360328</v>
          </cell>
          <cell r="R47">
            <v>373.29780278565244</v>
          </cell>
          <cell r="S47">
            <v>372.17790937729552</v>
          </cell>
          <cell r="T47">
            <v>371.06137564916361</v>
          </cell>
          <cell r="U47">
            <v>369.94819152221612</v>
          </cell>
          <cell r="V47">
            <v>368.83834694764948</v>
          </cell>
          <cell r="W47">
            <v>367.73183190680658</v>
          </cell>
          <cell r="X47">
            <v>366.62863641108612</v>
          </cell>
          <cell r="Y47">
            <v>365.52875050185287</v>
          </cell>
          <cell r="Z47">
            <v>364.43216425034728</v>
          </cell>
          <cell r="AA47">
            <v>363.33886775759629</v>
          </cell>
          <cell r="AB47">
            <v>362.24885115432346</v>
          </cell>
          <cell r="AC47">
            <v>361.16210460086046</v>
          </cell>
          <cell r="AD47">
            <v>360.07861828705791</v>
          </cell>
          <cell r="AE47">
            <v>358.99838243219671</v>
          </cell>
        </row>
        <row r="48">
          <cell r="G48" t="str">
            <v>RegionMedium OffStock 2016</v>
          </cell>
          <cell r="H48" t="str">
            <v>Com</v>
          </cell>
          <cell r="I48" t="str">
            <v>Medium Off</v>
          </cell>
          <cell r="J48" t="str">
            <v>Stock 2016</v>
          </cell>
          <cell r="K48" t="str">
            <v>Millions SqFt</v>
          </cell>
          <cell r="L48">
            <v>190.73687138333023</v>
          </cell>
          <cell r="M48">
            <v>190.16466076918024</v>
          </cell>
          <cell r="N48">
            <v>189.59416678687271</v>
          </cell>
          <cell r="O48">
            <v>189.02538428651209</v>
          </cell>
          <cell r="P48">
            <v>188.45830813365254</v>
          </cell>
          <cell r="Q48">
            <v>187.89293320925157</v>
          </cell>
          <cell r="R48">
            <v>187.32925440962381</v>
          </cell>
          <cell r="S48">
            <v>186.76726664639497</v>
          </cell>
          <cell r="T48">
            <v>186.20696484645578</v>
          </cell>
          <cell r="U48">
            <v>185.64834395191642</v>
          </cell>
          <cell r="V48">
            <v>185.09139892006067</v>
          </cell>
          <cell r="W48">
            <v>184.5361247233005</v>
          </cell>
          <cell r="X48">
            <v>183.98251634913058</v>
          </cell>
          <cell r="Y48">
            <v>183.43056880008319</v>
          </cell>
          <cell r="Z48">
            <v>182.88027709368296</v>
          </cell>
          <cell r="AA48">
            <v>182.33163626240187</v>
          </cell>
          <cell r="AB48">
            <v>181.78464135361469</v>
          </cell>
          <cell r="AC48">
            <v>181.23928742955383</v>
          </cell>
          <cell r="AD48">
            <v>180.69556956726515</v>
          </cell>
          <cell r="AE48">
            <v>180.15348285856339</v>
          </cell>
        </row>
        <row r="49">
          <cell r="G49" t="str">
            <v>RegionSmall OffStock 2016</v>
          </cell>
          <cell r="H49" t="str">
            <v>Com</v>
          </cell>
          <cell r="I49" t="str">
            <v>Small Off</v>
          </cell>
          <cell r="J49" t="str">
            <v>Stock 2016</v>
          </cell>
          <cell r="K49" t="str">
            <v>Millions SqFt</v>
          </cell>
          <cell r="L49">
            <v>184.0913556049378</v>
          </cell>
          <cell r="M49">
            <v>183.53908153812301</v>
          </cell>
          <cell r="N49">
            <v>182.98846429350866</v>
          </cell>
          <cell r="O49">
            <v>182.43949890062811</v>
          </cell>
          <cell r="P49">
            <v>181.89218040392623</v>
          </cell>
          <cell r="Q49">
            <v>181.34650386271446</v>
          </cell>
          <cell r="R49">
            <v>180.80246435112633</v>
          </cell>
          <cell r="S49">
            <v>180.26005695807294</v>
          </cell>
          <cell r="T49">
            <v>179.71927678719871</v>
          </cell>
          <cell r="U49">
            <v>179.18011895683713</v>
          </cell>
          <cell r="V49">
            <v>178.64257859996661</v>
          </cell>
          <cell r="W49">
            <v>178.10665086416668</v>
          </cell>
          <cell r="X49">
            <v>177.57233091157423</v>
          </cell>
          <cell r="Y49">
            <v>177.03961391883951</v>
          </cell>
          <cell r="Z49">
            <v>176.50849507708296</v>
          </cell>
          <cell r="AA49">
            <v>175.97896959185172</v>
          </cell>
          <cell r="AB49">
            <v>175.45103268307616</v>
          </cell>
          <cell r="AC49">
            <v>174.92467958502692</v>
          </cell>
          <cell r="AD49">
            <v>174.39990554627184</v>
          </cell>
          <cell r="AE49">
            <v>173.87670582963304</v>
          </cell>
        </row>
        <row r="50">
          <cell r="G50" t="str">
            <v>RegionXLarge RetStock 2016</v>
          </cell>
          <cell r="H50" t="str">
            <v>Com</v>
          </cell>
          <cell r="I50" t="str">
            <v>XLarge Ret</v>
          </cell>
          <cell r="J50" t="str">
            <v>Stock 2016</v>
          </cell>
          <cell r="K50" t="str">
            <v>Millions SqFt</v>
          </cell>
          <cell r="L50">
            <v>138.35734062238015</v>
          </cell>
          <cell r="M50">
            <v>137.7208968555172</v>
          </cell>
          <cell r="N50">
            <v>137.08738072998179</v>
          </cell>
          <cell r="O50">
            <v>136.45677877862389</v>
          </cell>
          <cell r="P50">
            <v>135.8290775962422</v>
          </cell>
          <cell r="Q50">
            <v>135.20426383929947</v>
          </cell>
          <cell r="R50">
            <v>134.5823242256387</v>
          </cell>
          <cell r="S50">
            <v>133.96324553420075</v>
          </cell>
          <cell r="T50">
            <v>133.34701460474344</v>
          </cell>
          <cell r="U50">
            <v>132.73361833756161</v>
          </cell>
          <cell r="V50">
            <v>132.12304369320884</v>
          </cell>
          <cell r="W50">
            <v>131.51527769222005</v>
          </cell>
          <cell r="X50">
            <v>130.91030741483584</v>
          </cell>
          <cell r="Y50">
            <v>130.3081200007276</v>
          </cell>
          <cell r="Z50">
            <v>129.70870264872423</v>
          </cell>
          <cell r="AA50">
            <v>129.11204261654012</v>
          </cell>
          <cell r="AB50">
            <v>128.51812722050403</v>
          </cell>
          <cell r="AC50">
            <v>127.92694383528971</v>
          </cell>
          <cell r="AD50">
            <v>127.33847989364737</v>
          </cell>
          <cell r="AE50">
            <v>126.75272288613657</v>
          </cell>
        </row>
        <row r="51">
          <cell r="G51" t="str">
            <v>RegionLarge RetStock 2016</v>
          </cell>
          <cell r="H51" t="str">
            <v>Com</v>
          </cell>
          <cell r="I51" t="str">
            <v>Large Ret</v>
          </cell>
          <cell r="J51" t="str">
            <v>Stock 2016</v>
          </cell>
          <cell r="K51" t="str">
            <v>Millions SqFt</v>
          </cell>
          <cell r="L51">
            <v>208.9574509880029</v>
          </cell>
          <cell r="M51">
            <v>207.99624671345808</v>
          </cell>
          <cell r="N51">
            <v>207.03946397857615</v>
          </cell>
          <cell r="O51">
            <v>206.0870824442747</v>
          </cell>
          <cell r="P51">
            <v>205.13908186503102</v>
          </cell>
          <cell r="Q51">
            <v>204.1954420884519</v>
          </cell>
          <cell r="R51">
            <v>203.25614305484498</v>
          </cell>
          <cell r="S51">
            <v>202.32116479679266</v>
          </cell>
          <cell r="T51">
            <v>201.3904874387274</v>
          </cell>
          <cell r="U51">
            <v>200.46409119650929</v>
          </cell>
          <cell r="V51">
            <v>199.54195637700533</v>
          </cell>
          <cell r="W51">
            <v>198.62406337767112</v>
          </cell>
          <cell r="X51">
            <v>197.71039268613379</v>
          </cell>
          <cell r="Y51">
            <v>196.8009248797776</v>
          </cell>
          <cell r="Z51">
            <v>195.8956406253306</v>
          </cell>
          <cell r="AA51">
            <v>194.99452067845405</v>
          </cell>
          <cell r="AB51">
            <v>194.09754588333314</v>
          </cell>
          <cell r="AC51">
            <v>193.20469717226982</v>
          </cell>
          <cell r="AD51">
            <v>192.31595556527733</v>
          </cell>
          <cell r="AE51">
            <v>191.43130216967708</v>
          </cell>
        </row>
        <row r="52">
          <cell r="G52" t="str">
            <v>RegionMedium RetStock 2016</v>
          </cell>
          <cell r="H52" t="str">
            <v>Com</v>
          </cell>
          <cell r="I52" t="str">
            <v>Medium Ret</v>
          </cell>
          <cell r="J52" t="str">
            <v>Stock 2016</v>
          </cell>
          <cell r="K52" t="str">
            <v>Millions SqFt</v>
          </cell>
          <cell r="L52">
            <v>97.115689913224898</v>
          </cell>
          <cell r="M52">
            <v>96.668957739624062</v>
          </cell>
          <cell r="N52">
            <v>96.224280534021787</v>
          </cell>
          <cell r="O52">
            <v>95.781648843565293</v>
          </cell>
          <cell r="P52">
            <v>95.34105325888487</v>
          </cell>
          <cell r="Q52">
            <v>94.902484413894001</v>
          </cell>
          <cell r="R52">
            <v>94.465932985590086</v>
          </cell>
          <cell r="S52">
            <v>94.031389693856369</v>
          </cell>
          <cell r="T52">
            <v>93.598845301264618</v>
          </cell>
          <cell r="U52">
            <v>93.168290612878806</v>
          </cell>
          <cell r="V52">
            <v>92.739716476059556</v>
          </cell>
          <cell r="W52">
            <v>92.313113780269674</v>
          </cell>
          <cell r="X52">
            <v>91.888473456880433</v>
          </cell>
          <cell r="Y52">
            <v>91.465786478978771</v>
          </cell>
          <cell r="Z52">
            <v>91.045043861175472</v>
          </cell>
          <cell r="AA52">
            <v>90.626236659414062</v>
          </cell>
          <cell r="AB52">
            <v>90.209355970780734</v>
          </cell>
          <cell r="AC52">
            <v>89.794392933315152</v>
          </cell>
          <cell r="AD52">
            <v>89.381338725821905</v>
          </cell>
          <cell r="AE52">
            <v>88.97018456768312</v>
          </cell>
        </row>
        <row r="53">
          <cell r="G53" t="str">
            <v>RegionSmall RetStock 2016</v>
          </cell>
          <cell r="H53" t="str">
            <v>Com</v>
          </cell>
          <cell r="I53" t="str">
            <v>Small Ret</v>
          </cell>
          <cell r="J53" t="str">
            <v>Stock 2016</v>
          </cell>
          <cell r="K53" t="str">
            <v>Millions SqFt</v>
          </cell>
          <cell r="L53">
            <v>109.47966092768364</v>
          </cell>
          <cell r="M53">
            <v>108.97605448741629</v>
          </cell>
          <cell r="N53">
            <v>108.47476463677417</v>
          </cell>
          <cell r="O53">
            <v>107.975780719445</v>
          </cell>
          <cell r="P53">
            <v>107.47909212813555</v>
          </cell>
          <cell r="Q53">
            <v>106.98468830434612</v>
          </cell>
          <cell r="R53">
            <v>106.49255873814613</v>
          </cell>
          <cell r="S53">
            <v>106.00269296795065</v>
          </cell>
          <cell r="T53">
            <v>105.51508058029808</v>
          </cell>
          <cell r="U53">
            <v>105.0297112096287</v>
          </cell>
          <cell r="V53">
            <v>104.54657453806439</v>
          </cell>
          <cell r="W53">
            <v>104.0656602951893</v>
          </cell>
          <cell r="X53">
            <v>103.58695825783141</v>
          </cell>
          <cell r="Y53">
            <v>103.11045824984539</v>
          </cell>
          <cell r="Z53">
            <v>102.6361501418961</v>
          </cell>
          <cell r="AA53">
            <v>102.16402385124337</v>
          </cell>
          <cell r="AB53">
            <v>101.69406934152764</v>
          </cell>
          <cell r="AC53">
            <v>101.2262766225566</v>
          </cell>
          <cell r="AD53">
            <v>100.76063575009285</v>
          </cell>
          <cell r="AE53">
            <v>100.29713682564241</v>
          </cell>
        </row>
        <row r="54">
          <cell r="G54" t="str">
            <v>RegionSchool K-12Stock 2016</v>
          </cell>
          <cell r="H54" t="str">
            <v>Com</v>
          </cell>
          <cell r="I54" t="str">
            <v>School K-12</v>
          </cell>
          <cell r="J54" t="str">
            <v>Stock 2016</v>
          </cell>
          <cell r="K54" t="str">
            <v>Millions SqFt</v>
          </cell>
          <cell r="L54">
            <v>241.11763975818661</v>
          </cell>
          <cell r="M54">
            <v>240.12905743517803</v>
          </cell>
          <cell r="N54">
            <v>239.14452829969383</v>
          </cell>
          <cell r="O54">
            <v>238.16403573366509</v>
          </cell>
          <cell r="P54">
            <v>237.18756318715711</v>
          </cell>
          <cell r="Q54">
            <v>236.21509417808971</v>
          </cell>
          <cell r="R54">
            <v>235.24661229195956</v>
          </cell>
          <cell r="S54">
            <v>234.28210118156252</v>
          </cell>
          <cell r="T54">
            <v>233.32154456671807</v>
          </cell>
          <cell r="U54">
            <v>232.36492623399457</v>
          </cell>
          <cell r="V54">
            <v>231.41223003643518</v>
          </cell>
          <cell r="W54">
            <v>230.46343989328579</v>
          </cell>
          <cell r="X54">
            <v>229.51853978972335</v>
          </cell>
          <cell r="Y54">
            <v>228.57751377658545</v>
          </cell>
          <cell r="Z54">
            <v>227.64034597010144</v>
          </cell>
          <cell r="AA54">
            <v>226.70702055162403</v>
          </cell>
          <cell r="AB54">
            <v>225.77752176736234</v>
          </cell>
          <cell r="AC54">
            <v>224.85183392811618</v>
          </cell>
          <cell r="AD54">
            <v>223.92994140901092</v>
          </cell>
          <cell r="AE54">
            <v>223.01182864923393</v>
          </cell>
        </row>
        <row r="55">
          <cell r="G55" t="str">
            <v>RegionUniversityStock 2016</v>
          </cell>
          <cell r="H55" t="str">
            <v>Com</v>
          </cell>
          <cell r="I55" t="str">
            <v>University</v>
          </cell>
          <cell r="J55" t="str">
            <v>Stock 2016</v>
          </cell>
          <cell r="K55" t="str">
            <v>Millions SqFt</v>
          </cell>
          <cell r="L55">
            <v>122.15340627232256</v>
          </cell>
          <cell r="M55">
            <v>121.65257730660603</v>
          </cell>
          <cell r="N55">
            <v>121.15380173964894</v>
          </cell>
          <cell r="O55">
            <v>120.65707115251638</v>
          </cell>
          <cell r="P55">
            <v>120.16237716079107</v>
          </cell>
          <cell r="Q55">
            <v>119.66971141443182</v>
          </cell>
          <cell r="R55">
            <v>119.17906559763266</v>
          </cell>
          <cell r="S55">
            <v>118.69043142868237</v>
          </cell>
          <cell r="T55">
            <v>118.20380065982476</v>
          </cell>
          <cell r="U55">
            <v>117.71916507711948</v>
          </cell>
          <cell r="V55">
            <v>117.23651650030328</v>
          </cell>
          <cell r="W55">
            <v>116.75584678265207</v>
          </cell>
          <cell r="X55">
            <v>116.27714781084319</v>
          </cell>
          <cell r="Y55">
            <v>115.80041150481873</v>
          </cell>
          <cell r="Z55">
            <v>115.32562981764897</v>
          </cell>
          <cell r="AA55">
            <v>114.8527947353966</v>
          </cell>
          <cell r="AB55">
            <v>114.38189827698147</v>
          </cell>
          <cell r="AC55">
            <v>113.91293249404585</v>
          </cell>
          <cell r="AD55">
            <v>113.44588947082025</v>
          </cell>
          <cell r="AE55">
            <v>112.98076132398991</v>
          </cell>
        </row>
        <row r="56">
          <cell r="G56" t="str">
            <v>RegionWarehouseStock 2016</v>
          </cell>
          <cell r="H56" t="str">
            <v>Com</v>
          </cell>
          <cell r="I56" t="str">
            <v>Warehouse</v>
          </cell>
          <cell r="J56" t="str">
            <v>Stock 2016</v>
          </cell>
          <cell r="K56" t="str">
            <v>Millions SqFt</v>
          </cell>
          <cell r="L56">
            <v>448.69829599576161</v>
          </cell>
          <cell r="M56">
            <v>447.03811230057732</v>
          </cell>
          <cell r="N56">
            <v>445.3840712850652</v>
          </cell>
          <cell r="O56">
            <v>443.73615022131042</v>
          </cell>
          <cell r="P56">
            <v>442.09432646549152</v>
          </cell>
          <cell r="Q56">
            <v>440.45857745756916</v>
          </cell>
          <cell r="R56">
            <v>438.82888072097626</v>
          </cell>
          <cell r="S56">
            <v>437.2052138623086</v>
          </cell>
          <cell r="T56">
            <v>435.58755457101802</v>
          </cell>
          <cell r="U56">
            <v>433.97588061910528</v>
          </cell>
          <cell r="V56">
            <v>432.37016986081449</v>
          </cell>
          <cell r="W56">
            <v>430.77040023232951</v>
          </cell>
          <cell r="X56">
            <v>429.17654975146979</v>
          </cell>
          <cell r="Y56">
            <v>427.58859651738936</v>
          </cell>
          <cell r="Z56">
            <v>426.00651871027503</v>
          </cell>
          <cell r="AA56">
            <v>424.43029459104702</v>
          </cell>
          <cell r="AB56">
            <v>422.85990250106011</v>
          </cell>
          <cell r="AC56">
            <v>421.2953208618062</v>
          </cell>
          <cell r="AD56">
            <v>419.73652817461749</v>
          </cell>
          <cell r="AE56">
            <v>418.18350302037135</v>
          </cell>
        </row>
        <row r="57">
          <cell r="G57" t="str">
            <v>RegionSupermarketStock 2016</v>
          </cell>
          <cell r="H57" t="str">
            <v>Com</v>
          </cell>
          <cell r="I57" t="str">
            <v>Supermarket</v>
          </cell>
          <cell r="J57" t="str">
            <v>Stock 2016</v>
          </cell>
          <cell r="K57" t="str">
            <v>Millions SqFt</v>
          </cell>
          <cell r="L57">
            <v>53.720939527021244</v>
          </cell>
          <cell r="M57">
            <v>53.237451071278059</v>
          </cell>
          <cell r="N57">
            <v>52.758314011636557</v>
          </cell>
          <cell r="O57">
            <v>52.283489185531828</v>
          </cell>
          <cell r="P57">
            <v>51.812937782862043</v>
          </cell>
          <cell r="Q57">
            <v>51.346621342816277</v>
          </cell>
          <cell r="R57">
            <v>50.884501750730934</v>
          </cell>
          <cell r="S57">
            <v>50.426541234974358</v>
          </cell>
          <cell r="T57">
            <v>49.97270236385959</v>
          </cell>
          <cell r="U57">
            <v>49.522948042584851</v>
          </cell>
          <cell r="V57">
            <v>49.077241510201581</v>
          </cell>
          <cell r="W57">
            <v>48.635546336609778</v>
          </cell>
          <cell r="X57">
            <v>48.197826419580288</v>
          </cell>
          <cell r="Y57">
            <v>47.76404598180406</v>
          </cell>
          <cell r="Z57">
            <v>47.33416956796782</v>
          </cell>
          <cell r="AA57">
            <v>46.908162041856116</v>
          </cell>
          <cell r="AB57">
            <v>46.485988583479411</v>
          </cell>
          <cell r="AC57">
            <v>46.067614686228097</v>
          </cell>
          <cell r="AD57">
            <v>45.653006154052044</v>
          </cell>
          <cell r="AE57">
            <v>45.242129098665572</v>
          </cell>
        </row>
        <row r="58">
          <cell r="G58" t="str">
            <v>RegionMiniMartStock 2016</v>
          </cell>
          <cell r="H58" t="str">
            <v>Com</v>
          </cell>
          <cell r="I58" t="str">
            <v>MiniMart</v>
          </cell>
          <cell r="J58" t="str">
            <v>Stock 2016</v>
          </cell>
          <cell r="K58" t="str">
            <v>Millions SqFt</v>
          </cell>
          <cell r="L58">
            <v>22.491017060912501</v>
          </cell>
          <cell r="M58">
            <v>22.384859460384995</v>
          </cell>
          <cell r="N58">
            <v>22.279202923731983</v>
          </cell>
          <cell r="O58">
            <v>22.174045085931969</v>
          </cell>
          <cell r="P58">
            <v>22.069383593126368</v>
          </cell>
          <cell r="Q58">
            <v>21.965216102566814</v>
          </cell>
          <cell r="R58">
            <v>21.8615402825627</v>
          </cell>
          <cell r="S58">
            <v>21.758353812429004</v>
          </cell>
          <cell r="T58">
            <v>21.655654382434342</v>
          </cell>
          <cell r="U58">
            <v>21.553439693749251</v>
          </cell>
          <cell r="V58">
            <v>21.451707458394754</v>
          </cell>
          <cell r="W58">
            <v>21.350455399191134</v>
          </cell>
          <cell r="X58">
            <v>21.249681249706953</v>
          </cell>
          <cell r="Y58">
            <v>21.149382754208336</v>
          </cell>
          <cell r="Z58">
            <v>21.049557667608472</v>
          </cell>
          <cell r="AA58">
            <v>20.950203755417366</v>
          </cell>
          <cell r="AB58">
            <v>20.851318793691796</v>
          </cell>
          <cell r="AC58">
            <v>20.75290056898557</v>
          </cell>
          <cell r="AD58">
            <v>20.654946878299963</v>
          </cell>
          <cell r="AE58">
            <v>20.557455529034385</v>
          </cell>
        </row>
        <row r="59">
          <cell r="G59" t="str">
            <v>RegionRestaurantStock 2016</v>
          </cell>
          <cell r="H59" t="str">
            <v>Com</v>
          </cell>
          <cell r="I59" t="str">
            <v>Restaurant</v>
          </cell>
          <cell r="J59" t="str">
            <v>Stock 2016</v>
          </cell>
          <cell r="K59" t="str">
            <v>Millions SqFt</v>
          </cell>
          <cell r="L59">
            <v>51.550857208753726</v>
          </cell>
          <cell r="M59">
            <v>51.307537162728408</v>
          </cell>
          <cell r="N59">
            <v>51.065365587320336</v>
          </cell>
          <cell r="O59">
            <v>50.824337061748189</v>
          </cell>
          <cell r="P59">
            <v>50.584446190816735</v>
          </cell>
          <cell r="Q59">
            <v>50.345687604796083</v>
          </cell>
          <cell r="R59">
            <v>50.108055959301453</v>
          </cell>
          <cell r="S59">
            <v>49.871545935173543</v>
          </cell>
          <cell r="T59">
            <v>49.636152238359529</v>
          </cell>
          <cell r="U59">
            <v>49.40186959979448</v>
          </cell>
          <cell r="V59">
            <v>49.168692775283453</v>
          </cell>
          <cell r="W59">
            <v>48.936616545384119</v>
          </cell>
          <cell r="X59">
            <v>48.705635715289908</v>
          </cell>
          <cell r="Y59">
            <v>48.475745114713739</v>
          </cell>
          <cell r="Z59">
            <v>48.246939597772297</v>
          </cell>
          <cell r="AA59">
            <v>48.019214042870807</v>
          </cell>
          <cell r="AB59">
            <v>47.792563352588466</v>
          </cell>
          <cell r="AC59">
            <v>47.56698245356425</v>
          </cell>
          <cell r="AD59">
            <v>47.342466296383435</v>
          </cell>
          <cell r="AE59">
            <v>47.119009855464505</v>
          </cell>
        </row>
        <row r="60">
          <cell r="G60" t="str">
            <v>RegionLodgingStock 2016</v>
          </cell>
          <cell r="H60" t="str">
            <v>Com</v>
          </cell>
          <cell r="I60" t="str">
            <v>Lodging</v>
          </cell>
          <cell r="J60" t="str">
            <v>Stock 2016</v>
          </cell>
          <cell r="K60" t="str">
            <v>Millions SqFt</v>
          </cell>
          <cell r="L60">
            <v>170.15189589049527</v>
          </cell>
          <cell r="M60">
            <v>169.74353134035809</v>
          </cell>
          <cell r="N60">
            <v>169.33614686514122</v>
          </cell>
          <cell r="O60">
            <v>168.92974011266489</v>
          </cell>
          <cell r="P60">
            <v>168.52430873639449</v>
          </cell>
          <cell r="Q60">
            <v>168.11985039542716</v>
          </cell>
          <cell r="R60">
            <v>167.71636275447813</v>
          </cell>
          <cell r="S60">
            <v>167.31384348386743</v>
          </cell>
          <cell r="T60">
            <v>166.91229025950614</v>
          </cell>
          <cell r="U60">
            <v>166.51170076288332</v>
          </cell>
          <cell r="V60">
            <v>166.11207268105238</v>
          </cell>
          <cell r="W60">
            <v>165.7134037066179</v>
          </cell>
          <cell r="X60">
            <v>165.31569153772202</v>
          </cell>
          <cell r="Y60">
            <v>164.91893387803151</v>
          </cell>
          <cell r="Z60">
            <v>164.52312843672422</v>
          </cell>
          <cell r="AA60">
            <v>164.12827292847609</v>
          </cell>
          <cell r="AB60">
            <v>163.73436507344778</v>
          </cell>
          <cell r="AC60">
            <v>163.3414025972715</v>
          </cell>
          <cell r="AD60">
            <v>162.94938323103807</v>
          </cell>
          <cell r="AE60">
            <v>162.55830471128357</v>
          </cell>
        </row>
        <row r="61">
          <cell r="G61" t="str">
            <v>RegionHospitalStock 2016</v>
          </cell>
          <cell r="H61" t="str">
            <v>Com</v>
          </cell>
          <cell r="I61" t="str">
            <v>Hospital</v>
          </cell>
          <cell r="J61" t="str">
            <v>Stock 2016</v>
          </cell>
          <cell r="K61" t="str">
            <v>Millions SqFt</v>
          </cell>
          <cell r="L61">
            <v>105.02947953487826</v>
          </cell>
          <cell r="M61">
            <v>104.80891762785501</v>
          </cell>
          <cell r="N61">
            <v>104.58881890083651</v>
          </cell>
          <cell r="O61">
            <v>104.36918238114475</v>
          </cell>
          <cell r="P61">
            <v>104.15000709814436</v>
          </cell>
          <cell r="Q61">
            <v>103.93129208323826</v>
          </cell>
          <cell r="R61">
            <v>103.71303636986346</v>
          </cell>
          <cell r="S61">
            <v>103.49523899348674</v>
          </cell>
          <cell r="T61">
            <v>103.27789899160042</v>
          </cell>
          <cell r="U61">
            <v>103.06101540371807</v>
          </cell>
          <cell r="V61">
            <v>102.84458727137024</v>
          </cell>
          <cell r="W61">
            <v>102.62861363810038</v>
          </cell>
          <cell r="X61">
            <v>102.41309354946036</v>
          </cell>
          <cell r="Y61">
            <v>102.19802605300649</v>
          </cell>
          <cell r="Z61">
            <v>101.98341019829519</v>
          </cell>
          <cell r="AA61">
            <v>101.76924503687877</v>
          </cell>
          <cell r="AB61">
            <v>101.55552962230132</v>
          </cell>
          <cell r="AC61">
            <v>101.3422630100945</v>
          </cell>
          <cell r="AD61">
            <v>101.1294442577733</v>
          </cell>
          <cell r="AE61">
            <v>100.91707242483197</v>
          </cell>
        </row>
        <row r="62">
          <cell r="G62" t="str">
            <v>RegionResidential CareStock 2016</v>
          </cell>
          <cell r="H62" t="str">
            <v>Com</v>
          </cell>
          <cell r="I62" t="str">
            <v>Residential Care</v>
          </cell>
          <cell r="J62" t="str">
            <v>Stock 2016</v>
          </cell>
          <cell r="K62" t="str">
            <v>Millions SqFt</v>
          </cell>
          <cell r="L62">
            <v>128.74820917277606</v>
          </cell>
          <cell r="M62">
            <v>128.43921347076139</v>
          </cell>
          <cell r="N62">
            <v>128.1309593584316</v>
          </cell>
          <cell r="O62">
            <v>127.82344505597135</v>
          </cell>
          <cell r="P62">
            <v>127.51666878783702</v>
          </cell>
          <cell r="Q62">
            <v>127.21062878274621</v>
          </cell>
          <cell r="R62">
            <v>126.90532327366765</v>
          </cell>
          <cell r="S62">
            <v>126.60075049781085</v>
          </cell>
          <cell r="T62">
            <v>126.29690869661611</v>
          </cell>
          <cell r="U62">
            <v>125.99379611574425</v>
          </cell>
          <cell r="V62">
            <v>125.69141100506647</v>
          </cell>
          <cell r="W62">
            <v>125.3897516186543</v>
          </cell>
          <cell r="X62">
            <v>125.08881621476955</v>
          </cell>
          <cell r="Y62">
            <v>124.78860305585408</v>
          </cell>
          <cell r="Z62">
            <v>124.48911040852005</v>
          </cell>
          <cell r="AA62">
            <v>124.1903365435396</v>
          </cell>
          <cell r="AB62">
            <v>123.8922797358351</v>
          </cell>
          <cell r="AC62">
            <v>123.59493826446912</v>
          </cell>
          <cell r="AD62">
            <v>123.29831041263438</v>
          </cell>
          <cell r="AE62">
            <v>123.00239446764408</v>
          </cell>
        </row>
        <row r="63">
          <cell r="G63" t="str">
            <v>RegionAssemblyStock 2016</v>
          </cell>
          <cell r="H63" t="str">
            <v>Com</v>
          </cell>
          <cell r="I63" t="str">
            <v>Assembly</v>
          </cell>
          <cell r="J63" t="str">
            <v>Stock 2016</v>
          </cell>
          <cell r="K63" t="str">
            <v>Millions SqFt</v>
          </cell>
          <cell r="L63">
            <v>375.90224900649127</v>
          </cell>
          <cell r="M63">
            <v>374.21570091594884</v>
          </cell>
          <cell r="N63">
            <v>372.53671980450594</v>
          </cell>
          <cell r="O63">
            <v>370.86527172164978</v>
          </cell>
          <cell r="P63">
            <v>369.20132286919198</v>
          </cell>
          <cell r="Q63">
            <v>367.54483960058553</v>
          </cell>
          <cell r="R63">
            <v>365.89578842024423</v>
          </cell>
          <cell r="S63">
            <v>364.25413598286536</v>
          </cell>
          <cell r="T63">
            <v>362.6198490927556</v>
          </cell>
          <cell r="U63">
            <v>360.99289470315949</v>
          </cell>
          <cell r="V63">
            <v>359.37323991559134</v>
          </cell>
          <cell r="W63">
            <v>357.76085197917007</v>
          </cell>
          <cell r="X63">
            <v>356.15569828995689</v>
          </cell>
          <cell r="Y63">
            <v>354.55774639029596</v>
          </cell>
          <cell r="Z63">
            <v>352.96696396815821</v>
          </cell>
          <cell r="AA63">
            <v>351.38331885648773</v>
          </cell>
          <cell r="AB63">
            <v>349.80677903255156</v>
          </cell>
          <cell r="AC63">
            <v>348.23731261729228</v>
          </cell>
          <cell r="AD63">
            <v>346.67488787468267</v>
          </cell>
          <cell r="AE63">
            <v>345.11947321108494</v>
          </cell>
        </row>
        <row r="64">
          <cell r="G64" t="str">
            <v>RegionOtherStock 2016</v>
          </cell>
          <cell r="H64" t="str">
            <v>Com</v>
          </cell>
          <cell r="I64" t="str">
            <v>Other</v>
          </cell>
          <cell r="J64" t="str">
            <v>Stock 2016</v>
          </cell>
          <cell r="K64" t="str">
            <v>Millions SqFt</v>
          </cell>
          <cell r="L64">
            <v>342.64988330108076</v>
          </cell>
          <cell r="M64">
            <v>339.56603435137106</v>
          </cell>
          <cell r="N64">
            <v>336.50994004220871</v>
          </cell>
          <cell r="O64">
            <v>333.48135058182885</v>
          </cell>
          <cell r="P64">
            <v>330.48001842659238</v>
          </cell>
          <cell r="Q64">
            <v>327.50569826075304</v>
          </cell>
          <cell r="R64">
            <v>324.55814697640625</v>
          </cell>
          <cell r="S64">
            <v>321.63712365361863</v>
          </cell>
          <cell r="T64">
            <v>318.7423895407361</v>
          </cell>
          <cell r="U64">
            <v>315.87370803486942</v>
          </cell>
          <cell r="V64">
            <v>313.03084466255564</v>
          </cell>
          <cell r="W64">
            <v>310.21356706059254</v>
          </cell>
          <cell r="X64">
            <v>307.42164495704725</v>
          </cell>
          <cell r="Y64">
            <v>304.65485015243382</v>
          </cell>
          <cell r="Z64">
            <v>301.9129565010619</v>
          </cell>
          <cell r="AA64">
            <v>299.19573989255235</v>
          </cell>
          <cell r="AB64">
            <v>296.50297823351934</v>
          </cell>
          <cell r="AC64">
            <v>293.83445142941764</v>
          </cell>
          <cell r="AD64">
            <v>291.18994136655289</v>
          </cell>
          <cell r="AE64">
            <v>288.5692318942539</v>
          </cell>
        </row>
        <row r="65">
          <cell r="G65" t="str">
            <v>RegionIdahoStock</v>
          </cell>
          <cell r="H65" t="str">
            <v>Ag</v>
          </cell>
          <cell r="I65" t="str">
            <v>Idaho</v>
          </cell>
          <cell r="J65" t="str">
            <v>Stock</v>
          </cell>
          <cell r="K65" t="str">
            <v>% Growth</v>
          </cell>
          <cell r="L65">
            <v>0</v>
          </cell>
          <cell r="M65">
            <v>1.2504100211369894E-4</v>
          </cell>
          <cell r="N65">
            <v>1.7375879514796466E-4</v>
          </cell>
          <cell r="O65">
            <v>6.1210927779177624E-4</v>
          </cell>
          <cell r="P65">
            <v>8.8127487458086599E-4</v>
          </cell>
          <cell r="Q65">
            <v>1.1201972174019578E-3</v>
          </cell>
          <cell r="R65">
            <v>1.2717867360821197E-3</v>
          </cell>
          <cell r="S65">
            <v>1.4404642508513471E-3</v>
          </cell>
          <cell r="T65">
            <v>1.5874396385228723E-3</v>
          </cell>
          <cell r="U65">
            <v>1.7204636459112381E-3</v>
          </cell>
          <cell r="V65">
            <v>1.8289050040785739E-3</v>
          </cell>
          <cell r="W65">
            <v>1.9377539743383628E-3</v>
          </cell>
          <cell r="X65">
            <v>2.0316119038316116E-3</v>
          </cell>
          <cell r="Y65">
            <v>2.128079506222659E-3</v>
          </cell>
          <cell r="Z65">
            <v>2.2126572758413075E-3</v>
          </cell>
          <cell r="AA65">
            <v>2.2578225416429688E-3</v>
          </cell>
          <cell r="AB65">
            <v>2.3464540176612314E-3</v>
          </cell>
          <cell r="AC65">
            <v>2.414467009038601E-3</v>
          </cell>
          <cell r="AD65">
            <v>2.4848313911262653E-3</v>
          </cell>
          <cell r="AE65">
            <v>2.5344116000376449E-3</v>
          </cell>
        </row>
        <row r="66">
          <cell r="G66" t="str">
            <v>RegionMontanaStock</v>
          </cell>
          <cell r="H66" t="str">
            <v>Ag</v>
          </cell>
          <cell r="I66" t="str">
            <v>Montana</v>
          </cell>
          <cell r="J66" t="str">
            <v>Stock</v>
          </cell>
          <cell r="K66" t="str">
            <v>% Growth</v>
          </cell>
          <cell r="L66">
            <v>0</v>
          </cell>
          <cell r="M66">
            <v>1.0848242299839954E-2</v>
          </cell>
          <cell r="N66">
            <v>1.059267655252486E-2</v>
          </cell>
          <cell r="O66">
            <v>1.0752312089181865E-2</v>
          </cell>
          <cell r="P66">
            <v>1.075849831916186E-2</v>
          </cell>
          <cell r="Q66">
            <v>7.6567396067742733E-3</v>
          </cell>
          <cell r="R66">
            <v>7.6532068711881581E-3</v>
          </cell>
          <cell r="S66">
            <v>7.9235679867256659E-3</v>
          </cell>
          <cell r="T66">
            <v>8.1459053842477987E-3</v>
          </cell>
          <cell r="U66">
            <v>8.331284422267278E-3</v>
          </cell>
          <cell r="V66">
            <v>8.47135846405455E-3</v>
          </cell>
          <cell r="W66">
            <v>8.5938864965773454E-3</v>
          </cell>
          <cell r="X66">
            <v>8.6866032784890905E-3</v>
          </cell>
          <cell r="Y66">
            <v>8.7680800681235963E-3</v>
          </cell>
          <cell r="Z66">
            <v>8.8271867856936984E-3</v>
          </cell>
          <cell r="AA66">
            <v>8.8355566433926322E-3</v>
          </cell>
          <cell r="AB66">
            <v>8.8812025924713319E-3</v>
          </cell>
          <cell r="AC66">
            <v>8.8979055290069331E-3</v>
          </cell>
          <cell r="AD66">
            <v>8.9118787925779024E-3</v>
          </cell>
          <cell r="AE66">
            <v>8.9015256915168112E-3</v>
          </cell>
        </row>
        <row r="67">
          <cell r="G67" t="str">
            <v>RegionOregonStock</v>
          </cell>
          <cell r="H67" t="str">
            <v>Ag</v>
          </cell>
          <cell r="I67" t="str">
            <v>Oregon</v>
          </cell>
          <cell r="J67" t="str">
            <v>Stock</v>
          </cell>
          <cell r="K67" t="str">
            <v>% Growth</v>
          </cell>
          <cell r="L67">
            <v>0</v>
          </cell>
          <cell r="M67">
            <v>1.0110842680911804E-2</v>
          </cell>
          <cell r="N67">
            <v>1.0059217505089263E-2</v>
          </cell>
          <cell r="O67">
            <v>1.1176866051223918E-2</v>
          </cell>
          <cell r="P67">
            <v>1.9803102619340613E-2</v>
          </cell>
          <cell r="Q67">
            <v>1.2078828157499845E-2</v>
          </cell>
          <cell r="R67">
            <v>1.2074917420983849E-2</v>
          </cell>
          <cell r="S67">
            <v>1.2823009061012478E-2</v>
          </cell>
          <cell r="T67">
            <v>1.2064646132519813E-2</v>
          </cell>
          <cell r="U67">
            <v>2.1359830411811859E-2</v>
          </cell>
          <cell r="V67">
            <v>1.1864279678250279E-2</v>
          </cell>
          <cell r="W67">
            <v>1.1811806122028052E-2</v>
          </cell>
          <cell r="X67">
            <v>1.1060463245174785E-2</v>
          </cell>
          <cell r="Y67">
            <v>1.1689201211084101E-2</v>
          </cell>
          <cell r="Z67">
            <v>1.9623204602959039E-2</v>
          </cell>
          <cell r="AA67">
            <v>1.2054155221857031E-2</v>
          </cell>
          <cell r="AB67">
            <v>1.2615728823653952E-2</v>
          </cell>
          <cell r="AC67">
            <v>1.2496481187089379E-2</v>
          </cell>
          <cell r="AD67">
            <v>1.1753415892541448E-2</v>
          </cell>
          <cell r="AE67">
            <v>2.0946064887122692E-2</v>
          </cell>
        </row>
        <row r="68">
          <cell r="G68" t="str">
            <v>RegionWashingtonStock</v>
          </cell>
          <cell r="H68" t="str">
            <v>Ag</v>
          </cell>
          <cell r="I68" t="str">
            <v>Washington</v>
          </cell>
          <cell r="J68" t="str">
            <v>Stock</v>
          </cell>
          <cell r="K68" t="str">
            <v>% Growth</v>
          </cell>
          <cell r="L68">
            <v>0</v>
          </cell>
          <cell r="M68">
            <v>1.0662122206220235E-2</v>
          </cell>
          <cell r="N68">
            <v>1.0931258902780325E-2</v>
          </cell>
          <cell r="O68">
            <v>1.1173761515183053E-2</v>
          </cell>
          <cell r="P68">
            <v>1.811439906784525E-2</v>
          </cell>
          <cell r="Q68">
            <v>1.2399989211989764E-2</v>
          </cell>
          <cell r="R68">
            <v>1.1939862954954953E-2</v>
          </cell>
          <cell r="S68">
            <v>1.2288284859874222E-2</v>
          </cell>
          <cell r="T68">
            <v>1.1842226253476947E-2</v>
          </cell>
          <cell r="U68">
            <v>1.9682157833762929E-2</v>
          </cell>
          <cell r="V68">
            <v>1.1592234987503456E-2</v>
          </cell>
          <cell r="W68">
            <v>1.1147844023716795E-2</v>
          </cell>
          <cell r="X68">
            <v>1.1425985017752077E-2</v>
          </cell>
          <cell r="Y68">
            <v>1.0985810035676221E-2</v>
          </cell>
          <cell r="Z68">
            <v>1.7930228386922677E-2</v>
          </cell>
          <cell r="AA68">
            <v>1.1736355426763144E-2</v>
          </cell>
          <cell r="AB68">
            <v>1.1982095590114178E-2</v>
          </cell>
          <cell r="AC68">
            <v>1.1862624139313738E-2</v>
          </cell>
          <cell r="AD68">
            <v>1.1418033334772959E-2</v>
          </cell>
          <cell r="AE68">
            <v>1.8838157687553127E-2</v>
          </cell>
        </row>
        <row r="69">
          <cell r="G69" t="str">
            <v>RegionIdahoDairyStock</v>
          </cell>
          <cell r="H69" t="str">
            <v>Dairy</v>
          </cell>
          <cell r="I69" t="str">
            <v>IdahoDairy</v>
          </cell>
          <cell r="J69" t="str">
            <v>Stock</v>
          </cell>
          <cell r="K69" t="str">
            <v>1000lbs</v>
          </cell>
          <cell r="L69">
            <v>13629.012110609969</v>
          </cell>
          <cell r="M69">
            <v>13842.907114251881</v>
          </cell>
          <cell r="N69">
            <v>14023.216425344392</v>
          </cell>
          <cell r="O69">
            <v>14266.319353967396</v>
          </cell>
          <cell r="P69">
            <v>14513.683501515552</v>
          </cell>
          <cell r="Q69">
            <v>14784.738793280194</v>
          </cell>
          <cell r="R69">
            <v>15048.82150982591</v>
          </cell>
          <cell r="S69">
            <v>15351.081667959821</v>
          </cell>
          <cell r="T69">
            <v>15676.70161423125</v>
          </cell>
          <cell r="U69">
            <v>16022.910400199034</v>
          </cell>
          <cell r="V69">
            <v>16435.334001552066</v>
          </cell>
          <cell r="W69">
            <v>16796.9270935268</v>
          </cell>
          <cell r="X69">
            <v>17186.008838626629</v>
          </cell>
          <cell r="Y69">
            <v>17509.663776252026</v>
          </cell>
          <cell r="Z69">
            <v>17849.045518001847</v>
          </cell>
          <cell r="AA69">
            <v>18205.116228437721</v>
          </cell>
          <cell r="AB69">
            <v>18533.843580326749</v>
          </cell>
          <cell r="AC69">
            <v>18839.457555909743</v>
          </cell>
          <cell r="AD69">
            <v>19186.22471079613</v>
          </cell>
          <cell r="AE69">
            <v>19422.392838095242</v>
          </cell>
        </row>
        <row r="70">
          <cell r="G70" t="str">
            <v>RegionMontanaDairyStock</v>
          </cell>
          <cell r="H70" t="str">
            <v>Dairy</v>
          </cell>
          <cell r="I70" t="str">
            <v>MontanaDairy</v>
          </cell>
          <cell r="J70" t="str">
            <v>Stock</v>
          </cell>
          <cell r="K70" t="str">
            <v>1000lbs</v>
          </cell>
          <cell r="L70">
            <v>90.74529582059904</v>
          </cell>
          <cell r="M70">
            <v>90.898327903457215</v>
          </cell>
          <cell r="N70">
            <v>90.899562515809663</v>
          </cell>
          <cell r="O70">
            <v>91.013237267303055</v>
          </cell>
          <cell r="P70">
            <v>90.967755259326395</v>
          </cell>
          <cell r="Q70">
            <v>90.924506050749457</v>
          </cell>
          <cell r="R70">
            <v>91.025748037140048</v>
          </cell>
          <cell r="S70">
            <v>91.099301040678228</v>
          </cell>
          <cell r="T70">
            <v>90.915023147811965</v>
          </cell>
          <cell r="U70">
            <v>90.903023153329187</v>
          </cell>
          <cell r="V70">
            <v>90.903850245090197</v>
          </cell>
          <cell r="W70">
            <v>90.425722269176404</v>
          </cell>
          <cell r="X70">
            <v>90.371471553755299</v>
          </cell>
          <cell r="Y70">
            <v>90.264014484201496</v>
          </cell>
          <cell r="Z70">
            <v>90.097051493259059</v>
          </cell>
          <cell r="AA70">
            <v>89.896800203896433</v>
          </cell>
          <cell r="AB70">
            <v>89.896456479218287</v>
          </cell>
          <cell r="AC70">
            <v>89.606519803497406</v>
          </cell>
          <cell r="AD70">
            <v>89.325294250105614</v>
          </cell>
          <cell r="AE70">
            <v>89.328380794090677</v>
          </cell>
        </row>
        <row r="71">
          <cell r="G71" t="str">
            <v>RegionOregonDairyStock</v>
          </cell>
          <cell r="H71" t="str">
            <v>Dairy</v>
          </cell>
          <cell r="I71" t="str">
            <v>OregonDairy</v>
          </cell>
          <cell r="J71" t="str">
            <v>Stock</v>
          </cell>
          <cell r="K71" t="str">
            <v>1000lbs</v>
          </cell>
          <cell r="L71">
            <v>2744.180551622544</v>
          </cell>
          <cell r="M71">
            <v>2781.3253166710429</v>
          </cell>
          <cell r="N71">
            <v>2817.8028576592669</v>
          </cell>
          <cell r="O71">
            <v>2852.4466796581391</v>
          </cell>
          <cell r="P71">
            <v>2887.2703785501863</v>
          </cell>
          <cell r="Q71">
            <v>2923.2055190854799</v>
          </cell>
          <cell r="R71">
            <v>2963.8717110873577</v>
          </cell>
          <cell r="S71">
            <v>3007.9285968792492</v>
          </cell>
          <cell r="T71">
            <v>3054.4586648127197</v>
          </cell>
          <cell r="U71">
            <v>3103.2723514737127</v>
          </cell>
          <cell r="V71">
            <v>3155.2926430989965</v>
          </cell>
          <cell r="W71">
            <v>3205.2179835947745</v>
          </cell>
          <cell r="X71">
            <v>3255.0785902298294</v>
          </cell>
          <cell r="Y71">
            <v>3304.2085620815005</v>
          </cell>
          <cell r="Z71">
            <v>3359.7128554945239</v>
          </cell>
          <cell r="AA71">
            <v>3405.0605171911329</v>
          </cell>
          <cell r="AB71">
            <v>3454.1652559274162</v>
          </cell>
          <cell r="AC71">
            <v>3509.2005551615157</v>
          </cell>
          <cell r="AD71">
            <v>3557.2266817524842</v>
          </cell>
          <cell r="AE71">
            <v>3610.3576666465606</v>
          </cell>
        </row>
        <row r="72">
          <cell r="G72" t="str">
            <v>RegionWashingtonDairyStock</v>
          </cell>
          <cell r="H72" t="str">
            <v>Dairy</v>
          </cell>
          <cell r="I72" t="str">
            <v>WashingtonDairy</v>
          </cell>
          <cell r="J72" t="str">
            <v>Stock</v>
          </cell>
          <cell r="K72" t="str">
            <v>1000lbs</v>
          </cell>
          <cell r="L72">
            <v>6417.4166624736044</v>
          </cell>
          <cell r="M72">
            <v>6527.6845985495966</v>
          </cell>
          <cell r="N72">
            <v>6648.0748527559354</v>
          </cell>
          <cell r="O72">
            <v>6750.5768396680051</v>
          </cell>
          <cell r="P72">
            <v>6858.9947023924851</v>
          </cell>
          <cell r="Q72">
            <v>6950.9448303929594</v>
          </cell>
          <cell r="R72">
            <v>7066.5055116132971</v>
          </cell>
          <cell r="S72">
            <v>7154.1963866384513</v>
          </cell>
          <cell r="T72">
            <v>7260.5595150379595</v>
          </cell>
          <cell r="U72">
            <v>7382.1828771063319</v>
          </cell>
          <cell r="V72">
            <v>7515.612457778011</v>
          </cell>
          <cell r="W72">
            <v>7658.3815592644387</v>
          </cell>
          <cell r="X72">
            <v>7790.6041619373518</v>
          </cell>
          <cell r="Y72">
            <v>7925.9535611829233</v>
          </cell>
          <cell r="Z72">
            <v>8056.1594585167277</v>
          </cell>
          <cell r="AA72">
            <v>8212.3413257643278</v>
          </cell>
          <cell r="AB72">
            <v>8359.6360208598271</v>
          </cell>
          <cell r="AC72">
            <v>8487.3604780857568</v>
          </cell>
          <cell r="AD72">
            <v>8647.4216609802097</v>
          </cell>
          <cell r="AE72">
            <v>8766.8632794861296</v>
          </cell>
        </row>
        <row r="73">
          <cell r="G73" t="str">
            <v>RegionMechanical PulpStock</v>
          </cell>
          <cell r="H73" t="str">
            <v>Ind</v>
          </cell>
          <cell r="I73" t="str">
            <v>Mechanical Pulp</v>
          </cell>
          <cell r="J73" t="str">
            <v>Stock</v>
          </cell>
          <cell r="K73" t="str">
            <v>Consumption (MWh)</v>
          </cell>
          <cell r="L73">
            <v>3758422.9515033378</v>
          </cell>
          <cell r="M73">
            <v>3846371.717457301</v>
          </cell>
          <cell r="N73">
            <v>3968374.1915052147</v>
          </cell>
          <cell r="O73">
            <v>4090510.3824295267</v>
          </cell>
          <cell r="P73">
            <v>4250302.9154343279</v>
          </cell>
          <cell r="Q73">
            <v>4334033.2977658212</v>
          </cell>
          <cell r="R73">
            <v>4456327.439187984</v>
          </cell>
          <cell r="S73">
            <v>4578789.2711511394</v>
          </cell>
          <cell r="T73">
            <v>4701360.1942719091</v>
          </cell>
          <cell r="U73">
            <v>4824313.8733196864</v>
          </cell>
          <cell r="V73">
            <v>4947352.2681518989</v>
          </cell>
          <cell r="W73">
            <v>5070668.4941239785</v>
          </cell>
          <cell r="X73">
            <v>5241393.4127492504</v>
          </cell>
          <cell r="Y73">
            <v>5317320.3001071345</v>
          </cell>
          <cell r="Z73">
            <v>5440661.5619043242</v>
          </cell>
          <cell r="AA73">
            <v>5564018.2642552005</v>
          </cell>
          <cell r="AB73">
            <v>5739586.1964683067</v>
          </cell>
          <cell r="AC73">
            <v>5811280.9684790904</v>
          </cell>
          <cell r="AD73">
            <v>5935246.9976805374</v>
          </cell>
          <cell r="AE73">
            <v>6059032.0232603503</v>
          </cell>
        </row>
        <row r="74">
          <cell r="G74" t="str">
            <v>RegionKraft PulpStock</v>
          </cell>
          <cell r="H74" t="str">
            <v>Ind</v>
          </cell>
          <cell r="I74" t="str">
            <v>Kraft Pulp</v>
          </cell>
          <cell r="J74" t="str">
            <v>Stock</v>
          </cell>
          <cell r="K74" t="str">
            <v>Consumption (MWh)</v>
          </cell>
          <cell r="L74">
            <v>2773481.4382196674</v>
          </cell>
          <cell r="M74">
            <v>2819427.5750914654</v>
          </cell>
          <cell r="N74">
            <v>2890507.7097985409</v>
          </cell>
          <cell r="O74">
            <v>2962071.1114584161</v>
          </cell>
          <cell r="P74">
            <v>3059997.7868964532</v>
          </cell>
          <cell r="Q74">
            <v>3103655.7832492976</v>
          </cell>
          <cell r="R74">
            <v>3174966.0896720556</v>
          </cell>
          <cell r="S74">
            <v>3246510.2403896889</v>
          </cell>
          <cell r="T74">
            <v>3318080.388651574</v>
          </cell>
          <cell r="U74">
            <v>3389982.4618547466</v>
          </cell>
          <cell r="V74">
            <v>3462131.4738810235</v>
          </cell>
          <cell r="W74">
            <v>3534707.6510694856</v>
          </cell>
          <cell r="X74">
            <v>3640109.6347631621</v>
          </cell>
          <cell r="Y74">
            <v>3679903.4172538687</v>
          </cell>
          <cell r="Z74">
            <v>3752596.4740436999</v>
          </cell>
          <cell r="AA74">
            <v>3825294.7476344355</v>
          </cell>
          <cell r="AB74">
            <v>3934104.1351328893</v>
          </cell>
          <cell r="AC74">
            <v>3971456.2759534372</v>
          </cell>
          <cell r="AD74">
            <v>4044721.9040998006</v>
          </cell>
          <cell r="AE74">
            <v>4117951.8072271077</v>
          </cell>
        </row>
        <row r="75">
          <cell r="G75" t="str">
            <v>RegionPaperStock</v>
          </cell>
          <cell r="H75" t="str">
            <v>Ind</v>
          </cell>
          <cell r="I75" t="str">
            <v>Paper</v>
          </cell>
          <cell r="J75" t="str">
            <v>Stock</v>
          </cell>
          <cell r="K75" t="str">
            <v>Consumption (MWh)</v>
          </cell>
          <cell r="L75">
            <v>909695.70566164097</v>
          </cell>
          <cell r="M75">
            <v>929841.98736761883</v>
          </cell>
          <cell r="N75">
            <v>958296.9900283548</v>
          </cell>
          <cell r="O75">
            <v>986772.46541472664</v>
          </cell>
          <cell r="P75">
            <v>1024503.2482359634</v>
          </cell>
          <cell r="Q75">
            <v>1043814.269249864</v>
          </cell>
          <cell r="R75">
            <v>1072416.0473229263</v>
          </cell>
          <cell r="S75">
            <v>1101138.6289797227</v>
          </cell>
          <cell r="T75">
            <v>1129827.4252453854</v>
          </cell>
          <cell r="U75">
            <v>1158615.4096222189</v>
          </cell>
          <cell r="V75">
            <v>1187381.7412163604</v>
          </cell>
          <cell r="W75">
            <v>1216221.7351596826</v>
          </cell>
          <cell r="X75">
            <v>1256359.4314945252</v>
          </cell>
          <cell r="Y75">
            <v>1273754.7023949234</v>
          </cell>
          <cell r="Z75">
            <v>1302557.2241510332</v>
          </cell>
          <cell r="AA75">
            <v>1331330.2770174742</v>
          </cell>
          <cell r="AB75">
            <v>1372605.4069409962</v>
          </cell>
          <cell r="AC75">
            <v>1388979.5459728481</v>
          </cell>
          <cell r="AD75">
            <v>1417876.2653212347</v>
          </cell>
          <cell r="AE75">
            <v>1446660.9687985121</v>
          </cell>
        </row>
        <row r="76">
          <cell r="G76" t="str">
            <v>RegionFoundriesStock</v>
          </cell>
          <cell r="H76" t="str">
            <v>Ind</v>
          </cell>
          <cell r="I76" t="str">
            <v>Foundries</v>
          </cell>
          <cell r="J76" t="str">
            <v>Stock</v>
          </cell>
          <cell r="K76" t="str">
            <v>Consumption (MWh)</v>
          </cell>
          <cell r="L76">
            <v>2911780.7125423807</v>
          </cell>
          <cell r="M76">
            <v>2836711.9420544878</v>
          </cell>
          <cell r="N76">
            <v>2789583.7208478679</v>
          </cell>
          <cell r="O76">
            <v>2744161.1652043322</v>
          </cell>
          <cell r="P76">
            <v>2724138.9595719618</v>
          </cell>
          <cell r="Q76">
            <v>2657920.4757749322</v>
          </cell>
          <cell r="R76">
            <v>2617304.9227809869</v>
          </cell>
          <cell r="S76">
            <v>2577672.8738681655</v>
          </cell>
          <cell r="T76">
            <v>2539470.2769998731</v>
          </cell>
          <cell r="U76">
            <v>2502370.6800410077</v>
          </cell>
          <cell r="V76">
            <v>2466328.7382904179</v>
          </cell>
          <cell r="W76">
            <v>2431145.5854122876</v>
          </cell>
          <cell r="X76">
            <v>2419072.5388772879</v>
          </cell>
          <cell r="Y76">
            <v>2363410.6682392037</v>
          </cell>
          <cell r="Z76">
            <v>2330315.4302864787</v>
          </cell>
          <cell r="AA76">
            <v>2297818.1106687617</v>
          </cell>
          <cell r="AB76">
            <v>2286770.7986101452</v>
          </cell>
          <cell r="AC76">
            <v>2234701.6262630955</v>
          </cell>
          <cell r="AD76">
            <v>2204017.8086585626</v>
          </cell>
          <cell r="AE76">
            <v>2173546.4494459317</v>
          </cell>
        </row>
        <row r="77">
          <cell r="G77" t="str">
            <v>RegionFrozen FoodStock</v>
          </cell>
          <cell r="H77" t="str">
            <v>Ind</v>
          </cell>
          <cell r="I77" t="str">
            <v>Frozen Food</v>
          </cell>
          <cell r="J77" t="str">
            <v>Stock</v>
          </cell>
          <cell r="K77" t="str">
            <v>Consumption (MWh)</v>
          </cell>
          <cell r="L77">
            <v>1237117.9151862806</v>
          </cell>
          <cell r="M77">
            <v>1256265.8697824469</v>
          </cell>
          <cell r="N77">
            <v>1286638.141562406</v>
          </cell>
          <cell r="O77">
            <v>1317026.0249685342</v>
          </cell>
          <cell r="P77">
            <v>1359372.6119707115</v>
          </cell>
          <cell r="Q77">
            <v>1377450.5956346455</v>
          </cell>
          <cell r="R77">
            <v>1407752.7747509496</v>
          </cell>
          <cell r="S77">
            <v>1438031.0417962291</v>
          </cell>
          <cell r="T77">
            <v>1468359.9477337729</v>
          </cell>
          <cell r="U77">
            <v>1498806.1175902041</v>
          </cell>
          <cell r="V77">
            <v>1529247.5005361729</v>
          </cell>
          <cell r="W77">
            <v>1559755.0254088808</v>
          </cell>
          <cell r="X77">
            <v>1604695.7181381483</v>
          </cell>
          <cell r="Y77">
            <v>1620685.0488578391</v>
          </cell>
          <cell r="Z77">
            <v>1651120.4927678995</v>
          </cell>
          <cell r="AA77">
            <v>1681526.4060613776</v>
          </cell>
          <cell r="AB77">
            <v>1727706.9650814079</v>
          </cell>
          <cell r="AC77">
            <v>1742468.2976748645</v>
          </cell>
          <cell r="AD77">
            <v>1772999.536528415</v>
          </cell>
          <cell r="AE77">
            <v>1803423.3883706611</v>
          </cell>
        </row>
        <row r="78">
          <cell r="G78" t="str">
            <v>RegionOther FoodStock</v>
          </cell>
          <cell r="H78" t="str">
            <v>Ind</v>
          </cell>
          <cell r="I78" t="str">
            <v>Other Food</v>
          </cell>
          <cell r="J78" t="str">
            <v>Stock</v>
          </cell>
          <cell r="K78" t="str">
            <v>Consumption (MWh)</v>
          </cell>
          <cell r="L78">
            <v>2189215.7914933185</v>
          </cell>
          <cell r="M78">
            <v>2225714.4170001475</v>
          </cell>
          <cell r="N78">
            <v>2281801.3842795906</v>
          </cell>
          <cell r="O78">
            <v>2337878.4662610777</v>
          </cell>
          <cell r="P78">
            <v>2414859.5617400161</v>
          </cell>
          <cell r="Q78">
            <v>2449639.2617126312</v>
          </cell>
          <cell r="R78">
            <v>2505916.452109566</v>
          </cell>
          <cell r="S78">
            <v>2561919.8701418121</v>
          </cell>
          <cell r="T78">
            <v>2618248.9470964097</v>
          </cell>
          <cell r="U78">
            <v>2674706.0878431001</v>
          </cell>
          <cell r="V78">
            <v>2731406.8457201738</v>
          </cell>
          <cell r="W78">
            <v>2788145.294466868</v>
          </cell>
          <cell r="X78">
            <v>2870921.2322274465</v>
          </cell>
          <cell r="Y78">
            <v>2901825.3565548556</v>
          </cell>
          <cell r="Z78">
            <v>2958750.6188529818</v>
          </cell>
          <cell r="AA78">
            <v>3015584.6219987967</v>
          </cell>
          <cell r="AB78">
            <v>3100853.4167639203</v>
          </cell>
          <cell r="AC78">
            <v>3129759.8328607553</v>
          </cell>
          <cell r="AD78">
            <v>3187110.5829028329</v>
          </cell>
          <cell r="AE78">
            <v>3244229.8759716363</v>
          </cell>
        </row>
        <row r="79">
          <cell r="G79" t="str">
            <v>RegionWood - LumberStock</v>
          </cell>
          <cell r="H79" t="str">
            <v>Ind</v>
          </cell>
          <cell r="I79" t="str">
            <v>Wood - Lumber</v>
          </cell>
          <cell r="J79" t="str">
            <v>Stock</v>
          </cell>
          <cell r="K79" t="str">
            <v>Consumption (MWh)</v>
          </cell>
          <cell r="L79">
            <v>1161963.8217505382</v>
          </cell>
          <cell r="M79">
            <v>1117769.5487595289</v>
          </cell>
          <cell r="N79">
            <v>1084874.9921310821</v>
          </cell>
          <cell r="O79">
            <v>1052791.9192047431</v>
          </cell>
          <cell r="P79">
            <v>1030397.4491679214</v>
          </cell>
          <cell r="Q79">
            <v>990879.29279742646</v>
          </cell>
          <cell r="R79">
            <v>961065.17490868072</v>
          </cell>
          <cell r="S79">
            <v>931730.64036078285</v>
          </cell>
          <cell r="T79">
            <v>903080.08419384609</v>
          </cell>
          <cell r="U79">
            <v>874945.75211344392</v>
          </cell>
          <cell r="V79">
            <v>847310.7915088681</v>
          </cell>
          <cell r="W79">
            <v>820119.00687699113</v>
          </cell>
          <cell r="X79">
            <v>800618.32318729174</v>
          </cell>
          <cell r="Y79">
            <v>766954.27095195896</v>
          </cell>
          <cell r="Z79">
            <v>740908.22274123156</v>
          </cell>
          <cell r="AA79">
            <v>715106.45172531332</v>
          </cell>
          <cell r="AB79">
            <v>696028.08762583928</v>
          </cell>
          <cell r="AC79">
            <v>664509.97671853204</v>
          </cell>
          <cell r="AD79">
            <v>639621.04956848687</v>
          </cell>
          <cell r="AE79">
            <v>614946.99745740264</v>
          </cell>
        </row>
        <row r="80">
          <cell r="G80" t="str">
            <v>RegionWood - PanelStock</v>
          </cell>
          <cell r="H80" t="str">
            <v>Ind</v>
          </cell>
          <cell r="I80" t="str">
            <v>Wood - Panel</v>
          </cell>
          <cell r="J80" t="str">
            <v>Stock</v>
          </cell>
          <cell r="K80" t="str">
            <v>Consumption (MWh)</v>
          </cell>
          <cell r="L80">
            <v>551950.18982134352</v>
          </cell>
          <cell r="M80">
            <v>528731.18450453493</v>
          </cell>
          <cell r="N80">
            <v>510838.63702842174</v>
          </cell>
          <cell r="O80">
            <v>493229.56048375246</v>
          </cell>
          <cell r="P80">
            <v>480200.65450609016</v>
          </cell>
          <cell r="Q80">
            <v>458869.67437759304</v>
          </cell>
          <cell r="R80">
            <v>442034.77624590963</v>
          </cell>
          <cell r="S80">
            <v>425381.84725157876</v>
          </cell>
          <cell r="T80">
            <v>408945.79607863171</v>
          </cell>
          <cell r="U80">
            <v>392669.02882158436</v>
          </cell>
          <cell r="V80">
            <v>376527.17230508296</v>
          </cell>
          <cell r="W80">
            <v>360540.83558473963</v>
          </cell>
          <cell r="X80">
            <v>347793.23494737077</v>
          </cell>
          <cell r="Y80">
            <v>328864.0423583783</v>
          </cell>
          <cell r="Z80">
            <v>313174.70380282239</v>
          </cell>
          <cell r="AA80">
            <v>297578.74522290094</v>
          </cell>
          <cell r="AB80">
            <v>284693.91308797692</v>
          </cell>
          <cell r="AC80">
            <v>266695.50893493497</v>
          </cell>
          <cell r="AD80">
            <v>251377.16659093063</v>
          </cell>
          <cell r="AE80">
            <v>236121.41095945257</v>
          </cell>
        </row>
        <row r="81">
          <cell r="G81" t="str">
            <v>RegionWood - OtherStock</v>
          </cell>
          <cell r="H81" t="str">
            <v>Ind</v>
          </cell>
          <cell r="I81" t="str">
            <v>Wood - Other</v>
          </cell>
          <cell r="J81" t="str">
            <v>Stock</v>
          </cell>
          <cell r="K81" t="str">
            <v>Consumption (MWh)</v>
          </cell>
          <cell r="L81">
            <v>870727.85506649863</v>
          </cell>
          <cell r="M81">
            <v>839735.03037413268</v>
          </cell>
          <cell r="N81">
            <v>817265.57122340729</v>
          </cell>
          <cell r="O81">
            <v>795421.70406258584</v>
          </cell>
          <cell r="P81">
            <v>780923.07506947254</v>
          </cell>
          <cell r="Q81">
            <v>753146.51005964773</v>
          </cell>
          <cell r="R81">
            <v>732820.97518292943</v>
          </cell>
          <cell r="S81">
            <v>712886.70561548509</v>
          </cell>
          <cell r="T81">
            <v>693400.22734523669</v>
          </cell>
          <cell r="U81">
            <v>674308.65124034672</v>
          </cell>
          <cell r="V81">
            <v>655534.95057322702</v>
          </cell>
          <cell r="W81">
            <v>637111.60144566628</v>
          </cell>
          <cell r="X81">
            <v>624630.92244216194</v>
          </cell>
          <cell r="Y81">
            <v>601103.42928001995</v>
          </cell>
          <cell r="Z81">
            <v>583449.38612394244</v>
          </cell>
          <cell r="AA81">
            <v>565997.72271073016</v>
          </cell>
          <cell r="AB81">
            <v>553823.1943250458</v>
          </cell>
          <cell r="AC81">
            <v>531773.35758124199</v>
          </cell>
          <cell r="AD81">
            <v>514944.55152005563</v>
          </cell>
          <cell r="AE81">
            <v>498286.13824063755</v>
          </cell>
        </row>
        <row r="82">
          <cell r="G82" t="str">
            <v>RegionSugarStock</v>
          </cell>
          <cell r="H82" t="str">
            <v>Ind</v>
          </cell>
          <cell r="I82" t="str">
            <v>Sugar</v>
          </cell>
          <cell r="J82" t="str">
            <v>Stock</v>
          </cell>
          <cell r="K82" t="str">
            <v>Consumption (MWh)</v>
          </cell>
          <cell r="L82">
            <v>475136.72478012781</v>
          </cell>
          <cell r="M82">
            <v>478944.05758966133</v>
          </cell>
          <cell r="N82">
            <v>486819.48116772674</v>
          </cell>
          <cell r="O82">
            <v>494591.38634116278</v>
          </cell>
          <cell r="P82">
            <v>506508.14130214165</v>
          </cell>
          <cell r="Q82">
            <v>510023.29432266601</v>
          </cell>
          <cell r="R82">
            <v>517787.90058012598</v>
          </cell>
          <cell r="S82">
            <v>525332.27094640187</v>
          </cell>
          <cell r="T82">
            <v>532962.59651115292</v>
          </cell>
          <cell r="U82">
            <v>540559.14188859914</v>
          </cell>
          <cell r="V82">
            <v>548264.64271890977</v>
          </cell>
          <cell r="W82">
            <v>555867.220442908</v>
          </cell>
          <cell r="X82">
            <v>568632.32789277437</v>
          </cell>
          <cell r="Y82">
            <v>571112.91942260799</v>
          </cell>
          <cell r="Z82">
            <v>578836.54771749349</v>
          </cell>
          <cell r="AA82">
            <v>586399.91803551139</v>
          </cell>
          <cell r="AB82">
            <v>599561.512214605</v>
          </cell>
          <cell r="AC82">
            <v>601661.01637638209</v>
          </cell>
          <cell r="AD82">
            <v>609371.99258243595</v>
          </cell>
          <cell r="AE82">
            <v>616906.35518594901</v>
          </cell>
        </row>
        <row r="83">
          <cell r="G83" t="str">
            <v>RegionHi Tech - Chip FabStock</v>
          </cell>
          <cell r="H83" t="str">
            <v>Ind</v>
          </cell>
          <cell r="I83" t="str">
            <v>Hi Tech - Chip Fab</v>
          </cell>
          <cell r="J83" t="str">
            <v>Stock</v>
          </cell>
          <cell r="K83" t="str">
            <v>Consumption (MWh)</v>
          </cell>
          <cell r="L83">
            <v>441794.88875823218</v>
          </cell>
          <cell r="M83">
            <v>432626.39847364998</v>
          </cell>
          <cell r="N83">
            <v>427242.98054352769</v>
          </cell>
          <cell r="O83">
            <v>422213.82213962206</v>
          </cell>
          <cell r="P83">
            <v>421920.64066734893</v>
          </cell>
          <cell r="Q83">
            <v>413709.06623231358</v>
          </cell>
          <cell r="R83">
            <v>410212.7518948018</v>
          </cell>
          <cell r="S83">
            <v>406355.09832970693</v>
          </cell>
          <cell r="T83">
            <v>403296.23418868397</v>
          </cell>
          <cell r="U83">
            <v>399924.4240136806</v>
          </cell>
          <cell r="V83">
            <v>397295.90252843429</v>
          </cell>
          <cell r="W83">
            <v>394316.89382121537</v>
          </cell>
          <cell r="X83">
            <v>395623.44895442144</v>
          </cell>
          <cell r="Y83">
            <v>389392.69605832879</v>
          </cell>
          <cell r="Z83">
            <v>386892.14662184619</v>
          </cell>
          <cell r="AA83">
            <v>385025.31464219192</v>
          </cell>
          <cell r="AB83">
            <v>386311.31539104413</v>
          </cell>
          <cell r="AC83">
            <v>381213.1101798673</v>
          </cell>
          <cell r="AD83">
            <v>379233.88825255015</v>
          </cell>
          <cell r="AE83">
            <v>377804.18623239076</v>
          </cell>
        </row>
        <row r="84">
          <cell r="G84" t="str">
            <v>RegionHi Tech - SiliconStock</v>
          </cell>
          <cell r="H84" t="str">
            <v>Ind</v>
          </cell>
          <cell r="I84" t="str">
            <v>Hi Tech - Silicon</v>
          </cell>
          <cell r="J84" t="str">
            <v>Stock</v>
          </cell>
          <cell r="K84" t="str">
            <v>Consumption (MWh)</v>
          </cell>
          <cell r="L84">
            <v>226900.615461001</v>
          </cell>
          <cell r="M84">
            <v>224036.45332402681</v>
          </cell>
          <cell r="N84">
            <v>223197.60670939417</v>
          </cell>
          <cell r="O84">
            <v>222435.67348639047</v>
          </cell>
          <cell r="P84">
            <v>223898.4301459378</v>
          </cell>
          <cell r="Q84">
            <v>221368.38696638378</v>
          </cell>
          <cell r="R84">
            <v>221129.95798393188</v>
          </cell>
          <cell r="S84">
            <v>220786.11584318019</v>
          </cell>
          <cell r="T84">
            <v>220661.22741685802</v>
          </cell>
          <cell r="U84">
            <v>220514.6104276102</v>
          </cell>
          <cell r="V84">
            <v>220566.57724116242</v>
          </cell>
          <cell r="W84">
            <v>220582.85570889112</v>
          </cell>
          <cell r="X84">
            <v>222786.93799954746</v>
          </cell>
          <cell r="Y84">
            <v>220925.37261965938</v>
          </cell>
          <cell r="Z84">
            <v>221135.24104542725</v>
          </cell>
          <cell r="AA84">
            <v>221470.75488217658</v>
          </cell>
          <cell r="AB84">
            <v>223814.68962733069</v>
          </cell>
          <cell r="AC84">
            <v>222220.65723257174</v>
          </cell>
          <cell r="AD84">
            <v>222629.30420924808</v>
          </cell>
          <cell r="AE84">
            <v>223146.84657001842</v>
          </cell>
        </row>
        <row r="85">
          <cell r="G85" t="str">
            <v>RegionMetal FabStock</v>
          </cell>
          <cell r="H85" t="str">
            <v>Ind</v>
          </cell>
          <cell r="I85" t="str">
            <v>Metal Fab</v>
          </cell>
          <cell r="J85" t="str">
            <v>Stock</v>
          </cell>
          <cell r="K85" t="str">
            <v>Consumption (MWh)</v>
          </cell>
          <cell r="L85">
            <v>909892.68701188185</v>
          </cell>
          <cell r="M85">
            <v>891825.25809582323</v>
          </cell>
          <cell r="N85">
            <v>882508.80442902481</v>
          </cell>
          <cell r="O85">
            <v>873727.53576770169</v>
          </cell>
          <cell r="P85">
            <v>873074.20336348354</v>
          </cell>
          <cell r="Q85">
            <v>857353.78829031112</v>
          </cell>
          <cell r="R85">
            <v>849920.96028251934</v>
          </cell>
          <cell r="S85">
            <v>842747.12140389089</v>
          </cell>
          <cell r="T85">
            <v>835992.11174095876</v>
          </cell>
          <cell r="U85">
            <v>829585.10375461576</v>
          </cell>
          <cell r="V85">
            <v>823489.91083828453</v>
          </cell>
          <cell r="W85">
            <v>817657.03435069101</v>
          </cell>
          <cell r="X85">
            <v>819465.35455238761</v>
          </cell>
          <cell r="Y85">
            <v>806647.75437978934</v>
          </cell>
          <cell r="Z85">
            <v>801457.62846863491</v>
          </cell>
          <cell r="AA85">
            <v>796415.70090358355</v>
          </cell>
          <cell r="AB85">
            <v>798860.24754177267</v>
          </cell>
          <cell r="AC85">
            <v>786961.84080937004</v>
          </cell>
          <cell r="AD85">
            <v>782499.53998716734</v>
          </cell>
          <cell r="AE85">
            <v>778123.72130174015</v>
          </cell>
        </row>
        <row r="86">
          <cell r="G86" t="str">
            <v>RegionTransportation, EquipStock</v>
          </cell>
          <cell r="H86" t="str">
            <v>Ind</v>
          </cell>
          <cell r="I86" t="str">
            <v>Transportation, Equip</v>
          </cell>
          <cell r="J86" t="str">
            <v>Stock</v>
          </cell>
          <cell r="K86" t="str">
            <v>Consumption (MWh)</v>
          </cell>
          <cell r="L86">
            <v>1804273.4320914866</v>
          </cell>
          <cell r="M86">
            <v>1764444.7092744687</v>
          </cell>
          <cell r="N86">
            <v>1742380.5060862801</v>
          </cell>
          <cell r="O86">
            <v>1721734.2919262978</v>
          </cell>
          <cell r="P86">
            <v>1717290.0100661237</v>
          </cell>
          <cell r="Q86">
            <v>1684212.3577429946</v>
          </cell>
          <cell r="R86">
            <v>1667572.9872876552</v>
          </cell>
          <cell r="S86">
            <v>1651915.7655637239</v>
          </cell>
          <cell r="T86">
            <v>1637404.0605393937</v>
          </cell>
          <cell r="U86">
            <v>1624039.8539685637</v>
          </cell>
          <cell r="V86">
            <v>1611571.7582730576</v>
          </cell>
          <cell r="W86">
            <v>1599938.1807304013</v>
          </cell>
          <cell r="X86">
            <v>1603782.6234504275</v>
          </cell>
          <cell r="Y86">
            <v>1579189.4507664458</v>
          </cell>
          <cell r="Z86">
            <v>1569848.0280781442</v>
          </cell>
          <cell r="AA86">
            <v>1560977.4194455137</v>
          </cell>
          <cell r="AB86">
            <v>1566945.462049291</v>
          </cell>
          <cell r="AC86">
            <v>1545218.7396206472</v>
          </cell>
          <cell r="AD86">
            <v>1538099.8647244556</v>
          </cell>
          <cell r="AE86">
            <v>1531589.7574381533</v>
          </cell>
        </row>
        <row r="87">
          <cell r="G87" t="str">
            <v>RegionRefineryStock</v>
          </cell>
          <cell r="H87" t="str">
            <v>Ind</v>
          </cell>
          <cell r="I87" t="str">
            <v>Refinery</v>
          </cell>
          <cell r="J87" t="str">
            <v>Stock</v>
          </cell>
          <cell r="K87" t="str">
            <v>Consumption (MWh)</v>
          </cell>
          <cell r="L87">
            <v>1881024.91962965</v>
          </cell>
          <cell r="M87">
            <v>1909117.5467978129</v>
          </cell>
          <cell r="N87">
            <v>1951995.6132668965</v>
          </cell>
          <cell r="O87">
            <v>1997111.8831124087</v>
          </cell>
          <cell r="P87">
            <v>2057483.6301056999</v>
          </cell>
          <cell r="Q87">
            <v>2084336.8416466711</v>
          </cell>
          <cell r="R87">
            <v>2127809.677560756</v>
          </cell>
          <cell r="S87">
            <v>2172413.8365607024</v>
          </cell>
          <cell r="T87">
            <v>2215960.2386478884</v>
          </cell>
          <cell r="U87">
            <v>2261195.6605773838</v>
          </cell>
          <cell r="V87">
            <v>2305708.6406222372</v>
          </cell>
          <cell r="W87">
            <v>2351421.030442731</v>
          </cell>
          <cell r="X87">
            <v>2417809.3733545281</v>
          </cell>
          <cell r="Y87">
            <v>2441973.3932293397</v>
          </cell>
          <cell r="Z87">
            <v>2486737.3300964865</v>
          </cell>
          <cell r="AA87">
            <v>2532907.6529900534</v>
          </cell>
          <cell r="AB87">
            <v>2601624.7146502738</v>
          </cell>
          <cell r="AC87">
            <v>2625012.9439967307</v>
          </cell>
          <cell r="AD87">
            <v>2670463.7864335729</v>
          </cell>
          <cell r="AE87">
            <v>2717337.6347862268</v>
          </cell>
        </row>
        <row r="88">
          <cell r="G88" t="str">
            <v>RegionCold StorageStock</v>
          </cell>
          <cell r="H88" t="str">
            <v>Ind</v>
          </cell>
          <cell r="I88" t="str">
            <v>Cold Storage</v>
          </cell>
          <cell r="J88" t="str">
            <v>Stock</v>
          </cell>
          <cell r="K88" t="str">
            <v>Consumption (MWh)</v>
          </cell>
          <cell r="L88">
            <v>78154.236827670538</v>
          </cell>
          <cell r="M88">
            <v>79453.458629044515</v>
          </cell>
          <cell r="N88">
            <v>81462.364882615439</v>
          </cell>
          <cell r="O88">
            <v>83477.500671992908</v>
          </cell>
          <cell r="P88">
            <v>86245.581369176958</v>
          </cell>
          <cell r="Q88">
            <v>87478.747599680457</v>
          </cell>
          <cell r="R88">
            <v>89494.311122657688</v>
          </cell>
          <cell r="S88">
            <v>91509.020390414968</v>
          </cell>
          <cell r="T88">
            <v>93532.504764969955</v>
          </cell>
          <cell r="U88">
            <v>95564.382084683428</v>
          </cell>
          <cell r="V88">
            <v>97600.983939128768</v>
          </cell>
          <cell r="W88">
            <v>99644.634467322845</v>
          </cell>
          <cell r="X88">
            <v>102618.3524040958</v>
          </cell>
          <cell r="Y88">
            <v>103741.81616097505</v>
          </cell>
          <cell r="Z88">
            <v>105788.43696882724</v>
          </cell>
          <cell r="AA88">
            <v>107838.05913011087</v>
          </cell>
          <cell r="AB88">
            <v>110898.73263363529</v>
          </cell>
          <cell r="AC88">
            <v>111951.72686476028</v>
          </cell>
          <cell r="AD88">
            <v>114014.96377503965</v>
          </cell>
          <cell r="AE88">
            <v>116079.01640209509</v>
          </cell>
        </row>
        <row r="89">
          <cell r="G89" t="str">
            <v>RegionFruit StorageStock</v>
          </cell>
          <cell r="H89" t="str">
            <v>Ind</v>
          </cell>
          <cell r="I89" t="str">
            <v>Fruit Storage</v>
          </cell>
          <cell r="J89" t="str">
            <v>Stock</v>
          </cell>
          <cell r="K89" t="str">
            <v>Consumption (MWh)</v>
          </cell>
          <cell r="L89">
            <v>199395.43790713095</v>
          </cell>
          <cell r="M89">
            <v>204115.10690708214</v>
          </cell>
          <cell r="N89">
            <v>210634.84781997796</v>
          </cell>
          <cell r="O89">
            <v>217141.49063609194</v>
          </cell>
          <cell r="P89">
            <v>225683.75101923331</v>
          </cell>
          <cell r="Q89">
            <v>230234.36323329096</v>
          </cell>
          <cell r="R89">
            <v>236796.95219371072</v>
          </cell>
          <cell r="S89">
            <v>243349.21918638356</v>
          </cell>
          <cell r="T89">
            <v>249921.80671927828</v>
          </cell>
          <cell r="U89">
            <v>256506.98239189648</v>
          </cell>
          <cell r="V89">
            <v>263096.35269472009</v>
          </cell>
          <cell r="W89">
            <v>269693.66215315415</v>
          </cell>
          <cell r="X89">
            <v>278797.26062516763</v>
          </cell>
          <cell r="Y89">
            <v>282842.82237701409</v>
          </cell>
          <cell r="Z89">
            <v>289419.35664982459</v>
          </cell>
          <cell r="AA89">
            <v>295994.31165490975</v>
          </cell>
          <cell r="AB89">
            <v>305366.03036291245</v>
          </cell>
          <cell r="AC89">
            <v>309179.84460456396</v>
          </cell>
          <cell r="AD89">
            <v>315794.71629056305</v>
          </cell>
          <cell r="AE89">
            <v>322364.98084319307</v>
          </cell>
        </row>
        <row r="90">
          <cell r="G90" t="str">
            <v>RegionChemicalStock</v>
          </cell>
          <cell r="H90" t="str">
            <v>Ind</v>
          </cell>
          <cell r="I90" t="str">
            <v>Chemical</v>
          </cell>
          <cell r="J90" t="str">
            <v>Stock</v>
          </cell>
          <cell r="K90" t="str">
            <v>Consumption (MWh)</v>
          </cell>
          <cell r="L90">
            <v>3305004.1605836996</v>
          </cell>
          <cell r="M90">
            <v>3443789.6934345411</v>
          </cell>
          <cell r="N90">
            <v>3609021.9884613133</v>
          </cell>
          <cell r="O90">
            <v>3771046.7677251906</v>
          </cell>
          <cell r="P90">
            <v>3927253.9609524435</v>
          </cell>
          <cell r="Q90">
            <v>4037395.7085911199</v>
          </cell>
          <cell r="R90">
            <v>4188643.2636367837</v>
          </cell>
          <cell r="S90">
            <v>4340984.9755713558</v>
          </cell>
          <cell r="T90">
            <v>4493975.9194887662</v>
          </cell>
          <cell r="U90">
            <v>4646018.0745007796</v>
          </cell>
          <cell r="V90">
            <v>4797371.3042631764</v>
          </cell>
          <cell r="W90">
            <v>4947813.7264089147</v>
          </cell>
          <cell r="X90">
            <v>5144107.7969676936</v>
          </cell>
          <cell r="Y90">
            <v>5246402.7802377427</v>
          </cell>
          <cell r="Z90">
            <v>5394857.0622515492</v>
          </cell>
          <cell r="AA90">
            <v>5541714.6108995685</v>
          </cell>
          <cell r="AB90">
            <v>5740442.2061493713</v>
          </cell>
          <cell r="AC90">
            <v>5833788.3063517585</v>
          </cell>
          <cell r="AD90">
            <v>5979638.453419812</v>
          </cell>
          <cell r="AE90">
            <v>6123880.4660364473</v>
          </cell>
        </row>
        <row r="91">
          <cell r="G91" t="str">
            <v>RegionMisc ManfStock</v>
          </cell>
          <cell r="H91" t="str">
            <v>Ind</v>
          </cell>
          <cell r="I91" t="str">
            <v>Misc Manf</v>
          </cell>
          <cell r="J91" t="str">
            <v>Stock</v>
          </cell>
          <cell r="K91" t="str">
            <v>Consumption (MWh)</v>
          </cell>
          <cell r="L91">
            <v>4209556.472488177</v>
          </cell>
          <cell r="M91">
            <v>4334633.1165770665</v>
          </cell>
          <cell r="N91">
            <v>4496807.6122477548</v>
          </cell>
          <cell r="O91">
            <v>4658950.5636732625</v>
          </cell>
          <cell r="P91">
            <v>4833902.8390341504</v>
          </cell>
          <cell r="Q91">
            <v>4939547.3871582579</v>
          </cell>
          <cell r="R91">
            <v>5095859.5790590979</v>
          </cell>
          <cell r="S91">
            <v>5254063.1713875132</v>
          </cell>
          <cell r="T91">
            <v>5413802.5084346561</v>
          </cell>
          <cell r="U91">
            <v>5573463.6928148605</v>
          </cell>
          <cell r="V91">
            <v>5733797.7617043415</v>
          </cell>
          <cell r="W91">
            <v>5893374.3310838528</v>
          </cell>
          <cell r="X91">
            <v>6108755.4059702102</v>
          </cell>
          <cell r="Y91">
            <v>6213044.4648437528</v>
          </cell>
          <cell r="Z91">
            <v>6372313.332896472</v>
          </cell>
          <cell r="AA91">
            <v>6531884.2745853113</v>
          </cell>
          <cell r="AB91">
            <v>6752077.3183153793</v>
          </cell>
          <cell r="AC91">
            <v>6850327.3548128605</v>
          </cell>
          <cell r="AD91">
            <v>7009692.065473482</v>
          </cell>
          <cell r="AE91">
            <v>7168736.8179728845</v>
          </cell>
        </row>
        <row r="92">
          <cell r="G92" t="str">
            <v>RegionEVStock</v>
          </cell>
          <cell r="H92" t="str">
            <v>EV</v>
          </cell>
          <cell r="I92" t="str">
            <v>EV</v>
          </cell>
          <cell r="J92" t="str">
            <v>Stock</v>
          </cell>
          <cell r="K92" t="str">
            <v>1000 Cars</v>
          </cell>
          <cell r="L92">
            <v>60.183986956923889</v>
          </cell>
          <cell r="M92">
            <v>91.985039267783762</v>
          </cell>
          <cell r="N92">
            <v>131.71899349682545</v>
          </cell>
          <cell r="O92">
            <v>179.31931215654896</v>
          </cell>
          <cell r="P92">
            <v>234.46894197990883</v>
          </cell>
          <cell r="Q92">
            <v>296.9378027583823</v>
          </cell>
          <cell r="R92">
            <v>366.00059330503768</v>
          </cell>
          <cell r="S92">
            <v>441.25939468635204</v>
          </cell>
          <cell r="T92">
            <v>522.62506581198477</v>
          </cell>
          <cell r="U92">
            <v>610.52396116716261</v>
          </cell>
          <cell r="V92">
            <v>705.01906985870437</v>
          </cell>
          <cell r="W92">
            <v>801.72374571842784</v>
          </cell>
          <cell r="X92">
            <v>899.84995621451503</v>
          </cell>
          <cell r="Y92">
            <v>998.49290967026104</v>
          </cell>
          <cell r="Z92">
            <v>1096.4275699987345</v>
          </cell>
          <cell r="AA92">
            <v>1187.7661760902763</v>
          </cell>
          <cell r="AB92">
            <v>1272.9815546454543</v>
          </cell>
          <cell r="AC92">
            <v>1351.8588013409089</v>
          </cell>
          <cell r="AD92">
            <v>1433.0587465545455</v>
          </cell>
          <cell r="AE92">
            <v>1500.0488473772725</v>
          </cell>
        </row>
        <row r="93">
          <cell r="G93" t="str">
            <v>RegionPopStock</v>
          </cell>
          <cell r="H93" t="str">
            <v>Pop</v>
          </cell>
          <cell r="I93" t="str">
            <v>Pop</v>
          </cell>
          <cell r="J93" t="str">
            <v>Stock</v>
          </cell>
          <cell r="K93" t="str">
            <v># of people</v>
          </cell>
          <cell r="L93">
            <v>13520.68111</v>
          </cell>
          <cell r="M93">
            <v>13661.840299999998</v>
          </cell>
          <cell r="N93">
            <v>13803.691440000001</v>
          </cell>
          <cell r="O93">
            <v>13944.276469999999</v>
          </cell>
          <cell r="P93">
            <v>14082.801340000002</v>
          </cell>
          <cell r="Q93">
            <v>14218.715590000002</v>
          </cell>
          <cell r="R93">
            <v>14351.918940000001</v>
          </cell>
          <cell r="S93">
            <v>14482.437540000003</v>
          </cell>
          <cell r="T93">
            <v>14610.4211</v>
          </cell>
          <cell r="U93">
            <v>14736.24631</v>
          </cell>
          <cell r="V93">
            <v>14860.320880000001</v>
          </cell>
          <cell r="W93">
            <v>14983.078860000001</v>
          </cell>
          <cell r="X93">
            <v>15104.70127</v>
          </cell>
          <cell r="Y93">
            <v>15225.195700000002</v>
          </cell>
          <cell r="Z93">
            <v>15344.62486</v>
          </cell>
          <cell r="AA93">
            <v>15463.089019999998</v>
          </cell>
          <cell r="AB93">
            <v>15580.68845</v>
          </cell>
          <cell r="AC93">
            <v>15697.50913</v>
          </cell>
          <cell r="AD93">
            <v>15813.626329999999</v>
          </cell>
          <cell r="AE93">
            <v>15929.254489999999</v>
          </cell>
        </row>
        <row r="94">
          <cell r="G94" t="str">
            <v>RegionDataCenterStock</v>
          </cell>
          <cell r="H94" t="str">
            <v>DataCenter</v>
          </cell>
          <cell r="I94" t="str">
            <v>DataCenter</v>
          </cell>
          <cell r="J94" t="str">
            <v>Stock</v>
          </cell>
          <cell r="K94" t="str">
            <v>Consumption (aMW)</v>
          </cell>
          <cell r="L94">
            <v>381.60143269415096</v>
          </cell>
          <cell r="M94">
            <v>404.69885906229592</v>
          </cell>
          <cell r="N94">
            <v>421.46039895133885</v>
          </cell>
          <cell r="O94">
            <v>419.64642143844253</v>
          </cell>
          <cell r="P94">
            <v>423.66562864853898</v>
          </cell>
          <cell r="Q94">
            <v>432.76092390952061</v>
          </cell>
          <cell r="R94">
            <v>446.31531189522576</v>
          </cell>
          <cell r="S94">
            <v>450.98222620533323</v>
          </cell>
          <cell r="T94">
            <v>459.05126073815245</v>
          </cell>
          <cell r="U94">
            <v>470.19601765719887</v>
          </cell>
          <cell r="V94">
            <v>484.16208251533135</v>
          </cell>
          <cell r="W94">
            <v>494.21069266812788</v>
          </cell>
          <cell r="X94">
            <v>506.64189476780371</v>
          </cell>
          <cell r="Y94">
            <v>521.35392484293436</v>
          </cell>
          <cell r="Z94">
            <v>538.28523642117</v>
          </cell>
          <cell r="AA94">
            <v>554.01935267425768</v>
          </cell>
          <cell r="AB94">
            <v>571.88182312772415</v>
          </cell>
          <cell r="AC94">
            <v>591.90212163156946</v>
          </cell>
          <cell r="AD94">
            <v>614.13634434495953</v>
          </cell>
          <cell r="AE94">
            <v>636.87438282107769</v>
          </cell>
        </row>
        <row r="95">
          <cell r="G95"/>
          <cell r="H95"/>
          <cell r="I95"/>
          <cell r="J95"/>
          <cell r="K95"/>
          <cell r="L95"/>
          <cell r="M95"/>
          <cell r="N95"/>
          <cell r="O95"/>
          <cell r="P95"/>
          <cell r="Q95"/>
          <cell r="R95"/>
          <cell r="S95"/>
          <cell r="T95"/>
          <cell r="U95"/>
          <cell r="V95"/>
          <cell r="W95"/>
          <cell r="X95"/>
          <cell r="Y95"/>
          <cell r="Z95"/>
          <cell r="AA95"/>
          <cell r="AB95"/>
          <cell r="AC95"/>
          <cell r="AD95"/>
          <cell r="AE95"/>
        </row>
        <row r="96">
          <cell r="G96"/>
          <cell r="H96"/>
          <cell r="I96"/>
          <cell r="J96"/>
          <cell r="K96"/>
          <cell r="L96"/>
          <cell r="M96"/>
          <cell r="N96"/>
          <cell r="O96"/>
          <cell r="P96"/>
          <cell r="Q96"/>
          <cell r="R96"/>
          <cell r="S96"/>
          <cell r="T96"/>
          <cell r="U96"/>
          <cell r="V96"/>
          <cell r="W96"/>
          <cell r="X96"/>
          <cell r="Y96"/>
          <cell r="Z96"/>
          <cell r="AA96"/>
          <cell r="AB96"/>
          <cell r="AC96"/>
          <cell r="AD96"/>
          <cell r="AE96"/>
        </row>
        <row r="97">
          <cell r="G97"/>
          <cell r="H97"/>
          <cell r="I97"/>
          <cell r="J97"/>
          <cell r="K97"/>
          <cell r="L97"/>
          <cell r="M97"/>
          <cell r="N97"/>
          <cell r="O97"/>
          <cell r="P97"/>
          <cell r="Q97"/>
          <cell r="R97"/>
          <cell r="S97"/>
          <cell r="T97"/>
          <cell r="U97"/>
          <cell r="V97"/>
          <cell r="W97"/>
          <cell r="X97"/>
          <cell r="Y97"/>
          <cell r="Z97"/>
          <cell r="AA97"/>
          <cell r="AB97"/>
          <cell r="AC97"/>
          <cell r="AD97"/>
          <cell r="AE97"/>
        </row>
        <row r="98">
          <cell r="G98"/>
          <cell r="H98"/>
          <cell r="I98"/>
          <cell r="J98"/>
          <cell r="K98"/>
          <cell r="L98"/>
          <cell r="M98"/>
          <cell r="N98"/>
          <cell r="O98"/>
          <cell r="P98"/>
          <cell r="Q98"/>
          <cell r="R98"/>
          <cell r="S98"/>
          <cell r="T98"/>
          <cell r="U98"/>
          <cell r="V98"/>
          <cell r="W98"/>
          <cell r="X98"/>
          <cell r="Y98"/>
          <cell r="Z98"/>
          <cell r="AA98"/>
          <cell r="AB98"/>
          <cell r="AC98"/>
          <cell r="AD98"/>
          <cell r="AE98"/>
        </row>
        <row r="99">
          <cell r="G99"/>
          <cell r="H99"/>
          <cell r="I99"/>
          <cell r="J99"/>
          <cell r="K99"/>
          <cell r="L99"/>
          <cell r="M99"/>
          <cell r="N99"/>
          <cell r="O99"/>
          <cell r="P99"/>
          <cell r="Q99"/>
          <cell r="R99"/>
          <cell r="S99"/>
          <cell r="T99"/>
          <cell r="U99"/>
          <cell r="V99"/>
          <cell r="W99"/>
          <cell r="X99"/>
          <cell r="Y99"/>
          <cell r="Z99"/>
          <cell r="AA99"/>
          <cell r="AB99"/>
          <cell r="AC99"/>
          <cell r="AD99"/>
          <cell r="AE99"/>
        </row>
        <row r="100">
          <cell r="G100"/>
          <cell r="H100"/>
          <cell r="I100"/>
          <cell r="J100"/>
          <cell r="K100"/>
          <cell r="L100"/>
          <cell r="M100"/>
          <cell r="N100"/>
          <cell r="O100"/>
          <cell r="P100"/>
          <cell r="Q100"/>
          <cell r="R100"/>
          <cell r="S100"/>
          <cell r="T100"/>
          <cell r="U100"/>
          <cell r="V100"/>
          <cell r="W100"/>
          <cell r="X100"/>
          <cell r="Y100"/>
          <cell r="Z100"/>
          <cell r="AA100"/>
          <cell r="AB100"/>
          <cell r="AC100"/>
          <cell r="AD100"/>
          <cell r="AE100"/>
        </row>
        <row r="101">
          <cell r="G101"/>
          <cell r="H101"/>
          <cell r="I101"/>
          <cell r="J101"/>
          <cell r="K101"/>
          <cell r="L101"/>
          <cell r="M101"/>
          <cell r="N101"/>
          <cell r="O101"/>
          <cell r="P101"/>
          <cell r="Q101"/>
          <cell r="R101"/>
          <cell r="S101"/>
          <cell r="T101"/>
          <cell r="U101"/>
          <cell r="V101"/>
          <cell r="W101"/>
          <cell r="X101"/>
          <cell r="Y101"/>
          <cell r="Z101"/>
          <cell r="AA101"/>
          <cell r="AB101"/>
          <cell r="AC101"/>
          <cell r="AD101"/>
          <cell r="AE101"/>
        </row>
        <row r="102">
          <cell r="G102"/>
          <cell r="H102"/>
          <cell r="I102"/>
          <cell r="J102"/>
          <cell r="K102"/>
          <cell r="L102"/>
          <cell r="M102"/>
          <cell r="N102"/>
          <cell r="O102"/>
          <cell r="P102"/>
          <cell r="Q102"/>
          <cell r="R102"/>
          <cell r="S102"/>
          <cell r="T102"/>
          <cell r="U102"/>
          <cell r="V102"/>
          <cell r="W102"/>
          <cell r="X102"/>
          <cell r="Y102"/>
          <cell r="Z102"/>
          <cell r="AA102"/>
          <cell r="AB102"/>
          <cell r="AC102"/>
          <cell r="AD102"/>
          <cell r="AE102"/>
        </row>
        <row r="103">
          <cell r="G103"/>
          <cell r="H103"/>
          <cell r="I103"/>
          <cell r="J103"/>
          <cell r="K103"/>
          <cell r="L103"/>
          <cell r="M103"/>
          <cell r="N103"/>
          <cell r="O103"/>
          <cell r="P103"/>
          <cell r="Q103"/>
          <cell r="R103"/>
          <cell r="S103"/>
          <cell r="T103"/>
          <cell r="U103"/>
          <cell r="V103"/>
          <cell r="W103"/>
          <cell r="X103"/>
          <cell r="Y103"/>
          <cell r="Z103"/>
          <cell r="AA103"/>
          <cell r="AB103"/>
          <cell r="AC103"/>
          <cell r="AD103"/>
          <cell r="AE103"/>
        </row>
        <row r="104">
          <cell r="G104"/>
          <cell r="H104"/>
          <cell r="I104"/>
          <cell r="J104"/>
          <cell r="K104"/>
          <cell r="L104"/>
          <cell r="M104"/>
          <cell r="N104"/>
          <cell r="O104"/>
          <cell r="P104"/>
          <cell r="Q104"/>
          <cell r="R104"/>
          <cell r="S104"/>
          <cell r="T104"/>
          <cell r="U104"/>
          <cell r="V104"/>
          <cell r="W104"/>
          <cell r="X104"/>
          <cell r="Y104"/>
          <cell r="Z104"/>
          <cell r="AA104"/>
          <cell r="AB104"/>
          <cell r="AC104"/>
          <cell r="AD104"/>
          <cell r="AE104"/>
        </row>
        <row r="105">
          <cell r="G105"/>
          <cell r="H105"/>
          <cell r="I105"/>
          <cell r="J105"/>
          <cell r="K105"/>
          <cell r="L105"/>
          <cell r="M105"/>
          <cell r="N105"/>
          <cell r="O105"/>
          <cell r="P105"/>
          <cell r="Q105"/>
          <cell r="R105"/>
          <cell r="S105"/>
          <cell r="T105"/>
          <cell r="U105"/>
          <cell r="V105"/>
          <cell r="W105"/>
          <cell r="X105"/>
          <cell r="Y105"/>
          <cell r="Z105"/>
          <cell r="AA105"/>
          <cell r="AB105"/>
          <cell r="AC105"/>
          <cell r="AD105"/>
          <cell r="AE105"/>
        </row>
        <row r="106">
          <cell r="G106"/>
          <cell r="H106"/>
          <cell r="I106"/>
          <cell r="J106"/>
          <cell r="K106"/>
          <cell r="L106"/>
          <cell r="M106"/>
          <cell r="N106"/>
          <cell r="O106"/>
          <cell r="P106"/>
          <cell r="Q106"/>
          <cell r="R106"/>
          <cell r="S106"/>
          <cell r="T106"/>
          <cell r="U106"/>
          <cell r="V106"/>
          <cell r="W106"/>
          <cell r="X106"/>
          <cell r="Y106"/>
          <cell r="Z106"/>
          <cell r="AA106"/>
          <cell r="AB106"/>
          <cell r="AC106"/>
          <cell r="AD106"/>
          <cell r="AE106"/>
        </row>
        <row r="107">
          <cell r="G107"/>
          <cell r="H107"/>
          <cell r="I107"/>
          <cell r="J107"/>
          <cell r="K107"/>
          <cell r="L107"/>
          <cell r="M107"/>
          <cell r="N107"/>
          <cell r="O107"/>
          <cell r="P107"/>
          <cell r="Q107"/>
          <cell r="R107"/>
          <cell r="S107"/>
          <cell r="T107"/>
          <cell r="U107"/>
          <cell r="V107"/>
          <cell r="W107"/>
          <cell r="X107"/>
          <cell r="Y107"/>
          <cell r="Z107"/>
          <cell r="AA107"/>
          <cell r="AB107"/>
          <cell r="AC107"/>
          <cell r="AD107"/>
          <cell r="AE107"/>
        </row>
        <row r="108">
          <cell r="G108"/>
          <cell r="H108"/>
          <cell r="I108"/>
          <cell r="J108"/>
          <cell r="K108"/>
          <cell r="L108"/>
          <cell r="M108"/>
          <cell r="N108"/>
          <cell r="O108"/>
          <cell r="P108"/>
          <cell r="Q108"/>
          <cell r="R108"/>
          <cell r="S108"/>
          <cell r="T108"/>
          <cell r="U108"/>
          <cell r="V108"/>
          <cell r="W108"/>
          <cell r="X108"/>
          <cell r="Y108"/>
          <cell r="Z108"/>
          <cell r="AA108"/>
          <cell r="AB108"/>
          <cell r="AC108"/>
          <cell r="AD108"/>
          <cell r="AE108"/>
        </row>
        <row r="109">
          <cell r="G109"/>
          <cell r="H109"/>
          <cell r="I109"/>
          <cell r="J109"/>
          <cell r="K109"/>
          <cell r="L109"/>
          <cell r="M109"/>
          <cell r="N109"/>
          <cell r="O109"/>
          <cell r="P109"/>
          <cell r="Q109"/>
          <cell r="R109"/>
          <cell r="S109"/>
          <cell r="T109"/>
          <cell r="U109"/>
          <cell r="V109"/>
          <cell r="W109"/>
          <cell r="X109"/>
          <cell r="Y109"/>
          <cell r="Z109"/>
          <cell r="AA109"/>
          <cell r="AB109"/>
          <cell r="AC109"/>
          <cell r="AD109"/>
          <cell r="AE109"/>
        </row>
        <row r="110">
          <cell r="G110"/>
          <cell r="H110"/>
          <cell r="I110"/>
          <cell r="J110"/>
          <cell r="K110"/>
          <cell r="L110"/>
          <cell r="M110"/>
          <cell r="N110"/>
          <cell r="O110"/>
          <cell r="P110"/>
          <cell r="Q110"/>
          <cell r="R110"/>
          <cell r="S110"/>
          <cell r="T110"/>
          <cell r="U110"/>
          <cell r="V110"/>
          <cell r="W110"/>
          <cell r="X110"/>
          <cell r="Y110"/>
          <cell r="Z110"/>
          <cell r="AA110"/>
          <cell r="AB110"/>
          <cell r="AC110"/>
          <cell r="AD110"/>
          <cell r="AE110"/>
        </row>
        <row r="111">
          <cell r="G111"/>
          <cell r="H111"/>
          <cell r="I111"/>
          <cell r="J111"/>
          <cell r="K111"/>
          <cell r="L111"/>
          <cell r="M111"/>
          <cell r="N111"/>
          <cell r="O111"/>
          <cell r="P111"/>
          <cell r="Q111"/>
          <cell r="R111"/>
          <cell r="S111"/>
          <cell r="T111"/>
          <cell r="U111"/>
          <cell r="V111"/>
          <cell r="W111"/>
          <cell r="X111"/>
          <cell r="Y111"/>
          <cell r="Z111"/>
          <cell r="AA111"/>
          <cell r="AB111"/>
          <cell r="AC111"/>
          <cell r="AD111"/>
          <cell r="AE111"/>
        </row>
        <row r="112">
          <cell r="G112"/>
          <cell r="H112"/>
          <cell r="I112"/>
          <cell r="J112"/>
          <cell r="K112"/>
          <cell r="L112"/>
          <cell r="M112"/>
          <cell r="N112"/>
          <cell r="O112"/>
          <cell r="P112"/>
          <cell r="Q112"/>
          <cell r="R112"/>
          <cell r="S112"/>
          <cell r="T112"/>
          <cell r="U112"/>
          <cell r="V112"/>
          <cell r="W112"/>
          <cell r="X112"/>
          <cell r="Y112"/>
          <cell r="Z112"/>
          <cell r="AA112"/>
          <cell r="AB112"/>
          <cell r="AC112"/>
          <cell r="AD112"/>
          <cell r="AE112"/>
        </row>
        <row r="113">
          <cell r="G113"/>
          <cell r="H113"/>
          <cell r="I113"/>
          <cell r="J113"/>
          <cell r="K113"/>
          <cell r="L113"/>
          <cell r="M113"/>
          <cell r="N113"/>
          <cell r="O113"/>
          <cell r="P113"/>
          <cell r="Q113"/>
          <cell r="R113"/>
          <cell r="S113"/>
          <cell r="T113"/>
          <cell r="U113"/>
          <cell r="V113"/>
          <cell r="W113"/>
          <cell r="X113"/>
          <cell r="Y113"/>
          <cell r="Z113"/>
          <cell r="AA113"/>
          <cell r="AB113"/>
          <cell r="AC113"/>
          <cell r="AD113"/>
          <cell r="AE113"/>
        </row>
        <row r="114">
          <cell r="G114"/>
          <cell r="H114"/>
          <cell r="I114"/>
          <cell r="J114"/>
          <cell r="K114"/>
          <cell r="L114"/>
          <cell r="M114"/>
          <cell r="N114"/>
          <cell r="O114"/>
          <cell r="P114"/>
          <cell r="Q114"/>
          <cell r="R114"/>
          <cell r="S114"/>
          <cell r="T114"/>
          <cell r="U114"/>
          <cell r="V114"/>
          <cell r="W114"/>
          <cell r="X114"/>
          <cell r="Y114"/>
          <cell r="Z114"/>
          <cell r="AA114"/>
          <cell r="AB114"/>
          <cell r="AC114"/>
          <cell r="AD114"/>
          <cell r="AE114"/>
        </row>
        <row r="115">
          <cell r="G115"/>
          <cell r="H115"/>
          <cell r="I115"/>
          <cell r="J115"/>
          <cell r="K115"/>
          <cell r="L115"/>
          <cell r="M115"/>
          <cell r="N115"/>
          <cell r="O115"/>
          <cell r="P115"/>
          <cell r="Q115"/>
          <cell r="R115"/>
          <cell r="S115"/>
          <cell r="T115"/>
          <cell r="U115"/>
          <cell r="V115"/>
          <cell r="W115"/>
          <cell r="X115"/>
          <cell r="Y115"/>
          <cell r="Z115"/>
          <cell r="AA115"/>
          <cell r="AB115"/>
          <cell r="AC115"/>
          <cell r="AD115"/>
          <cell r="AE115"/>
        </row>
        <row r="116">
          <cell r="G116"/>
          <cell r="H116"/>
          <cell r="I116"/>
          <cell r="J116"/>
          <cell r="K116"/>
          <cell r="L116"/>
          <cell r="M116"/>
          <cell r="N116"/>
          <cell r="O116"/>
          <cell r="P116"/>
          <cell r="Q116"/>
          <cell r="R116"/>
          <cell r="S116"/>
          <cell r="T116"/>
          <cell r="U116"/>
          <cell r="V116"/>
          <cell r="W116"/>
          <cell r="X116"/>
          <cell r="Y116"/>
          <cell r="Z116"/>
          <cell r="AA116"/>
          <cell r="AB116"/>
          <cell r="AC116"/>
          <cell r="AD116"/>
          <cell r="AE116"/>
        </row>
        <row r="117">
          <cell r="G117"/>
          <cell r="H117"/>
          <cell r="I117"/>
          <cell r="J117"/>
          <cell r="K117"/>
          <cell r="L117"/>
          <cell r="M117"/>
          <cell r="N117"/>
          <cell r="O117"/>
          <cell r="P117"/>
          <cell r="Q117"/>
          <cell r="R117"/>
          <cell r="S117"/>
          <cell r="T117"/>
          <cell r="U117"/>
          <cell r="V117"/>
          <cell r="W117"/>
          <cell r="X117"/>
          <cell r="Y117"/>
          <cell r="Z117"/>
          <cell r="AA117"/>
          <cell r="AB117"/>
          <cell r="AC117"/>
          <cell r="AD117"/>
          <cell r="AE117"/>
        </row>
        <row r="118">
          <cell r="G118"/>
          <cell r="H118"/>
          <cell r="I118"/>
          <cell r="J118"/>
          <cell r="K118"/>
          <cell r="L118"/>
          <cell r="M118"/>
          <cell r="N118"/>
          <cell r="O118"/>
          <cell r="P118"/>
          <cell r="Q118"/>
          <cell r="R118"/>
          <cell r="S118"/>
          <cell r="T118"/>
          <cell r="U118"/>
          <cell r="V118"/>
          <cell r="W118"/>
          <cell r="X118"/>
          <cell r="Y118"/>
          <cell r="Z118"/>
          <cell r="AA118"/>
          <cell r="AB118"/>
          <cell r="AC118"/>
          <cell r="AD118"/>
          <cell r="AE118"/>
        </row>
        <row r="119">
          <cell r="G119"/>
          <cell r="H119"/>
          <cell r="I119"/>
          <cell r="J119"/>
          <cell r="K119"/>
          <cell r="L119"/>
          <cell r="M119"/>
          <cell r="N119"/>
          <cell r="O119"/>
          <cell r="P119"/>
          <cell r="Q119"/>
          <cell r="R119"/>
          <cell r="S119"/>
          <cell r="T119"/>
          <cell r="U119"/>
          <cell r="V119"/>
          <cell r="W119"/>
          <cell r="X119"/>
          <cell r="Y119"/>
          <cell r="Z119"/>
          <cell r="AA119"/>
          <cell r="AB119"/>
          <cell r="AC119"/>
          <cell r="AD119"/>
          <cell r="AE119"/>
        </row>
        <row r="120">
          <cell r="G120"/>
          <cell r="H120"/>
          <cell r="I120"/>
          <cell r="J120"/>
          <cell r="K120"/>
          <cell r="L120"/>
          <cell r="M120"/>
          <cell r="N120"/>
          <cell r="O120"/>
          <cell r="P120"/>
          <cell r="Q120"/>
          <cell r="R120"/>
          <cell r="S120"/>
          <cell r="T120"/>
          <cell r="U120"/>
          <cell r="V120"/>
          <cell r="W120"/>
          <cell r="X120"/>
          <cell r="Y120"/>
          <cell r="Z120"/>
          <cell r="AA120"/>
          <cell r="AB120"/>
          <cell r="AC120"/>
          <cell r="AD120"/>
          <cell r="AE120"/>
        </row>
        <row r="121">
          <cell r="G121"/>
          <cell r="H121"/>
          <cell r="I121"/>
          <cell r="J121"/>
          <cell r="K121"/>
          <cell r="L121"/>
          <cell r="M121"/>
          <cell r="N121"/>
          <cell r="O121"/>
          <cell r="P121"/>
          <cell r="Q121"/>
          <cell r="R121"/>
          <cell r="S121"/>
          <cell r="T121"/>
          <cell r="U121"/>
          <cell r="V121"/>
          <cell r="W121"/>
          <cell r="X121"/>
          <cell r="Y121"/>
          <cell r="Z121"/>
          <cell r="AA121"/>
          <cell r="AB121"/>
          <cell r="AC121"/>
          <cell r="AD121"/>
          <cell r="AE121"/>
        </row>
        <row r="122">
          <cell r="G122"/>
          <cell r="H122"/>
          <cell r="I122"/>
          <cell r="J122"/>
          <cell r="K122"/>
          <cell r="L122"/>
          <cell r="M122"/>
          <cell r="N122"/>
          <cell r="O122"/>
          <cell r="P122"/>
          <cell r="Q122"/>
          <cell r="R122"/>
          <cell r="S122"/>
          <cell r="T122"/>
          <cell r="U122"/>
          <cell r="V122"/>
          <cell r="W122"/>
          <cell r="X122"/>
          <cell r="Y122"/>
          <cell r="Z122"/>
          <cell r="AA122"/>
          <cell r="AB122"/>
          <cell r="AC122"/>
          <cell r="AD122"/>
          <cell r="AE122"/>
        </row>
        <row r="123">
          <cell r="G123"/>
          <cell r="H123"/>
          <cell r="I123"/>
          <cell r="J123"/>
          <cell r="K123"/>
          <cell r="L123"/>
          <cell r="M123"/>
          <cell r="N123"/>
          <cell r="O123"/>
          <cell r="P123"/>
          <cell r="Q123"/>
          <cell r="R123"/>
          <cell r="S123"/>
          <cell r="T123"/>
          <cell r="U123"/>
          <cell r="V123"/>
          <cell r="W123"/>
          <cell r="X123"/>
          <cell r="Y123"/>
          <cell r="Z123"/>
          <cell r="AA123"/>
          <cell r="AB123"/>
          <cell r="AC123"/>
          <cell r="AD123"/>
          <cell r="AE123"/>
        </row>
        <row r="124">
          <cell r="G124"/>
          <cell r="H124"/>
          <cell r="I124"/>
          <cell r="J124"/>
          <cell r="K124"/>
          <cell r="L124"/>
          <cell r="M124"/>
          <cell r="N124"/>
          <cell r="O124"/>
          <cell r="P124"/>
          <cell r="Q124"/>
          <cell r="R124"/>
          <cell r="S124"/>
          <cell r="T124"/>
          <cell r="U124"/>
          <cell r="V124"/>
          <cell r="W124"/>
          <cell r="X124"/>
          <cell r="Y124"/>
          <cell r="Z124"/>
          <cell r="AA124"/>
          <cell r="AB124"/>
          <cell r="AC124"/>
          <cell r="AD124"/>
          <cell r="AE124"/>
        </row>
        <row r="125">
          <cell r="G125"/>
          <cell r="H125"/>
          <cell r="I125"/>
          <cell r="J125"/>
          <cell r="K125"/>
          <cell r="L125"/>
          <cell r="M125"/>
          <cell r="N125"/>
          <cell r="O125"/>
          <cell r="P125"/>
          <cell r="Q125"/>
          <cell r="R125"/>
          <cell r="S125"/>
          <cell r="T125"/>
          <cell r="U125"/>
          <cell r="V125"/>
          <cell r="W125"/>
          <cell r="X125"/>
          <cell r="Y125"/>
          <cell r="Z125"/>
          <cell r="AA125"/>
          <cell r="AB125"/>
          <cell r="AC125"/>
          <cell r="AD125"/>
          <cell r="AE125"/>
        </row>
        <row r="126">
          <cell r="G126"/>
          <cell r="H126"/>
          <cell r="I126"/>
          <cell r="J126"/>
          <cell r="K126"/>
          <cell r="L126"/>
          <cell r="M126"/>
          <cell r="N126"/>
          <cell r="O126"/>
          <cell r="P126"/>
          <cell r="Q126"/>
          <cell r="R126"/>
          <cell r="S126"/>
          <cell r="T126"/>
          <cell r="U126"/>
          <cell r="V126"/>
          <cell r="W126"/>
          <cell r="X126"/>
          <cell r="Y126"/>
          <cell r="Z126"/>
          <cell r="AA126"/>
          <cell r="AB126"/>
          <cell r="AC126"/>
          <cell r="AD126"/>
          <cell r="AE126"/>
        </row>
        <row r="127">
          <cell r="G127"/>
          <cell r="H127"/>
          <cell r="I127"/>
          <cell r="J127"/>
          <cell r="K127"/>
          <cell r="L127"/>
          <cell r="M127"/>
          <cell r="N127"/>
          <cell r="O127"/>
          <cell r="P127"/>
          <cell r="Q127"/>
          <cell r="R127"/>
          <cell r="S127"/>
          <cell r="T127"/>
          <cell r="U127"/>
          <cell r="V127"/>
          <cell r="W127"/>
          <cell r="X127"/>
          <cell r="Y127"/>
          <cell r="Z127"/>
          <cell r="AA127"/>
          <cell r="AB127"/>
          <cell r="AC127"/>
          <cell r="AD127"/>
          <cell r="AE127"/>
        </row>
        <row r="128">
          <cell r="G128"/>
          <cell r="H128"/>
          <cell r="I128"/>
          <cell r="J128"/>
          <cell r="K128"/>
          <cell r="L128"/>
          <cell r="M128"/>
          <cell r="N128"/>
          <cell r="O128"/>
          <cell r="P128"/>
          <cell r="Q128"/>
          <cell r="R128"/>
          <cell r="S128"/>
          <cell r="T128"/>
          <cell r="U128"/>
          <cell r="V128"/>
          <cell r="W128"/>
          <cell r="X128"/>
          <cell r="Y128"/>
          <cell r="Z128"/>
          <cell r="AA128"/>
          <cell r="AB128"/>
          <cell r="AC128"/>
          <cell r="AD128"/>
          <cell r="AE128"/>
        </row>
        <row r="129">
          <cell r="G129"/>
          <cell r="H129"/>
          <cell r="I129"/>
          <cell r="J129"/>
          <cell r="K129"/>
          <cell r="L129"/>
          <cell r="M129"/>
          <cell r="N129"/>
          <cell r="O129"/>
          <cell r="P129"/>
          <cell r="Q129"/>
          <cell r="R129"/>
          <cell r="S129"/>
          <cell r="T129"/>
          <cell r="U129"/>
          <cell r="V129"/>
          <cell r="W129"/>
          <cell r="X129"/>
          <cell r="Y129"/>
          <cell r="Z129"/>
          <cell r="AA129"/>
          <cell r="AB129"/>
          <cell r="AC129"/>
          <cell r="AD129"/>
          <cell r="AE129"/>
        </row>
        <row r="130">
          <cell r="G130"/>
          <cell r="H130"/>
          <cell r="I130"/>
          <cell r="J130"/>
          <cell r="K130"/>
          <cell r="L130"/>
          <cell r="M130"/>
          <cell r="N130"/>
          <cell r="O130"/>
          <cell r="P130"/>
          <cell r="Q130"/>
          <cell r="R130"/>
          <cell r="S130"/>
          <cell r="T130"/>
          <cell r="U130"/>
          <cell r="V130"/>
          <cell r="W130"/>
          <cell r="X130"/>
          <cell r="Y130"/>
          <cell r="Z130"/>
          <cell r="AA130"/>
          <cell r="AB130"/>
          <cell r="AC130"/>
          <cell r="AD130"/>
          <cell r="AE130"/>
        </row>
        <row r="131">
          <cell r="G131"/>
          <cell r="H131"/>
          <cell r="I131"/>
          <cell r="J131"/>
          <cell r="K131"/>
          <cell r="L131"/>
          <cell r="M131"/>
          <cell r="N131"/>
          <cell r="O131"/>
          <cell r="P131"/>
          <cell r="Q131"/>
          <cell r="R131"/>
          <cell r="S131"/>
          <cell r="T131"/>
          <cell r="U131"/>
          <cell r="V131"/>
          <cell r="W131"/>
          <cell r="X131"/>
          <cell r="Y131"/>
          <cell r="Z131"/>
          <cell r="AA131"/>
          <cell r="AB131"/>
          <cell r="AC131"/>
          <cell r="AD131"/>
          <cell r="AE131"/>
        </row>
        <row r="132">
          <cell r="G132"/>
          <cell r="H132"/>
          <cell r="I132"/>
          <cell r="J132"/>
          <cell r="K132"/>
          <cell r="L132"/>
          <cell r="M132"/>
          <cell r="N132"/>
          <cell r="O132"/>
          <cell r="P132"/>
          <cell r="Q132"/>
          <cell r="R132"/>
          <cell r="S132"/>
          <cell r="T132"/>
          <cell r="U132"/>
          <cell r="V132"/>
          <cell r="W132"/>
          <cell r="X132"/>
          <cell r="Y132"/>
          <cell r="Z132"/>
          <cell r="AA132"/>
          <cell r="AB132"/>
          <cell r="AC132"/>
          <cell r="AD132"/>
          <cell r="AE132"/>
        </row>
        <row r="133">
          <cell r="G133"/>
          <cell r="H133"/>
          <cell r="I133"/>
          <cell r="J133"/>
          <cell r="K133"/>
          <cell r="L133"/>
          <cell r="M133"/>
          <cell r="N133"/>
          <cell r="O133"/>
          <cell r="P133"/>
          <cell r="Q133"/>
          <cell r="R133"/>
          <cell r="S133"/>
          <cell r="T133"/>
          <cell r="U133"/>
          <cell r="V133"/>
          <cell r="W133"/>
          <cell r="X133"/>
          <cell r="Y133"/>
          <cell r="Z133"/>
          <cell r="AA133"/>
          <cell r="AB133"/>
          <cell r="AC133"/>
          <cell r="AD133"/>
          <cell r="AE133"/>
        </row>
        <row r="134">
          <cell r="G134"/>
          <cell r="H134"/>
          <cell r="I134"/>
          <cell r="J134"/>
          <cell r="K134"/>
          <cell r="L134"/>
          <cell r="M134"/>
          <cell r="N134"/>
          <cell r="O134"/>
          <cell r="P134"/>
          <cell r="Q134"/>
          <cell r="R134"/>
          <cell r="S134"/>
          <cell r="T134"/>
          <cell r="U134"/>
          <cell r="V134"/>
          <cell r="W134"/>
          <cell r="X134"/>
          <cell r="Y134"/>
          <cell r="Z134"/>
          <cell r="AA134"/>
          <cell r="AB134"/>
          <cell r="AC134"/>
          <cell r="AD134"/>
          <cell r="AE134"/>
        </row>
        <row r="135">
          <cell r="G135"/>
          <cell r="H135"/>
          <cell r="I135"/>
          <cell r="J135"/>
          <cell r="K135"/>
          <cell r="L135"/>
          <cell r="M135"/>
          <cell r="N135"/>
          <cell r="O135"/>
          <cell r="P135"/>
          <cell r="Q135"/>
          <cell r="R135"/>
          <cell r="S135"/>
          <cell r="T135"/>
          <cell r="U135"/>
          <cell r="V135"/>
          <cell r="W135"/>
          <cell r="X135"/>
          <cell r="Y135"/>
          <cell r="Z135"/>
          <cell r="AA135"/>
          <cell r="AB135"/>
          <cell r="AC135"/>
          <cell r="AD135"/>
          <cell r="AE135"/>
        </row>
        <row r="136">
          <cell r="G136"/>
          <cell r="H136"/>
          <cell r="I136"/>
          <cell r="J136"/>
          <cell r="K136"/>
          <cell r="L136"/>
          <cell r="M136"/>
          <cell r="N136"/>
          <cell r="O136"/>
          <cell r="P136"/>
          <cell r="Q136"/>
          <cell r="R136"/>
          <cell r="S136"/>
          <cell r="T136"/>
          <cell r="U136"/>
          <cell r="V136"/>
          <cell r="W136"/>
          <cell r="X136"/>
          <cell r="Y136"/>
          <cell r="Z136"/>
          <cell r="AA136"/>
          <cell r="AB136"/>
          <cell r="AC136"/>
          <cell r="AD136"/>
          <cell r="AE136"/>
        </row>
        <row r="137">
          <cell r="G137"/>
          <cell r="H137"/>
          <cell r="I137"/>
          <cell r="J137"/>
          <cell r="K137"/>
          <cell r="L137"/>
          <cell r="M137"/>
          <cell r="N137"/>
          <cell r="O137"/>
          <cell r="P137"/>
          <cell r="Q137"/>
          <cell r="R137"/>
          <cell r="S137"/>
          <cell r="T137"/>
          <cell r="U137"/>
          <cell r="V137"/>
          <cell r="W137"/>
          <cell r="X137"/>
          <cell r="Y137"/>
          <cell r="Z137"/>
          <cell r="AA137"/>
          <cell r="AB137"/>
          <cell r="AC137"/>
          <cell r="AD137"/>
          <cell r="AE137"/>
        </row>
        <row r="138">
          <cell r="G138"/>
          <cell r="H138"/>
          <cell r="I138"/>
          <cell r="J138"/>
          <cell r="K138"/>
          <cell r="L138"/>
          <cell r="M138"/>
          <cell r="N138"/>
          <cell r="O138"/>
          <cell r="P138"/>
          <cell r="Q138"/>
          <cell r="R138"/>
          <cell r="S138"/>
          <cell r="T138"/>
          <cell r="U138"/>
          <cell r="V138"/>
          <cell r="W138"/>
          <cell r="X138"/>
          <cell r="Y138"/>
          <cell r="Z138"/>
          <cell r="AA138"/>
          <cell r="AB138"/>
          <cell r="AC138"/>
          <cell r="AD138"/>
          <cell r="AE138"/>
        </row>
        <row r="139">
          <cell r="G139"/>
          <cell r="H139"/>
          <cell r="I139"/>
          <cell r="J139"/>
          <cell r="K139"/>
          <cell r="L139"/>
          <cell r="M139"/>
          <cell r="N139"/>
          <cell r="O139"/>
          <cell r="P139"/>
          <cell r="Q139"/>
          <cell r="R139"/>
          <cell r="S139"/>
          <cell r="T139"/>
          <cell r="U139"/>
          <cell r="V139"/>
          <cell r="W139"/>
          <cell r="X139"/>
          <cell r="Y139"/>
          <cell r="Z139"/>
          <cell r="AA139"/>
          <cell r="AB139"/>
          <cell r="AC139"/>
          <cell r="AD139"/>
          <cell r="AE139"/>
        </row>
        <row r="140">
          <cell r="G140"/>
          <cell r="H140"/>
          <cell r="I140"/>
          <cell r="J140"/>
          <cell r="K140"/>
          <cell r="L140"/>
          <cell r="M140"/>
          <cell r="N140"/>
          <cell r="O140"/>
          <cell r="P140"/>
          <cell r="Q140"/>
          <cell r="R140"/>
          <cell r="S140"/>
          <cell r="T140"/>
          <cell r="U140"/>
          <cell r="V140"/>
          <cell r="W140"/>
          <cell r="X140"/>
          <cell r="Y140"/>
          <cell r="Z140"/>
          <cell r="AA140"/>
          <cell r="AB140"/>
          <cell r="AC140"/>
          <cell r="AD140"/>
          <cell r="AE140"/>
        </row>
        <row r="141">
          <cell r="G141"/>
          <cell r="H141"/>
          <cell r="I141"/>
          <cell r="J141"/>
          <cell r="K141"/>
          <cell r="L141"/>
          <cell r="M141"/>
          <cell r="N141"/>
          <cell r="O141"/>
          <cell r="P141"/>
          <cell r="Q141"/>
          <cell r="R141"/>
          <cell r="S141"/>
          <cell r="T141"/>
          <cell r="U141"/>
          <cell r="V141"/>
          <cell r="W141"/>
          <cell r="X141"/>
          <cell r="Y141"/>
          <cell r="Z141"/>
          <cell r="AA141"/>
          <cell r="AB141"/>
          <cell r="AC141"/>
          <cell r="AD141"/>
          <cell r="AE141"/>
        </row>
        <row r="142">
          <cell r="G142"/>
          <cell r="H142"/>
          <cell r="I142"/>
          <cell r="J142"/>
          <cell r="K142"/>
          <cell r="L142"/>
          <cell r="M142"/>
          <cell r="N142"/>
          <cell r="O142"/>
          <cell r="P142"/>
          <cell r="Q142"/>
          <cell r="R142"/>
          <cell r="S142"/>
          <cell r="T142"/>
          <cell r="U142"/>
          <cell r="V142"/>
          <cell r="W142"/>
          <cell r="X142"/>
          <cell r="Y142"/>
          <cell r="Z142"/>
          <cell r="AA142"/>
          <cell r="AB142"/>
          <cell r="AC142"/>
          <cell r="AD142"/>
          <cell r="AE142"/>
        </row>
        <row r="143">
          <cell r="G143"/>
          <cell r="H143"/>
          <cell r="I143"/>
          <cell r="J143"/>
          <cell r="K143"/>
          <cell r="L143"/>
          <cell r="M143"/>
          <cell r="N143"/>
          <cell r="O143"/>
          <cell r="P143"/>
          <cell r="Q143"/>
          <cell r="R143"/>
          <cell r="S143"/>
          <cell r="T143"/>
          <cell r="U143"/>
          <cell r="V143"/>
          <cell r="W143"/>
          <cell r="X143"/>
          <cell r="Y143"/>
          <cell r="Z143"/>
          <cell r="AA143"/>
          <cell r="AB143"/>
          <cell r="AC143"/>
          <cell r="AD143"/>
          <cell r="AE143"/>
        </row>
        <row r="144">
          <cell r="G144"/>
          <cell r="H144"/>
          <cell r="I144"/>
          <cell r="J144"/>
          <cell r="K144"/>
          <cell r="L144"/>
          <cell r="M144"/>
          <cell r="N144"/>
          <cell r="O144"/>
          <cell r="P144"/>
          <cell r="Q144"/>
          <cell r="R144"/>
          <cell r="S144"/>
          <cell r="T144"/>
          <cell r="U144"/>
          <cell r="V144"/>
          <cell r="W144"/>
          <cell r="X144"/>
          <cell r="Y144"/>
          <cell r="Z144"/>
          <cell r="AA144"/>
          <cell r="AB144"/>
          <cell r="AC144"/>
          <cell r="AD144"/>
          <cell r="AE144"/>
        </row>
        <row r="145">
          <cell r="G145"/>
          <cell r="H145"/>
          <cell r="I145"/>
          <cell r="J145"/>
          <cell r="K145"/>
          <cell r="L145"/>
          <cell r="M145"/>
          <cell r="N145"/>
          <cell r="O145"/>
          <cell r="P145"/>
          <cell r="Q145"/>
          <cell r="R145"/>
          <cell r="S145"/>
          <cell r="T145"/>
          <cell r="U145"/>
          <cell r="V145"/>
          <cell r="W145"/>
          <cell r="X145"/>
          <cell r="Y145"/>
          <cell r="Z145"/>
          <cell r="AA145"/>
          <cell r="AB145"/>
          <cell r="AC145"/>
          <cell r="AD145"/>
          <cell r="AE145"/>
        </row>
        <row r="146">
          <cell r="G146"/>
          <cell r="H146"/>
          <cell r="I146"/>
          <cell r="J146"/>
          <cell r="K146"/>
          <cell r="L146"/>
          <cell r="M146"/>
          <cell r="N146"/>
          <cell r="O146"/>
          <cell r="P146"/>
          <cell r="Q146"/>
          <cell r="R146"/>
          <cell r="S146"/>
          <cell r="T146"/>
          <cell r="U146"/>
          <cell r="V146"/>
          <cell r="W146"/>
          <cell r="X146"/>
          <cell r="Y146"/>
          <cell r="Z146"/>
          <cell r="AA146"/>
          <cell r="AB146"/>
          <cell r="AC146"/>
          <cell r="AD146"/>
          <cell r="AE146"/>
        </row>
        <row r="147">
          <cell r="G147"/>
          <cell r="H147"/>
          <cell r="I147"/>
          <cell r="J147"/>
          <cell r="K147"/>
          <cell r="L147"/>
          <cell r="M147"/>
          <cell r="N147"/>
          <cell r="O147"/>
          <cell r="P147"/>
          <cell r="Q147"/>
          <cell r="R147"/>
          <cell r="S147"/>
          <cell r="T147"/>
          <cell r="U147"/>
          <cell r="V147"/>
          <cell r="W147"/>
          <cell r="X147"/>
          <cell r="Y147"/>
          <cell r="Z147"/>
          <cell r="AA147"/>
          <cell r="AB147"/>
          <cell r="AC147"/>
          <cell r="AD147"/>
          <cell r="AE147"/>
        </row>
        <row r="148">
          <cell r="G148"/>
          <cell r="H148"/>
          <cell r="I148"/>
          <cell r="J148"/>
          <cell r="K148"/>
          <cell r="L148"/>
          <cell r="M148"/>
          <cell r="N148"/>
          <cell r="O148"/>
          <cell r="P148"/>
          <cell r="Q148"/>
          <cell r="R148"/>
          <cell r="S148"/>
          <cell r="T148"/>
          <cell r="U148"/>
          <cell r="V148"/>
          <cell r="W148"/>
          <cell r="X148"/>
          <cell r="Y148"/>
          <cell r="Z148"/>
          <cell r="AA148"/>
          <cell r="AB148"/>
          <cell r="AC148"/>
          <cell r="AD148"/>
          <cell r="AE148"/>
        </row>
        <row r="149">
          <cell r="G149"/>
          <cell r="H149"/>
          <cell r="I149"/>
          <cell r="J149"/>
          <cell r="K149"/>
          <cell r="L149"/>
          <cell r="M149"/>
          <cell r="N149"/>
          <cell r="O149"/>
          <cell r="P149"/>
          <cell r="Q149"/>
          <cell r="R149"/>
          <cell r="S149"/>
          <cell r="T149"/>
          <cell r="U149"/>
          <cell r="V149"/>
          <cell r="W149"/>
          <cell r="X149"/>
          <cell r="Y149"/>
          <cell r="Z149"/>
          <cell r="AA149"/>
          <cell r="AB149"/>
          <cell r="AC149"/>
          <cell r="AD149"/>
          <cell r="AE149"/>
        </row>
        <row r="150">
          <cell r="G150"/>
          <cell r="H150"/>
          <cell r="I150"/>
          <cell r="J150"/>
          <cell r="K150"/>
          <cell r="L150"/>
          <cell r="M150"/>
          <cell r="N150"/>
          <cell r="O150"/>
          <cell r="P150"/>
          <cell r="Q150"/>
          <cell r="R150"/>
          <cell r="S150"/>
          <cell r="T150"/>
          <cell r="U150"/>
          <cell r="V150"/>
          <cell r="W150"/>
          <cell r="X150"/>
          <cell r="Y150"/>
          <cell r="Z150"/>
          <cell r="AA150"/>
          <cell r="AB150"/>
          <cell r="AC150"/>
          <cell r="AD150"/>
          <cell r="AE150"/>
        </row>
        <row r="151">
          <cell r="G151"/>
          <cell r="H151"/>
          <cell r="I151"/>
          <cell r="J151"/>
          <cell r="K151"/>
          <cell r="L151"/>
          <cell r="M151"/>
          <cell r="N151"/>
          <cell r="O151"/>
          <cell r="P151"/>
          <cell r="Q151"/>
          <cell r="R151"/>
          <cell r="S151"/>
          <cell r="T151"/>
          <cell r="U151"/>
          <cell r="V151"/>
          <cell r="W151"/>
          <cell r="X151"/>
          <cell r="Y151"/>
          <cell r="Z151"/>
          <cell r="AA151"/>
          <cell r="AB151"/>
          <cell r="AC151"/>
          <cell r="AD151"/>
          <cell r="AE151"/>
        </row>
        <row r="152">
          <cell r="G152"/>
          <cell r="H152"/>
          <cell r="I152"/>
          <cell r="J152"/>
          <cell r="K152"/>
          <cell r="L152"/>
          <cell r="M152"/>
          <cell r="N152"/>
          <cell r="O152"/>
          <cell r="P152"/>
          <cell r="Q152"/>
          <cell r="R152"/>
          <cell r="S152"/>
          <cell r="T152"/>
          <cell r="U152"/>
          <cell r="V152"/>
          <cell r="W152"/>
          <cell r="X152"/>
          <cell r="Y152"/>
          <cell r="Z152"/>
          <cell r="AA152"/>
          <cell r="AB152"/>
          <cell r="AC152"/>
          <cell r="AD152"/>
          <cell r="AE152"/>
        </row>
        <row r="153">
          <cell r="G153"/>
          <cell r="H153"/>
          <cell r="I153"/>
          <cell r="J153"/>
          <cell r="K153"/>
          <cell r="L153"/>
          <cell r="M153"/>
          <cell r="N153"/>
          <cell r="O153"/>
          <cell r="P153"/>
          <cell r="Q153"/>
          <cell r="R153"/>
          <cell r="S153"/>
          <cell r="T153"/>
          <cell r="U153"/>
          <cell r="V153"/>
          <cell r="W153"/>
          <cell r="X153"/>
          <cell r="Y153"/>
          <cell r="Z153"/>
          <cell r="AA153"/>
          <cell r="AB153"/>
          <cell r="AC153"/>
          <cell r="AD153"/>
          <cell r="AE153"/>
        </row>
        <row r="154">
          <cell r="G154"/>
          <cell r="H154"/>
          <cell r="I154"/>
          <cell r="J154"/>
          <cell r="K154"/>
          <cell r="L154"/>
          <cell r="M154"/>
          <cell r="N154"/>
          <cell r="O154"/>
          <cell r="P154"/>
          <cell r="Q154"/>
          <cell r="R154"/>
          <cell r="S154"/>
          <cell r="T154"/>
          <cell r="U154"/>
          <cell r="V154"/>
          <cell r="W154"/>
          <cell r="X154"/>
          <cell r="Y154"/>
          <cell r="Z154"/>
          <cell r="AA154"/>
          <cell r="AB154"/>
          <cell r="AC154"/>
          <cell r="AD154"/>
          <cell r="AE154"/>
        </row>
        <row r="155">
          <cell r="G155"/>
          <cell r="H155"/>
          <cell r="I155"/>
          <cell r="J155"/>
          <cell r="K155"/>
          <cell r="L155"/>
          <cell r="M155"/>
          <cell r="N155"/>
          <cell r="O155"/>
          <cell r="P155"/>
          <cell r="Q155"/>
          <cell r="R155"/>
          <cell r="S155"/>
          <cell r="T155"/>
          <cell r="U155"/>
          <cell r="V155"/>
          <cell r="W155"/>
          <cell r="X155"/>
          <cell r="Y155"/>
          <cell r="Z155"/>
          <cell r="AA155"/>
          <cell r="AB155"/>
          <cell r="AC155"/>
          <cell r="AD155"/>
          <cell r="AE155"/>
        </row>
        <row r="156">
          <cell r="G156"/>
          <cell r="H156"/>
          <cell r="I156"/>
          <cell r="J156"/>
          <cell r="K156"/>
          <cell r="L156"/>
          <cell r="M156"/>
          <cell r="N156"/>
          <cell r="O156"/>
          <cell r="P156"/>
          <cell r="Q156"/>
          <cell r="R156"/>
          <cell r="S156"/>
          <cell r="T156"/>
          <cell r="U156"/>
          <cell r="V156"/>
          <cell r="W156"/>
          <cell r="X156"/>
          <cell r="Y156"/>
          <cell r="Z156"/>
          <cell r="AA156"/>
          <cell r="AB156"/>
          <cell r="AC156"/>
          <cell r="AD156"/>
          <cell r="AE156"/>
        </row>
        <row r="157">
          <cell r="G157"/>
          <cell r="H157"/>
          <cell r="I157"/>
          <cell r="J157"/>
          <cell r="K157"/>
          <cell r="L157"/>
          <cell r="M157"/>
          <cell r="N157"/>
          <cell r="O157"/>
          <cell r="P157"/>
          <cell r="Q157"/>
          <cell r="R157"/>
          <cell r="S157"/>
          <cell r="T157"/>
          <cell r="U157"/>
          <cell r="V157"/>
          <cell r="W157"/>
          <cell r="X157"/>
          <cell r="Y157"/>
          <cell r="Z157"/>
          <cell r="AA157"/>
          <cell r="AB157"/>
          <cell r="AC157"/>
          <cell r="AD157"/>
          <cell r="AE157"/>
        </row>
        <row r="158">
          <cell r="G158"/>
          <cell r="H158"/>
          <cell r="I158"/>
          <cell r="J158"/>
          <cell r="K158"/>
          <cell r="L158"/>
          <cell r="M158"/>
          <cell r="N158"/>
          <cell r="O158"/>
          <cell r="P158"/>
          <cell r="Q158"/>
          <cell r="R158"/>
          <cell r="S158"/>
          <cell r="T158"/>
          <cell r="U158"/>
          <cell r="V158"/>
          <cell r="W158"/>
          <cell r="X158"/>
          <cell r="Y158"/>
          <cell r="Z158"/>
          <cell r="AA158"/>
          <cell r="AB158"/>
          <cell r="AC158"/>
          <cell r="AD158"/>
          <cell r="AE158"/>
        </row>
        <row r="159">
          <cell r="G159"/>
          <cell r="H159"/>
          <cell r="I159"/>
          <cell r="J159"/>
          <cell r="K159"/>
          <cell r="L159"/>
          <cell r="M159"/>
          <cell r="N159"/>
          <cell r="O159"/>
          <cell r="P159"/>
          <cell r="Q159"/>
          <cell r="R159"/>
          <cell r="S159"/>
          <cell r="T159"/>
          <cell r="U159"/>
          <cell r="V159"/>
          <cell r="W159"/>
          <cell r="X159"/>
          <cell r="Y159"/>
          <cell r="Z159"/>
          <cell r="AA159"/>
          <cell r="AB159"/>
          <cell r="AC159"/>
          <cell r="AD159"/>
          <cell r="AE159"/>
        </row>
        <row r="160">
          <cell r="G160"/>
          <cell r="H160"/>
          <cell r="I160"/>
          <cell r="J160"/>
          <cell r="K160"/>
          <cell r="L160"/>
          <cell r="M160"/>
          <cell r="N160"/>
          <cell r="O160"/>
          <cell r="P160"/>
          <cell r="Q160"/>
          <cell r="R160"/>
          <cell r="S160"/>
          <cell r="T160"/>
          <cell r="U160"/>
          <cell r="V160"/>
          <cell r="W160"/>
          <cell r="X160"/>
          <cell r="Y160"/>
          <cell r="Z160"/>
          <cell r="AA160"/>
          <cell r="AB160"/>
          <cell r="AC160"/>
          <cell r="AD160"/>
          <cell r="AE160"/>
        </row>
        <row r="161">
          <cell r="G161"/>
          <cell r="H161"/>
          <cell r="I161"/>
          <cell r="J161"/>
          <cell r="K161"/>
          <cell r="L161"/>
          <cell r="M161"/>
          <cell r="N161"/>
          <cell r="O161"/>
          <cell r="P161"/>
          <cell r="Q161"/>
          <cell r="R161"/>
          <cell r="S161"/>
          <cell r="T161"/>
          <cell r="U161"/>
          <cell r="V161"/>
          <cell r="W161"/>
          <cell r="X161"/>
          <cell r="Y161"/>
          <cell r="Z161"/>
          <cell r="AA161"/>
          <cell r="AB161"/>
          <cell r="AC161"/>
          <cell r="AD161"/>
          <cell r="AE161"/>
        </row>
        <row r="162">
          <cell r="G162"/>
          <cell r="H162"/>
          <cell r="I162"/>
          <cell r="J162"/>
          <cell r="K162"/>
          <cell r="L162"/>
          <cell r="M162"/>
          <cell r="N162"/>
          <cell r="O162"/>
          <cell r="P162"/>
          <cell r="Q162"/>
          <cell r="R162"/>
          <cell r="S162"/>
          <cell r="T162"/>
          <cell r="U162"/>
          <cell r="V162"/>
          <cell r="W162"/>
          <cell r="X162"/>
          <cell r="Y162"/>
          <cell r="Z162"/>
          <cell r="AA162"/>
          <cell r="AB162"/>
          <cell r="AC162"/>
          <cell r="AD162"/>
          <cell r="AE162"/>
        </row>
        <row r="163">
          <cell r="G163"/>
          <cell r="H163"/>
          <cell r="I163"/>
          <cell r="J163"/>
          <cell r="K163"/>
          <cell r="L163"/>
          <cell r="M163"/>
          <cell r="N163"/>
          <cell r="O163"/>
          <cell r="P163"/>
          <cell r="Q163"/>
          <cell r="R163"/>
          <cell r="S163"/>
          <cell r="T163"/>
          <cell r="U163"/>
          <cell r="V163"/>
          <cell r="W163"/>
          <cell r="X163"/>
          <cell r="Y163"/>
          <cell r="Z163"/>
          <cell r="AA163"/>
          <cell r="AB163"/>
          <cell r="AC163"/>
          <cell r="AD163"/>
          <cell r="AE163"/>
        </row>
        <row r="164">
          <cell r="G164"/>
          <cell r="H164"/>
          <cell r="I164"/>
          <cell r="J164"/>
          <cell r="K164"/>
          <cell r="L164"/>
          <cell r="M164"/>
          <cell r="N164"/>
          <cell r="O164"/>
          <cell r="P164"/>
          <cell r="Q164"/>
          <cell r="R164"/>
          <cell r="S164"/>
          <cell r="T164"/>
          <cell r="U164"/>
          <cell r="V164"/>
          <cell r="W164"/>
          <cell r="X164"/>
          <cell r="Y164"/>
          <cell r="Z164"/>
          <cell r="AA164"/>
          <cell r="AB164"/>
          <cell r="AC164"/>
          <cell r="AD164"/>
          <cell r="AE164"/>
        </row>
        <row r="165">
          <cell r="G165"/>
          <cell r="H165"/>
          <cell r="I165"/>
          <cell r="J165"/>
          <cell r="K165"/>
          <cell r="L165"/>
          <cell r="M165"/>
          <cell r="N165"/>
          <cell r="O165"/>
          <cell r="P165"/>
          <cell r="Q165"/>
          <cell r="R165"/>
          <cell r="S165"/>
          <cell r="T165"/>
          <cell r="U165"/>
          <cell r="V165"/>
          <cell r="W165"/>
          <cell r="X165"/>
          <cell r="Y165"/>
          <cell r="Z165"/>
          <cell r="AA165"/>
          <cell r="AB165"/>
          <cell r="AC165"/>
          <cell r="AD165"/>
          <cell r="AE165"/>
        </row>
        <row r="166">
          <cell r="G166"/>
          <cell r="H166"/>
          <cell r="I166"/>
          <cell r="J166"/>
          <cell r="K166"/>
          <cell r="L166"/>
          <cell r="M166"/>
          <cell r="N166"/>
          <cell r="O166"/>
          <cell r="P166"/>
          <cell r="Q166"/>
          <cell r="R166"/>
          <cell r="S166"/>
          <cell r="T166"/>
          <cell r="U166"/>
          <cell r="V166"/>
          <cell r="W166"/>
          <cell r="X166"/>
          <cell r="Y166"/>
          <cell r="Z166"/>
          <cell r="AA166"/>
          <cell r="AB166"/>
          <cell r="AC166"/>
          <cell r="AD166"/>
          <cell r="AE166"/>
        </row>
        <row r="167">
          <cell r="G167"/>
          <cell r="H167"/>
          <cell r="I167"/>
          <cell r="J167"/>
          <cell r="K167"/>
          <cell r="L167"/>
          <cell r="M167"/>
          <cell r="N167"/>
          <cell r="O167"/>
          <cell r="P167"/>
          <cell r="Q167"/>
          <cell r="R167"/>
          <cell r="S167"/>
          <cell r="T167"/>
          <cell r="U167"/>
          <cell r="V167"/>
          <cell r="W167"/>
          <cell r="X167"/>
          <cell r="Y167"/>
          <cell r="Z167"/>
          <cell r="AA167"/>
          <cell r="AB167"/>
          <cell r="AC167"/>
          <cell r="AD167"/>
          <cell r="AE167"/>
        </row>
        <row r="168">
          <cell r="G168"/>
          <cell r="H168"/>
          <cell r="I168"/>
          <cell r="J168"/>
          <cell r="K168"/>
          <cell r="L168"/>
          <cell r="M168"/>
          <cell r="N168"/>
          <cell r="O168"/>
          <cell r="P168"/>
          <cell r="Q168"/>
          <cell r="R168"/>
          <cell r="S168"/>
          <cell r="T168"/>
          <cell r="U168"/>
          <cell r="V168"/>
          <cell r="W168"/>
          <cell r="X168"/>
          <cell r="Y168"/>
          <cell r="Z168"/>
          <cell r="AA168"/>
          <cell r="AB168"/>
          <cell r="AC168"/>
          <cell r="AD168"/>
          <cell r="AE168"/>
        </row>
        <row r="169">
          <cell r="G169"/>
          <cell r="H169"/>
          <cell r="I169"/>
          <cell r="J169"/>
          <cell r="K169"/>
          <cell r="L169"/>
          <cell r="M169"/>
          <cell r="N169"/>
          <cell r="O169"/>
          <cell r="P169"/>
          <cell r="Q169"/>
          <cell r="R169"/>
          <cell r="S169"/>
          <cell r="T169"/>
          <cell r="U169"/>
          <cell r="V169"/>
          <cell r="W169"/>
          <cell r="X169"/>
          <cell r="Y169"/>
          <cell r="Z169"/>
          <cell r="AA169"/>
          <cell r="AB169"/>
          <cell r="AC169"/>
          <cell r="AD169"/>
          <cell r="AE169"/>
        </row>
        <row r="170">
          <cell r="G170"/>
          <cell r="H170"/>
          <cell r="I170"/>
          <cell r="J170"/>
          <cell r="K170"/>
          <cell r="L170"/>
          <cell r="M170"/>
          <cell r="N170"/>
          <cell r="O170"/>
          <cell r="P170"/>
          <cell r="Q170"/>
          <cell r="R170"/>
          <cell r="S170"/>
          <cell r="T170"/>
          <cell r="U170"/>
          <cell r="V170"/>
          <cell r="W170"/>
          <cell r="X170"/>
          <cell r="Y170"/>
          <cell r="Z170"/>
          <cell r="AA170"/>
          <cell r="AB170"/>
          <cell r="AC170"/>
          <cell r="AD170"/>
          <cell r="AE170"/>
        </row>
        <row r="171">
          <cell r="G171"/>
          <cell r="H171"/>
          <cell r="I171"/>
          <cell r="J171"/>
          <cell r="K171"/>
          <cell r="L171"/>
          <cell r="M171"/>
          <cell r="N171"/>
          <cell r="O171"/>
          <cell r="P171"/>
          <cell r="Q171"/>
          <cell r="R171"/>
          <cell r="S171"/>
          <cell r="T171"/>
          <cell r="U171"/>
          <cell r="V171"/>
          <cell r="W171"/>
          <cell r="X171"/>
          <cell r="Y171"/>
          <cell r="Z171"/>
          <cell r="AA171"/>
          <cell r="AB171"/>
          <cell r="AC171"/>
          <cell r="AD171"/>
          <cell r="AE171"/>
        </row>
        <row r="172">
          <cell r="G172"/>
          <cell r="H172"/>
          <cell r="I172"/>
          <cell r="J172"/>
          <cell r="K172"/>
          <cell r="L172"/>
          <cell r="M172"/>
          <cell r="N172"/>
          <cell r="O172"/>
          <cell r="P172"/>
          <cell r="Q172"/>
          <cell r="R172"/>
          <cell r="S172"/>
          <cell r="T172"/>
          <cell r="U172"/>
          <cell r="V172"/>
          <cell r="W172"/>
          <cell r="X172"/>
          <cell r="Y172"/>
          <cell r="Z172"/>
          <cell r="AA172"/>
          <cell r="AB172"/>
          <cell r="AC172"/>
          <cell r="AD172"/>
          <cell r="AE172"/>
        </row>
        <row r="173">
          <cell r="G173"/>
          <cell r="H173"/>
          <cell r="I173"/>
          <cell r="J173"/>
          <cell r="K173"/>
          <cell r="L173"/>
          <cell r="M173"/>
          <cell r="N173"/>
          <cell r="O173"/>
          <cell r="P173"/>
          <cell r="Q173"/>
          <cell r="R173"/>
          <cell r="S173"/>
          <cell r="T173"/>
          <cell r="U173"/>
          <cell r="V173"/>
          <cell r="W173"/>
          <cell r="X173"/>
          <cell r="Y173"/>
          <cell r="Z173"/>
          <cell r="AA173"/>
          <cell r="AB173"/>
          <cell r="AC173"/>
          <cell r="AD173"/>
          <cell r="AE173"/>
        </row>
        <row r="174">
          <cell r="G174"/>
          <cell r="H174"/>
          <cell r="I174"/>
          <cell r="J174"/>
          <cell r="K174"/>
          <cell r="L174"/>
          <cell r="M174"/>
          <cell r="N174"/>
          <cell r="O174"/>
          <cell r="P174"/>
          <cell r="Q174"/>
          <cell r="R174"/>
          <cell r="S174"/>
          <cell r="T174"/>
          <cell r="U174"/>
          <cell r="V174"/>
          <cell r="W174"/>
          <cell r="X174"/>
          <cell r="Y174"/>
          <cell r="Z174"/>
          <cell r="AA174"/>
          <cell r="AB174"/>
          <cell r="AC174"/>
          <cell r="AD174"/>
          <cell r="AE174"/>
        </row>
        <row r="175">
          <cell r="G175"/>
          <cell r="H175"/>
          <cell r="I175"/>
          <cell r="J175"/>
          <cell r="K175"/>
          <cell r="L175"/>
          <cell r="M175"/>
          <cell r="N175"/>
          <cell r="O175"/>
          <cell r="P175"/>
          <cell r="Q175"/>
          <cell r="R175"/>
          <cell r="S175"/>
          <cell r="T175"/>
          <cell r="U175"/>
          <cell r="V175"/>
          <cell r="W175"/>
          <cell r="X175"/>
          <cell r="Y175"/>
          <cell r="Z175"/>
          <cell r="AA175"/>
          <cell r="AB175"/>
          <cell r="AC175"/>
          <cell r="AD175"/>
          <cell r="AE175"/>
        </row>
        <row r="176">
          <cell r="G176"/>
          <cell r="H176"/>
          <cell r="I176"/>
          <cell r="J176"/>
          <cell r="K176"/>
          <cell r="L176"/>
          <cell r="M176"/>
          <cell r="N176"/>
          <cell r="O176"/>
          <cell r="P176"/>
          <cell r="Q176"/>
          <cell r="R176"/>
          <cell r="S176"/>
          <cell r="T176"/>
          <cell r="U176"/>
          <cell r="V176"/>
          <cell r="W176"/>
          <cell r="X176"/>
          <cell r="Y176"/>
          <cell r="Z176"/>
          <cell r="AA176"/>
          <cell r="AB176"/>
          <cell r="AC176"/>
          <cell r="AD176"/>
          <cell r="AE176"/>
        </row>
        <row r="177">
          <cell r="G177"/>
          <cell r="H177"/>
          <cell r="I177"/>
          <cell r="J177"/>
          <cell r="K177"/>
          <cell r="L177"/>
          <cell r="M177"/>
          <cell r="N177"/>
          <cell r="O177"/>
          <cell r="P177"/>
          <cell r="Q177"/>
          <cell r="R177"/>
          <cell r="S177"/>
          <cell r="T177"/>
          <cell r="U177"/>
          <cell r="V177"/>
          <cell r="W177"/>
          <cell r="X177"/>
          <cell r="Y177"/>
          <cell r="Z177"/>
          <cell r="AA177"/>
          <cell r="AB177"/>
          <cell r="AC177"/>
          <cell r="AD177"/>
          <cell r="AE177"/>
        </row>
        <row r="178">
          <cell r="G178"/>
          <cell r="H178"/>
          <cell r="I178"/>
          <cell r="J178"/>
          <cell r="K178"/>
          <cell r="L178"/>
          <cell r="M178"/>
          <cell r="N178"/>
          <cell r="O178"/>
          <cell r="P178"/>
          <cell r="Q178"/>
          <cell r="R178"/>
          <cell r="S178"/>
          <cell r="T178"/>
          <cell r="U178"/>
          <cell r="V178"/>
          <cell r="W178"/>
          <cell r="X178"/>
          <cell r="Y178"/>
          <cell r="Z178"/>
          <cell r="AA178"/>
          <cell r="AB178"/>
          <cell r="AC178"/>
          <cell r="AD178"/>
          <cell r="AE178"/>
        </row>
        <row r="179">
          <cell r="G179"/>
          <cell r="H179"/>
          <cell r="I179"/>
          <cell r="J179"/>
          <cell r="K179"/>
          <cell r="L179"/>
          <cell r="M179"/>
          <cell r="N179"/>
          <cell r="O179"/>
          <cell r="P179"/>
          <cell r="Q179"/>
          <cell r="R179"/>
          <cell r="S179"/>
          <cell r="T179"/>
          <cell r="U179"/>
          <cell r="V179"/>
          <cell r="W179"/>
          <cell r="X179"/>
          <cell r="Y179"/>
          <cell r="Z179"/>
          <cell r="AA179"/>
          <cell r="AB179"/>
          <cell r="AC179"/>
          <cell r="AD179"/>
          <cell r="AE179"/>
        </row>
        <row r="180">
          <cell r="G180"/>
          <cell r="H180"/>
          <cell r="I180"/>
          <cell r="J180"/>
          <cell r="K180"/>
          <cell r="L180"/>
          <cell r="M180"/>
          <cell r="N180"/>
          <cell r="O180"/>
          <cell r="P180"/>
          <cell r="Q180"/>
          <cell r="R180"/>
          <cell r="S180"/>
          <cell r="T180"/>
          <cell r="U180"/>
          <cell r="V180"/>
          <cell r="W180"/>
          <cell r="X180"/>
          <cell r="Y180"/>
          <cell r="Z180"/>
          <cell r="AA180"/>
          <cell r="AB180"/>
          <cell r="AC180"/>
          <cell r="AD180"/>
          <cell r="AE180"/>
        </row>
        <row r="181">
          <cell r="G181"/>
          <cell r="H181"/>
          <cell r="I181"/>
          <cell r="J181"/>
          <cell r="K181"/>
          <cell r="L181"/>
          <cell r="M181"/>
          <cell r="N181"/>
          <cell r="O181"/>
          <cell r="P181"/>
          <cell r="Q181"/>
          <cell r="R181"/>
          <cell r="S181"/>
          <cell r="T181"/>
          <cell r="U181"/>
          <cell r="V181"/>
          <cell r="W181"/>
          <cell r="X181"/>
          <cell r="Y181"/>
          <cell r="Z181"/>
          <cell r="AA181"/>
          <cell r="AB181"/>
          <cell r="AC181"/>
          <cell r="AD181"/>
          <cell r="AE181"/>
        </row>
        <row r="182">
          <cell r="G182"/>
          <cell r="H182"/>
          <cell r="I182"/>
          <cell r="J182"/>
          <cell r="K182"/>
          <cell r="L182"/>
          <cell r="M182"/>
          <cell r="N182"/>
          <cell r="O182"/>
          <cell r="P182"/>
          <cell r="Q182"/>
          <cell r="R182"/>
          <cell r="S182"/>
          <cell r="T182"/>
          <cell r="U182"/>
          <cell r="V182"/>
          <cell r="W182"/>
          <cell r="X182"/>
          <cell r="Y182"/>
          <cell r="Z182"/>
          <cell r="AA182"/>
          <cell r="AB182"/>
          <cell r="AC182"/>
          <cell r="AD182"/>
          <cell r="AE182"/>
        </row>
        <row r="183">
          <cell r="G183"/>
          <cell r="H183"/>
          <cell r="I183"/>
          <cell r="J183"/>
          <cell r="K183"/>
          <cell r="L183"/>
          <cell r="M183"/>
          <cell r="N183"/>
          <cell r="O183"/>
          <cell r="P183"/>
          <cell r="Q183"/>
          <cell r="R183"/>
          <cell r="S183"/>
          <cell r="T183"/>
          <cell r="U183"/>
          <cell r="V183"/>
          <cell r="W183"/>
          <cell r="X183"/>
          <cell r="Y183"/>
          <cell r="Z183"/>
          <cell r="AA183"/>
          <cell r="AB183"/>
          <cell r="AC183"/>
          <cell r="AD183"/>
          <cell r="AE183"/>
        </row>
        <row r="184">
          <cell r="G184"/>
          <cell r="H184"/>
          <cell r="I184"/>
          <cell r="J184"/>
          <cell r="K184"/>
          <cell r="L184"/>
          <cell r="M184"/>
          <cell r="N184"/>
          <cell r="O184"/>
          <cell r="P184"/>
          <cell r="Q184"/>
          <cell r="R184"/>
          <cell r="S184"/>
          <cell r="T184"/>
          <cell r="U184"/>
          <cell r="V184"/>
          <cell r="W184"/>
          <cell r="X184"/>
          <cell r="Y184"/>
          <cell r="Z184"/>
          <cell r="AA184"/>
          <cell r="AB184"/>
          <cell r="AC184"/>
          <cell r="AD184"/>
          <cell r="AE184"/>
        </row>
        <row r="185">
          <cell r="G185"/>
          <cell r="H185"/>
          <cell r="I185"/>
          <cell r="J185"/>
          <cell r="K185"/>
          <cell r="L185"/>
          <cell r="M185"/>
          <cell r="N185"/>
          <cell r="O185"/>
          <cell r="P185"/>
          <cell r="Q185"/>
          <cell r="R185"/>
          <cell r="S185"/>
          <cell r="T185"/>
          <cell r="U185"/>
          <cell r="V185"/>
          <cell r="W185"/>
          <cell r="X185"/>
          <cell r="Y185"/>
          <cell r="Z185"/>
          <cell r="AA185"/>
          <cell r="AB185"/>
          <cell r="AC185"/>
          <cell r="AD185"/>
          <cell r="AE185"/>
        </row>
        <row r="186">
          <cell r="G186"/>
          <cell r="H186"/>
          <cell r="I186"/>
          <cell r="J186"/>
          <cell r="K186"/>
          <cell r="L186"/>
          <cell r="M186"/>
          <cell r="N186"/>
          <cell r="O186"/>
          <cell r="P186"/>
          <cell r="Q186"/>
          <cell r="R186"/>
          <cell r="S186"/>
          <cell r="T186"/>
          <cell r="U186"/>
          <cell r="V186"/>
          <cell r="W186"/>
          <cell r="X186"/>
          <cell r="Y186"/>
          <cell r="Z186"/>
          <cell r="AA186"/>
          <cell r="AB186"/>
          <cell r="AC186"/>
          <cell r="AD186"/>
          <cell r="AE186"/>
        </row>
        <row r="187">
          <cell r="G187"/>
          <cell r="H187"/>
          <cell r="I187"/>
          <cell r="J187"/>
          <cell r="K187"/>
          <cell r="L187"/>
          <cell r="M187"/>
          <cell r="N187"/>
          <cell r="O187"/>
          <cell r="P187"/>
          <cell r="Q187"/>
          <cell r="R187"/>
          <cell r="S187"/>
          <cell r="T187"/>
          <cell r="U187"/>
          <cell r="V187"/>
          <cell r="W187"/>
          <cell r="X187"/>
          <cell r="Y187"/>
          <cell r="Z187"/>
          <cell r="AA187"/>
          <cell r="AB187"/>
          <cell r="AC187"/>
          <cell r="AD187"/>
          <cell r="AE187"/>
        </row>
        <row r="188">
          <cell r="G188"/>
          <cell r="H188"/>
          <cell r="I188"/>
          <cell r="J188"/>
          <cell r="K188"/>
          <cell r="L188"/>
          <cell r="M188"/>
          <cell r="N188"/>
          <cell r="O188"/>
          <cell r="P188"/>
          <cell r="Q188"/>
          <cell r="R188"/>
          <cell r="S188"/>
          <cell r="T188"/>
          <cell r="U188"/>
          <cell r="V188"/>
          <cell r="W188"/>
          <cell r="X188"/>
          <cell r="Y188"/>
          <cell r="Z188"/>
          <cell r="AA188"/>
          <cell r="AB188"/>
          <cell r="AC188"/>
          <cell r="AD188"/>
          <cell r="AE188"/>
        </row>
        <row r="189">
          <cell r="G189"/>
          <cell r="H189"/>
          <cell r="I189"/>
          <cell r="J189"/>
          <cell r="K189"/>
          <cell r="L189"/>
          <cell r="M189"/>
          <cell r="N189"/>
          <cell r="O189"/>
          <cell r="P189"/>
          <cell r="Q189"/>
          <cell r="R189"/>
          <cell r="S189"/>
          <cell r="T189"/>
          <cell r="U189"/>
          <cell r="V189"/>
          <cell r="W189"/>
          <cell r="X189"/>
          <cell r="Y189"/>
          <cell r="Z189"/>
          <cell r="AA189"/>
          <cell r="AB189"/>
          <cell r="AC189"/>
          <cell r="AD189"/>
          <cell r="AE189"/>
        </row>
        <row r="190">
          <cell r="G190"/>
          <cell r="H190"/>
          <cell r="I190"/>
          <cell r="J190"/>
          <cell r="K190"/>
          <cell r="L190"/>
          <cell r="M190"/>
          <cell r="N190"/>
          <cell r="O190"/>
          <cell r="P190"/>
          <cell r="Q190"/>
          <cell r="R190"/>
          <cell r="S190"/>
          <cell r="T190"/>
          <cell r="U190"/>
          <cell r="V190"/>
          <cell r="W190"/>
          <cell r="X190"/>
          <cell r="Y190"/>
          <cell r="Z190"/>
          <cell r="AA190"/>
          <cell r="AB190"/>
          <cell r="AC190"/>
          <cell r="AD190"/>
          <cell r="AE190"/>
        </row>
        <row r="191">
          <cell r="G191"/>
          <cell r="H191"/>
          <cell r="I191"/>
          <cell r="J191"/>
          <cell r="K191"/>
          <cell r="L191"/>
          <cell r="M191"/>
          <cell r="N191"/>
          <cell r="O191"/>
          <cell r="P191"/>
          <cell r="Q191"/>
          <cell r="R191"/>
          <cell r="S191"/>
          <cell r="T191"/>
          <cell r="U191"/>
          <cell r="V191"/>
          <cell r="W191"/>
          <cell r="X191"/>
          <cell r="Y191"/>
          <cell r="Z191"/>
          <cell r="AA191"/>
          <cell r="AB191"/>
          <cell r="AC191"/>
          <cell r="AD191"/>
          <cell r="AE191"/>
        </row>
        <row r="192">
          <cell r="G192"/>
          <cell r="H192"/>
          <cell r="I192"/>
          <cell r="J192"/>
          <cell r="K192"/>
          <cell r="L192"/>
          <cell r="M192"/>
          <cell r="N192"/>
          <cell r="O192"/>
          <cell r="P192"/>
          <cell r="Q192"/>
          <cell r="R192"/>
          <cell r="S192"/>
          <cell r="T192"/>
          <cell r="U192"/>
          <cell r="V192"/>
          <cell r="W192"/>
          <cell r="X192"/>
          <cell r="Y192"/>
          <cell r="Z192"/>
          <cell r="AA192"/>
          <cell r="AB192"/>
          <cell r="AC192"/>
          <cell r="AD192"/>
          <cell r="AE192"/>
        </row>
        <row r="193">
          <cell r="G193"/>
          <cell r="H193"/>
          <cell r="I193"/>
          <cell r="J193"/>
          <cell r="K193"/>
          <cell r="L193"/>
          <cell r="M193"/>
          <cell r="N193"/>
          <cell r="O193"/>
          <cell r="P193"/>
          <cell r="Q193"/>
          <cell r="R193"/>
          <cell r="S193"/>
          <cell r="T193"/>
          <cell r="U193"/>
          <cell r="V193"/>
          <cell r="W193"/>
          <cell r="X193"/>
          <cell r="Y193"/>
          <cell r="Z193"/>
          <cell r="AA193"/>
          <cell r="AB193"/>
          <cell r="AC193"/>
          <cell r="AD193"/>
          <cell r="AE193"/>
        </row>
        <row r="194">
          <cell r="G194"/>
          <cell r="H194"/>
          <cell r="I194"/>
          <cell r="J194"/>
          <cell r="K194"/>
          <cell r="L194"/>
          <cell r="M194"/>
          <cell r="N194"/>
          <cell r="O194"/>
          <cell r="P194"/>
          <cell r="Q194"/>
          <cell r="R194"/>
          <cell r="S194"/>
          <cell r="T194"/>
          <cell r="U194"/>
          <cell r="V194"/>
          <cell r="W194"/>
          <cell r="X194"/>
          <cell r="Y194"/>
          <cell r="Z194"/>
          <cell r="AA194"/>
          <cell r="AB194"/>
          <cell r="AC194"/>
          <cell r="AD194"/>
          <cell r="AE194"/>
        </row>
        <row r="195">
          <cell r="G195"/>
          <cell r="H195"/>
          <cell r="I195"/>
          <cell r="J195"/>
          <cell r="K195"/>
          <cell r="L195"/>
          <cell r="M195"/>
          <cell r="N195"/>
          <cell r="O195"/>
          <cell r="P195"/>
          <cell r="Q195"/>
          <cell r="R195"/>
          <cell r="S195"/>
          <cell r="T195"/>
          <cell r="U195"/>
          <cell r="V195"/>
          <cell r="W195"/>
          <cell r="X195"/>
          <cell r="Y195"/>
          <cell r="Z195"/>
          <cell r="AA195"/>
          <cell r="AB195"/>
          <cell r="AC195"/>
          <cell r="AD195"/>
          <cell r="AE195"/>
        </row>
        <row r="196">
          <cell r="G196"/>
          <cell r="H196"/>
          <cell r="I196"/>
          <cell r="J196"/>
          <cell r="K196"/>
          <cell r="L196"/>
          <cell r="M196"/>
          <cell r="N196"/>
          <cell r="O196"/>
          <cell r="P196"/>
          <cell r="Q196"/>
          <cell r="R196"/>
          <cell r="S196"/>
          <cell r="T196"/>
          <cell r="U196"/>
          <cell r="V196"/>
          <cell r="W196"/>
          <cell r="X196"/>
          <cell r="Y196"/>
          <cell r="Z196"/>
          <cell r="AA196"/>
          <cell r="AB196"/>
          <cell r="AC196"/>
          <cell r="AD196"/>
          <cell r="AE196"/>
        </row>
        <row r="197">
          <cell r="G197"/>
          <cell r="H197"/>
          <cell r="I197"/>
          <cell r="J197"/>
          <cell r="K197"/>
          <cell r="L197"/>
          <cell r="M197"/>
          <cell r="N197"/>
          <cell r="O197"/>
          <cell r="P197"/>
          <cell r="Q197"/>
          <cell r="R197"/>
          <cell r="S197"/>
          <cell r="T197"/>
          <cell r="U197"/>
          <cell r="V197"/>
          <cell r="W197"/>
          <cell r="X197"/>
          <cell r="Y197"/>
          <cell r="Z197"/>
          <cell r="AA197"/>
          <cell r="AB197"/>
          <cell r="AC197"/>
          <cell r="AD197"/>
          <cell r="AE197"/>
        </row>
        <row r="198">
          <cell r="G198"/>
          <cell r="H198"/>
          <cell r="I198"/>
          <cell r="J198"/>
          <cell r="K198"/>
          <cell r="L198"/>
          <cell r="M198"/>
          <cell r="N198"/>
          <cell r="O198"/>
          <cell r="P198"/>
          <cell r="Q198"/>
          <cell r="R198"/>
          <cell r="S198"/>
          <cell r="T198"/>
          <cell r="U198"/>
          <cell r="V198"/>
          <cell r="W198"/>
          <cell r="X198"/>
          <cell r="Y198"/>
          <cell r="Z198"/>
          <cell r="AA198"/>
          <cell r="AB198"/>
          <cell r="AC198"/>
          <cell r="AD198"/>
          <cell r="AE198"/>
        </row>
        <row r="199">
          <cell r="G199"/>
          <cell r="H199"/>
          <cell r="I199"/>
          <cell r="J199"/>
          <cell r="K199"/>
          <cell r="L199"/>
          <cell r="M199"/>
          <cell r="N199"/>
          <cell r="O199"/>
          <cell r="P199"/>
          <cell r="Q199"/>
          <cell r="R199"/>
          <cell r="S199"/>
          <cell r="T199"/>
          <cell r="U199"/>
          <cell r="V199"/>
          <cell r="W199"/>
          <cell r="X199"/>
          <cell r="Y199"/>
          <cell r="Z199"/>
          <cell r="AA199"/>
          <cell r="AB199"/>
          <cell r="AC199"/>
          <cell r="AD199"/>
          <cell r="AE199"/>
        </row>
        <row r="200">
          <cell r="G200"/>
          <cell r="H200"/>
          <cell r="I200"/>
          <cell r="J200"/>
          <cell r="K200"/>
          <cell r="L200"/>
          <cell r="M200"/>
          <cell r="N200"/>
          <cell r="O200"/>
          <cell r="P200"/>
          <cell r="Q200"/>
          <cell r="R200"/>
          <cell r="S200"/>
          <cell r="T200"/>
          <cell r="U200"/>
          <cell r="V200"/>
          <cell r="W200"/>
          <cell r="X200"/>
          <cell r="Y200"/>
          <cell r="Z200"/>
          <cell r="AA200"/>
          <cell r="AB200"/>
          <cell r="AC200"/>
          <cell r="AD200"/>
          <cell r="AE200"/>
        </row>
        <row r="201">
          <cell r="G201"/>
          <cell r="H201"/>
          <cell r="I201"/>
          <cell r="J201"/>
          <cell r="K201"/>
          <cell r="L201"/>
          <cell r="M201"/>
          <cell r="N201"/>
          <cell r="O201"/>
          <cell r="P201"/>
          <cell r="Q201"/>
          <cell r="R201"/>
          <cell r="S201"/>
          <cell r="T201"/>
          <cell r="U201"/>
          <cell r="V201"/>
          <cell r="W201"/>
          <cell r="X201"/>
          <cell r="Y201"/>
          <cell r="Z201"/>
          <cell r="AA201"/>
          <cell r="AB201"/>
          <cell r="AC201"/>
          <cell r="AD201"/>
          <cell r="AE201"/>
        </row>
        <row r="202">
          <cell r="G202"/>
          <cell r="H202"/>
          <cell r="I202"/>
          <cell r="J202"/>
          <cell r="K202"/>
          <cell r="L202"/>
          <cell r="M202"/>
          <cell r="N202"/>
          <cell r="O202"/>
          <cell r="P202"/>
          <cell r="Q202"/>
          <cell r="R202"/>
          <cell r="S202"/>
          <cell r="T202"/>
          <cell r="U202"/>
          <cell r="V202"/>
          <cell r="W202"/>
          <cell r="X202"/>
          <cell r="Y202"/>
          <cell r="Z202"/>
          <cell r="AA202"/>
          <cell r="AB202"/>
          <cell r="AC202"/>
          <cell r="AD202"/>
          <cell r="AE202"/>
        </row>
        <row r="203">
          <cell r="G203"/>
          <cell r="H203"/>
          <cell r="I203"/>
          <cell r="J203"/>
          <cell r="K203"/>
          <cell r="L203"/>
          <cell r="M203"/>
          <cell r="N203"/>
          <cell r="O203"/>
          <cell r="P203"/>
          <cell r="Q203"/>
          <cell r="R203"/>
          <cell r="S203"/>
          <cell r="T203"/>
          <cell r="U203"/>
          <cell r="V203"/>
          <cell r="W203"/>
          <cell r="X203"/>
          <cell r="Y203"/>
          <cell r="Z203"/>
          <cell r="AA203"/>
          <cell r="AB203"/>
          <cell r="AC203"/>
          <cell r="AD203"/>
          <cell r="AE203"/>
        </row>
        <row r="204">
          <cell r="G204"/>
          <cell r="H204"/>
          <cell r="I204"/>
          <cell r="J204"/>
          <cell r="K204"/>
          <cell r="L204"/>
          <cell r="M204"/>
          <cell r="N204"/>
          <cell r="O204"/>
          <cell r="P204"/>
          <cell r="Q204"/>
          <cell r="R204"/>
          <cell r="S204"/>
          <cell r="T204"/>
          <cell r="U204"/>
          <cell r="V204"/>
          <cell r="W204"/>
          <cell r="X204"/>
          <cell r="Y204"/>
          <cell r="Z204"/>
          <cell r="AA204"/>
          <cell r="AB204"/>
          <cell r="AC204"/>
          <cell r="AD204"/>
          <cell r="AE204"/>
        </row>
        <row r="205">
          <cell r="G205"/>
          <cell r="H205"/>
          <cell r="I205"/>
          <cell r="J205"/>
          <cell r="K205"/>
          <cell r="L205"/>
          <cell r="M205"/>
          <cell r="N205"/>
          <cell r="O205"/>
          <cell r="P205"/>
          <cell r="Q205"/>
          <cell r="R205"/>
          <cell r="S205"/>
          <cell r="T205"/>
          <cell r="U205"/>
          <cell r="V205"/>
          <cell r="W205"/>
          <cell r="X205"/>
          <cell r="Y205"/>
          <cell r="Z205"/>
          <cell r="AA205"/>
          <cell r="AB205"/>
          <cell r="AC205"/>
          <cell r="AD205"/>
          <cell r="AE205"/>
        </row>
        <row r="206">
          <cell r="G206"/>
          <cell r="H206"/>
          <cell r="I206"/>
          <cell r="J206"/>
          <cell r="K206"/>
          <cell r="L206"/>
          <cell r="M206"/>
          <cell r="N206"/>
          <cell r="O206"/>
          <cell r="P206"/>
          <cell r="Q206"/>
          <cell r="R206"/>
          <cell r="S206"/>
          <cell r="T206"/>
          <cell r="U206"/>
          <cell r="V206"/>
          <cell r="W206"/>
          <cell r="X206"/>
          <cell r="Y206"/>
          <cell r="Z206"/>
          <cell r="AA206"/>
          <cell r="AB206"/>
          <cell r="AC206"/>
          <cell r="AD206"/>
          <cell r="AE206"/>
        </row>
        <row r="207">
          <cell r="G207"/>
          <cell r="H207"/>
          <cell r="I207"/>
          <cell r="J207"/>
          <cell r="K207"/>
          <cell r="L207"/>
          <cell r="M207"/>
          <cell r="N207"/>
          <cell r="O207"/>
          <cell r="P207"/>
          <cell r="Q207"/>
          <cell r="R207"/>
          <cell r="S207"/>
          <cell r="T207"/>
          <cell r="U207"/>
          <cell r="V207"/>
          <cell r="W207"/>
          <cell r="X207"/>
          <cell r="Y207"/>
          <cell r="Z207"/>
          <cell r="AA207"/>
          <cell r="AB207"/>
          <cell r="AC207"/>
          <cell r="AD207"/>
          <cell r="AE207"/>
        </row>
        <row r="208">
          <cell r="G208"/>
          <cell r="H208"/>
          <cell r="I208"/>
          <cell r="J208"/>
          <cell r="K208"/>
          <cell r="L208"/>
          <cell r="M208"/>
          <cell r="N208"/>
          <cell r="O208"/>
          <cell r="P208"/>
          <cell r="Q208"/>
          <cell r="R208"/>
          <cell r="S208"/>
          <cell r="T208"/>
          <cell r="U208"/>
          <cell r="V208"/>
          <cell r="W208"/>
          <cell r="X208"/>
          <cell r="Y208"/>
          <cell r="Z208"/>
          <cell r="AA208"/>
          <cell r="AB208"/>
          <cell r="AC208"/>
          <cell r="AD208"/>
          <cell r="AE208"/>
        </row>
        <row r="209">
          <cell r="G209"/>
          <cell r="H209"/>
          <cell r="I209"/>
          <cell r="J209"/>
          <cell r="K209"/>
          <cell r="L209"/>
          <cell r="M209"/>
          <cell r="N209"/>
          <cell r="O209"/>
          <cell r="P209"/>
          <cell r="Q209"/>
          <cell r="R209"/>
          <cell r="S209"/>
          <cell r="T209"/>
          <cell r="U209"/>
          <cell r="V209"/>
          <cell r="W209"/>
          <cell r="X209"/>
          <cell r="Y209"/>
          <cell r="Z209"/>
          <cell r="AA209"/>
          <cell r="AB209"/>
          <cell r="AC209"/>
          <cell r="AD209"/>
          <cell r="AE209"/>
        </row>
        <row r="210">
          <cell r="G210"/>
          <cell r="H210"/>
          <cell r="I210"/>
          <cell r="J210"/>
          <cell r="K210"/>
          <cell r="L210"/>
          <cell r="M210"/>
          <cell r="N210"/>
          <cell r="O210"/>
          <cell r="P210"/>
          <cell r="Q210"/>
          <cell r="R210"/>
          <cell r="S210"/>
          <cell r="T210"/>
          <cell r="U210"/>
          <cell r="V210"/>
          <cell r="W210"/>
          <cell r="X210"/>
          <cell r="Y210"/>
          <cell r="Z210"/>
          <cell r="AA210"/>
          <cell r="AB210"/>
          <cell r="AC210"/>
          <cell r="AD210"/>
          <cell r="AE210"/>
        </row>
        <row r="211">
          <cell r="G211"/>
          <cell r="H211"/>
          <cell r="I211"/>
          <cell r="J211"/>
          <cell r="K211"/>
          <cell r="L211"/>
          <cell r="M211"/>
          <cell r="N211"/>
          <cell r="O211"/>
          <cell r="P211"/>
          <cell r="Q211"/>
          <cell r="R211"/>
          <cell r="S211"/>
          <cell r="T211"/>
          <cell r="U211"/>
          <cell r="V211"/>
          <cell r="W211"/>
          <cell r="X211"/>
          <cell r="Y211"/>
          <cell r="Z211"/>
          <cell r="AA211"/>
          <cell r="AB211"/>
          <cell r="AC211"/>
          <cell r="AD211"/>
          <cell r="AE211"/>
        </row>
        <row r="212">
          <cell r="G212"/>
          <cell r="H212"/>
          <cell r="I212"/>
          <cell r="J212"/>
          <cell r="K212"/>
          <cell r="L212"/>
          <cell r="M212"/>
          <cell r="N212"/>
          <cell r="O212"/>
          <cell r="P212"/>
          <cell r="Q212"/>
          <cell r="R212"/>
          <cell r="S212"/>
          <cell r="T212"/>
          <cell r="U212"/>
          <cell r="V212"/>
          <cell r="W212"/>
          <cell r="X212"/>
          <cell r="Y212"/>
          <cell r="Z212"/>
          <cell r="AA212"/>
          <cell r="AB212"/>
          <cell r="AC212"/>
          <cell r="AD212"/>
          <cell r="AE212"/>
        </row>
        <row r="213">
          <cell r="G213"/>
          <cell r="H213"/>
          <cell r="I213"/>
          <cell r="J213"/>
          <cell r="K213"/>
          <cell r="L213"/>
          <cell r="M213"/>
          <cell r="N213"/>
          <cell r="O213"/>
          <cell r="P213"/>
          <cell r="Q213"/>
          <cell r="R213"/>
          <cell r="S213"/>
          <cell r="T213"/>
          <cell r="U213"/>
          <cell r="V213"/>
          <cell r="W213"/>
          <cell r="X213"/>
          <cell r="Y213"/>
          <cell r="Z213"/>
          <cell r="AA213"/>
          <cell r="AB213"/>
          <cell r="AC213"/>
          <cell r="AD213"/>
          <cell r="AE213"/>
        </row>
        <row r="214">
          <cell r="G214"/>
          <cell r="H214"/>
          <cell r="I214"/>
          <cell r="J214"/>
          <cell r="K214"/>
          <cell r="L214"/>
          <cell r="M214"/>
          <cell r="N214"/>
          <cell r="O214"/>
          <cell r="P214"/>
          <cell r="Q214"/>
          <cell r="R214"/>
          <cell r="S214"/>
          <cell r="T214"/>
          <cell r="U214"/>
          <cell r="V214"/>
          <cell r="W214"/>
          <cell r="X214"/>
          <cell r="Y214"/>
          <cell r="Z214"/>
          <cell r="AA214"/>
          <cell r="AB214"/>
          <cell r="AC214"/>
          <cell r="AD214"/>
          <cell r="AE214"/>
        </row>
        <row r="215">
          <cell r="G215"/>
          <cell r="H215"/>
          <cell r="I215"/>
          <cell r="J215"/>
          <cell r="K215"/>
          <cell r="L215"/>
          <cell r="M215"/>
          <cell r="N215"/>
          <cell r="O215"/>
          <cell r="P215"/>
          <cell r="Q215"/>
          <cell r="R215"/>
          <cell r="S215"/>
          <cell r="T215"/>
          <cell r="U215"/>
          <cell r="V215"/>
          <cell r="W215"/>
          <cell r="X215"/>
          <cell r="Y215"/>
          <cell r="Z215"/>
          <cell r="AA215"/>
          <cell r="AB215"/>
          <cell r="AC215"/>
          <cell r="AD215"/>
          <cell r="AE215"/>
        </row>
        <row r="216">
          <cell r="G216"/>
          <cell r="H216"/>
          <cell r="I216"/>
          <cell r="J216"/>
          <cell r="K216"/>
          <cell r="L216"/>
          <cell r="M216"/>
          <cell r="N216"/>
          <cell r="O216"/>
          <cell r="P216"/>
          <cell r="Q216"/>
          <cell r="R216"/>
          <cell r="S216"/>
          <cell r="T216"/>
          <cell r="U216"/>
          <cell r="V216"/>
          <cell r="W216"/>
          <cell r="X216"/>
          <cell r="Y216"/>
          <cell r="Z216"/>
          <cell r="AA216"/>
          <cell r="AB216"/>
          <cell r="AC216"/>
          <cell r="AD216"/>
          <cell r="AE216"/>
        </row>
        <row r="217">
          <cell r="G217"/>
          <cell r="H217"/>
          <cell r="I217"/>
          <cell r="J217"/>
          <cell r="K217"/>
          <cell r="L217"/>
          <cell r="M217"/>
          <cell r="N217"/>
          <cell r="O217"/>
          <cell r="P217"/>
          <cell r="Q217"/>
          <cell r="R217"/>
          <cell r="S217"/>
          <cell r="T217"/>
          <cell r="U217"/>
          <cell r="V217"/>
          <cell r="W217"/>
          <cell r="X217"/>
          <cell r="Y217"/>
          <cell r="Z217"/>
          <cell r="AA217"/>
          <cell r="AB217"/>
          <cell r="AC217"/>
          <cell r="AD217"/>
          <cell r="AE217"/>
        </row>
        <row r="218">
          <cell r="G218"/>
          <cell r="H218"/>
          <cell r="I218"/>
          <cell r="J218"/>
          <cell r="K218"/>
          <cell r="L218"/>
          <cell r="M218"/>
          <cell r="N218"/>
          <cell r="O218"/>
          <cell r="P218"/>
          <cell r="Q218"/>
          <cell r="R218"/>
          <cell r="S218"/>
          <cell r="T218"/>
          <cell r="U218"/>
          <cell r="V218"/>
          <cell r="W218"/>
          <cell r="X218"/>
          <cell r="Y218"/>
          <cell r="Z218"/>
          <cell r="AA218"/>
          <cell r="AB218"/>
          <cell r="AC218"/>
          <cell r="AD218"/>
          <cell r="AE218"/>
        </row>
        <row r="219">
          <cell r="G219"/>
          <cell r="H219"/>
          <cell r="I219"/>
          <cell r="J219"/>
          <cell r="K219"/>
          <cell r="L219"/>
          <cell r="M219"/>
          <cell r="N219"/>
          <cell r="O219"/>
          <cell r="P219"/>
          <cell r="Q219"/>
          <cell r="R219"/>
          <cell r="S219"/>
          <cell r="T219"/>
          <cell r="U219"/>
          <cell r="V219"/>
          <cell r="W219"/>
          <cell r="X219"/>
          <cell r="Y219"/>
          <cell r="Z219"/>
          <cell r="AA219"/>
          <cell r="AB219"/>
          <cell r="AC219"/>
          <cell r="AD219"/>
          <cell r="AE219"/>
        </row>
        <row r="220">
          <cell r="G220"/>
          <cell r="H220"/>
          <cell r="I220"/>
          <cell r="J220"/>
          <cell r="K220"/>
          <cell r="L220"/>
          <cell r="M220"/>
          <cell r="N220"/>
          <cell r="O220"/>
          <cell r="P220"/>
          <cell r="Q220"/>
          <cell r="R220"/>
          <cell r="S220"/>
          <cell r="T220"/>
          <cell r="U220"/>
          <cell r="V220"/>
          <cell r="W220"/>
          <cell r="X220"/>
          <cell r="Y220"/>
          <cell r="Z220"/>
          <cell r="AA220"/>
          <cell r="AB220"/>
          <cell r="AC220"/>
          <cell r="AD220"/>
          <cell r="AE220"/>
        </row>
        <row r="221">
          <cell r="G221"/>
          <cell r="H221"/>
          <cell r="I221"/>
          <cell r="J221"/>
          <cell r="K221"/>
          <cell r="L221"/>
          <cell r="M221"/>
          <cell r="N221"/>
          <cell r="O221"/>
          <cell r="P221"/>
          <cell r="Q221"/>
          <cell r="R221"/>
          <cell r="S221"/>
          <cell r="T221"/>
          <cell r="U221"/>
          <cell r="V221"/>
          <cell r="W221"/>
          <cell r="X221"/>
          <cell r="Y221"/>
          <cell r="Z221"/>
          <cell r="AA221"/>
          <cell r="AB221"/>
          <cell r="AC221"/>
          <cell r="AD221"/>
          <cell r="AE221"/>
        </row>
        <row r="222">
          <cell r="G222"/>
          <cell r="H222"/>
          <cell r="I222"/>
          <cell r="J222"/>
          <cell r="K222"/>
          <cell r="L222"/>
          <cell r="M222"/>
          <cell r="N222"/>
          <cell r="O222"/>
          <cell r="P222"/>
          <cell r="Q222"/>
          <cell r="R222"/>
          <cell r="S222"/>
          <cell r="T222"/>
          <cell r="U222"/>
          <cell r="V222"/>
          <cell r="W222"/>
          <cell r="X222"/>
          <cell r="Y222"/>
          <cell r="Z222"/>
          <cell r="AA222"/>
          <cell r="AB222"/>
          <cell r="AC222"/>
          <cell r="AD222"/>
          <cell r="AE222"/>
        </row>
        <row r="223">
          <cell r="G223"/>
          <cell r="H223"/>
          <cell r="I223"/>
          <cell r="J223"/>
          <cell r="K223"/>
          <cell r="L223"/>
          <cell r="M223"/>
          <cell r="N223"/>
          <cell r="O223"/>
          <cell r="P223"/>
          <cell r="Q223"/>
          <cell r="R223"/>
          <cell r="S223"/>
          <cell r="T223"/>
          <cell r="U223"/>
          <cell r="V223"/>
          <cell r="W223"/>
          <cell r="X223"/>
          <cell r="Y223"/>
          <cell r="Z223"/>
          <cell r="AA223"/>
          <cell r="AB223"/>
          <cell r="AC223"/>
          <cell r="AD223"/>
          <cell r="AE223"/>
        </row>
        <row r="224">
          <cell r="G224"/>
          <cell r="H224"/>
          <cell r="I224"/>
          <cell r="J224"/>
          <cell r="K224"/>
          <cell r="L224"/>
          <cell r="M224"/>
          <cell r="N224"/>
          <cell r="O224"/>
          <cell r="P224"/>
          <cell r="Q224"/>
          <cell r="R224"/>
          <cell r="S224"/>
          <cell r="T224"/>
          <cell r="U224"/>
          <cell r="V224"/>
          <cell r="W224"/>
          <cell r="X224"/>
          <cell r="Y224"/>
          <cell r="Z224"/>
          <cell r="AA224"/>
          <cell r="AB224"/>
          <cell r="AC224"/>
          <cell r="AD224"/>
          <cell r="AE224"/>
        </row>
        <row r="225">
          <cell r="G225"/>
          <cell r="H225"/>
          <cell r="I225"/>
          <cell r="J225"/>
          <cell r="K225"/>
          <cell r="L225"/>
          <cell r="M225"/>
          <cell r="N225"/>
          <cell r="O225"/>
          <cell r="P225"/>
          <cell r="Q225"/>
          <cell r="R225"/>
          <cell r="S225"/>
          <cell r="T225"/>
          <cell r="U225"/>
          <cell r="V225"/>
          <cell r="W225"/>
          <cell r="X225"/>
          <cell r="Y225"/>
          <cell r="Z225"/>
          <cell r="AA225"/>
          <cell r="AB225"/>
          <cell r="AC225"/>
          <cell r="AD225"/>
          <cell r="AE225"/>
        </row>
        <row r="226">
          <cell r="G226"/>
          <cell r="H226"/>
          <cell r="I226"/>
          <cell r="J226"/>
          <cell r="K226"/>
          <cell r="L226"/>
          <cell r="M226"/>
          <cell r="N226"/>
          <cell r="O226"/>
          <cell r="P226"/>
          <cell r="Q226"/>
          <cell r="R226"/>
          <cell r="S226"/>
          <cell r="T226"/>
          <cell r="U226"/>
          <cell r="V226"/>
          <cell r="W226"/>
          <cell r="X226"/>
          <cell r="Y226"/>
          <cell r="Z226"/>
          <cell r="AA226"/>
          <cell r="AB226"/>
          <cell r="AC226"/>
          <cell r="AD226"/>
          <cell r="AE226"/>
        </row>
        <row r="227">
          <cell r="G227"/>
          <cell r="H227"/>
          <cell r="I227"/>
          <cell r="J227"/>
          <cell r="K227"/>
          <cell r="L227"/>
          <cell r="M227"/>
          <cell r="N227"/>
          <cell r="O227"/>
          <cell r="P227"/>
          <cell r="Q227"/>
          <cell r="R227"/>
          <cell r="S227"/>
          <cell r="T227"/>
          <cell r="U227"/>
          <cell r="V227"/>
          <cell r="W227"/>
          <cell r="X227"/>
          <cell r="Y227"/>
          <cell r="Z227"/>
          <cell r="AA227"/>
          <cell r="AB227"/>
          <cell r="AC227"/>
          <cell r="AD227"/>
          <cell r="AE227"/>
        </row>
        <row r="228">
          <cell r="G228"/>
          <cell r="H228"/>
          <cell r="I228"/>
          <cell r="J228"/>
          <cell r="K228"/>
          <cell r="L228"/>
          <cell r="M228"/>
          <cell r="N228"/>
          <cell r="O228"/>
          <cell r="P228"/>
          <cell r="Q228"/>
          <cell r="R228"/>
          <cell r="S228"/>
          <cell r="T228"/>
          <cell r="U228"/>
          <cell r="V228"/>
          <cell r="W228"/>
          <cell r="X228"/>
          <cell r="Y228"/>
          <cell r="Z228"/>
          <cell r="AA228"/>
          <cell r="AB228"/>
          <cell r="AC228"/>
          <cell r="AD228"/>
          <cell r="AE228"/>
        </row>
        <row r="229">
          <cell r="G229"/>
          <cell r="H229"/>
          <cell r="I229"/>
          <cell r="J229"/>
          <cell r="K229"/>
          <cell r="L229"/>
          <cell r="M229"/>
          <cell r="N229"/>
          <cell r="O229"/>
          <cell r="P229"/>
          <cell r="Q229"/>
          <cell r="R229"/>
          <cell r="S229"/>
          <cell r="T229"/>
          <cell r="U229"/>
          <cell r="V229"/>
          <cell r="W229"/>
          <cell r="X229"/>
          <cell r="Y229"/>
          <cell r="Z229"/>
          <cell r="AA229"/>
          <cell r="AB229"/>
          <cell r="AC229"/>
          <cell r="AD229"/>
          <cell r="AE229"/>
        </row>
        <row r="230">
          <cell r="G230"/>
          <cell r="H230"/>
          <cell r="I230"/>
          <cell r="J230"/>
          <cell r="K230"/>
          <cell r="L230"/>
          <cell r="M230"/>
          <cell r="N230"/>
          <cell r="O230"/>
          <cell r="P230"/>
          <cell r="Q230"/>
          <cell r="R230"/>
          <cell r="S230"/>
          <cell r="T230"/>
          <cell r="U230"/>
          <cell r="V230"/>
          <cell r="W230"/>
          <cell r="X230"/>
          <cell r="Y230"/>
          <cell r="Z230"/>
          <cell r="AA230"/>
          <cell r="AB230"/>
          <cell r="AC230"/>
          <cell r="AD230"/>
          <cell r="AE230"/>
        </row>
        <row r="231">
          <cell r="G231"/>
          <cell r="H231"/>
          <cell r="I231"/>
          <cell r="J231"/>
          <cell r="K231"/>
          <cell r="L231"/>
          <cell r="M231"/>
          <cell r="N231"/>
          <cell r="O231"/>
          <cell r="P231"/>
          <cell r="Q231"/>
          <cell r="R231"/>
          <cell r="S231"/>
          <cell r="T231"/>
          <cell r="U231"/>
          <cell r="V231"/>
          <cell r="W231"/>
          <cell r="X231"/>
          <cell r="Y231"/>
          <cell r="Z231"/>
          <cell r="AA231"/>
          <cell r="AB231"/>
          <cell r="AC231"/>
          <cell r="AD231"/>
          <cell r="AE231"/>
        </row>
        <row r="232">
          <cell r="G232"/>
          <cell r="H232"/>
          <cell r="I232"/>
          <cell r="J232"/>
          <cell r="K232"/>
          <cell r="L232"/>
          <cell r="M232"/>
          <cell r="N232"/>
          <cell r="O232"/>
          <cell r="P232"/>
          <cell r="Q232"/>
          <cell r="R232"/>
          <cell r="S232"/>
          <cell r="T232"/>
          <cell r="U232"/>
          <cell r="V232"/>
          <cell r="W232"/>
          <cell r="X232"/>
          <cell r="Y232"/>
          <cell r="Z232"/>
          <cell r="AA232"/>
          <cell r="AB232"/>
          <cell r="AC232"/>
          <cell r="AD232"/>
          <cell r="AE232"/>
        </row>
        <row r="233">
          <cell r="G233"/>
          <cell r="H233"/>
          <cell r="I233"/>
          <cell r="J233"/>
          <cell r="K233"/>
          <cell r="L233"/>
          <cell r="M233"/>
          <cell r="N233"/>
          <cell r="O233"/>
          <cell r="P233"/>
          <cell r="Q233"/>
          <cell r="R233"/>
          <cell r="S233"/>
          <cell r="T233"/>
          <cell r="U233"/>
          <cell r="V233"/>
          <cell r="W233"/>
          <cell r="X233"/>
          <cell r="Y233"/>
          <cell r="Z233"/>
          <cell r="AA233"/>
          <cell r="AB233"/>
          <cell r="AC233"/>
          <cell r="AD233"/>
          <cell r="AE233"/>
        </row>
        <row r="234">
          <cell r="G234"/>
          <cell r="H234"/>
          <cell r="I234"/>
          <cell r="J234"/>
          <cell r="K234"/>
          <cell r="L234"/>
          <cell r="M234"/>
          <cell r="N234"/>
          <cell r="O234"/>
          <cell r="P234"/>
          <cell r="Q234"/>
          <cell r="R234"/>
          <cell r="S234"/>
          <cell r="T234"/>
          <cell r="U234"/>
          <cell r="V234"/>
          <cell r="W234"/>
          <cell r="X234"/>
          <cell r="Y234"/>
          <cell r="Z234"/>
          <cell r="AA234"/>
          <cell r="AB234"/>
          <cell r="AC234"/>
          <cell r="AD234"/>
          <cell r="AE234"/>
        </row>
        <row r="235">
          <cell r="G235"/>
          <cell r="H235"/>
          <cell r="I235"/>
          <cell r="J235"/>
          <cell r="K235"/>
          <cell r="L235"/>
          <cell r="M235"/>
          <cell r="N235"/>
          <cell r="O235"/>
          <cell r="P235"/>
          <cell r="Q235"/>
          <cell r="R235"/>
          <cell r="S235"/>
          <cell r="T235"/>
          <cell r="U235"/>
          <cell r="V235"/>
          <cell r="W235"/>
          <cell r="X235"/>
          <cell r="Y235"/>
          <cell r="Z235"/>
          <cell r="AA235"/>
          <cell r="AB235"/>
          <cell r="AC235"/>
          <cell r="AD235"/>
          <cell r="AE235"/>
        </row>
        <row r="236">
          <cell r="G236"/>
          <cell r="H236"/>
          <cell r="I236"/>
          <cell r="J236"/>
          <cell r="K236"/>
          <cell r="L236"/>
          <cell r="M236"/>
          <cell r="N236"/>
          <cell r="O236"/>
          <cell r="P236"/>
          <cell r="Q236"/>
          <cell r="R236"/>
          <cell r="S236"/>
          <cell r="T236"/>
          <cell r="U236"/>
          <cell r="V236"/>
          <cell r="W236"/>
          <cell r="X236"/>
          <cell r="Y236"/>
          <cell r="Z236"/>
          <cell r="AA236"/>
          <cell r="AB236"/>
          <cell r="AC236"/>
          <cell r="AD236"/>
          <cell r="AE236"/>
        </row>
        <row r="237">
          <cell r="G237"/>
          <cell r="H237"/>
          <cell r="I237"/>
          <cell r="J237"/>
          <cell r="K237"/>
          <cell r="L237"/>
          <cell r="M237"/>
          <cell r="N237"/>
          <cell r="O237"/>
          <cell r="P237"/>
          <cell r="Q237"/>
          <cell r="R237"/>
          <cell r="S237"/>
          <cell r="T237"/>
          <cell r="U237"/>
          <cell r="V237"/>
          <cell r="W237"/>
          <cell r="X237"/>
          <cell r="Y237"/>
          <cell r="Z237"/>
          <cell r="AA237"/>
          <cell r="AB237"/>
          <cell r="AC237"/>
          <cell r="AD237"/>
          <cell r="AE237"/>
        </row>
        <row r="238">
          <cell r="G238"/>
          <cell r="H238"/>
          <cell r="I238"/>
          <cell r="J238"/>
          <cell r="K238"/>
          <cell r="L238"/>
          <cell r="M238"/>
          <cell r="N238"/>
          <cell r="O238"/>
          <cell r="P238"/>
          <cell r="Q238"/>
          <cell r="R238"/>
          <cell r="S238"/>
          <cell r="T238"/>
          <cell r="U238"/>
          <cell r="V238"/>
          <cell r="W238"/>
          <cell r="X238"/>
          <cell r="Y238"/>
          <cell r="Z238"/>
          <cell r="AA238"/>
          <cell r="AB238"/>
          <cell r="AC238"/>
          <cell r="AD238"/>
          <cell r="AE238"/>
        </row>
        <row r="239">
          <cell r="G239"/>
          <cell r="H239"/>
          <cell r="I239"/>
          <cell r="J239"/>
          <cell r="K239"/>
          <cell r="L239"/>
          <cell r="M239"/>
          <cell r="N239"/>
          <cell r="O239"/>
          <cell r="P239"/>
          <cell r="Q239"/>
          <cell r="R239"/>
          <cell r="S239"/>
          <cell r="T239"/>
          <cell r="U239"/>
          <cell r="V239"/>
          <cell r="W239"/>
          <cell r="X239"/>
          <cell r="Y239"/>
          <cell r="Z239"/>
          <cell r="AA239"/>
          <cell r="AB239"/>
          <cell r="AC239"/>
          <cell r="AD239"/>
          <cell r="AE239"/>
        </row>
        <row r="240">
          <cell r="G240"/>
          <cell r="H240"/>
          <cell r="I240"/>
          <cell r="J240"/>
          <cell r="K240"/>
          <cell r="L240"/>
          <cell r="M240"/>
          <cell r="N240"/>
          <cell r="O240"/>
          <cell r="P240"/>
          <cell r="Q240"/>
          <cell r="R240"/>
          <cell r="S240"/>
          <cell r="T240"/>
          <cell r="U240"/>
          <cell r="V240"/>
          <cell r="W240"/>
          <cell r="X240"/>
          <cell r="Y240"/>
          <cell r="Z240"/>
          <cell r="AA240"/>
          <cell r="AB240"/>
          <cell r="AC240"/>
          <cell r="AD240"/>
          <cell r="AE240"/>
        </row>
        <row r="241">
          <cell r="G241"/>
          <cell r="H241"/>
          <cell r="I241"/>
          <cell r="J241"/>
          <cell r="K241"/>
          <cell r="L241"/>
          <cell r="M241"/>
          <cell r="N241"/>
          <cell r="O241"/>
          <cell r="P241"/>
          <cell r="Q241"/>
          <cell r="R241"/>
          <cell r="S241"/>
          <cell r="T241"/>
          <cell r="U241"/>
          <cell r="V241"/>
          <cell r="W241"/>
          <cell r="X241"/>
          <cell r="Y241"/>
          <cell r="Z241"/>
          <cell r="AA241"/>
          <cell r="AB241"/>
          <cell r="AC241"/>
          <cell r="AD241"/>
          <cell r="AE241"/>
        </row>
        <row r="242">
          <cell r="G242"/>
          <cell r="H242"/>
          <cell r="I242"/>
          <cell r="J242"/>
          <cell r="K242"/>
          <cell r="L242"/>
          <cell r="M242"/>
          <cell r="N242"/>
          <cell r="O242"/>
          <cell r="P242"/>
          <cell r="Q242"/>
          <cell r="R242"/>
          <cell r="S242"/>
          <cell r="T242"/>
          <cell r="U242"/>
          <cell r="V242"/>
          <cell r="W242"/>
          <cell r="X242"/>
          <cell r="Y242"/>
          <cell r="Z242"/>
          <cell r="AA242"/>
          <cell r="AB242"/>
          <cell r="AC242"/>
          <cell r="AD242"/>
          <cell r="AE242"/>
        </row>
        <row r="243">
          <cell r="G243"/>
          <cell r="H243"/>
          <cell r="I243"/>
          <cell r="J243"/>
          <cell r="K243"/>
          <cell r="L243"/>
          <cell r="M243"/>
          <cell r="N243"/>
          <cell r="O243"/>
          <cell r="P243"/>
          <cell r="Q243"/>
          <cell r="R243"/>
          <cell r="S243"/>
          <cell r="T243"/>
          <cell r="U243"/>
          <cell r="V243"/>
          <cell r="W243"/>
          <cell r="X243"/>
          <cell r="Y243"/>
          <cell r="Z243"/>
          <cell r="AA243"/>
          <cell r="AB243"/>
          <cell r="AC243"/>
          <cell r="AD243"/>
          <cell r="AE243"/>
        </row>
        <row r="244">
          <cell r="G244"/>
          <cell r="H244"/>
          <cell r="I244"/>
          <cell r="J244"/>
          <cell r="K244"/>
          <cell r="L244"/>
          <cell r="M244"/>
          <cell r="N244"/>
          <cell r="O244"/>
          <cell r="P244"/>
          <cell r="Q244"/>
          <cell r="R244"/>
          <cell r="S244"/>
          <cell r="T244"/>
          <cell r="U244"/>
          <cell r="V244"/>
          <cell r="W244"/>
          <cell r="X244"/>
          <cell r="Y244"/>
          <cell r="Z244"/>
          <cell r="AA244"/>
          <cell r="AB244"/>
          <cell r="AC244"/>
          <cell r="AD244"/>
          <cell r="AE244"/>
        </row>
        <row r="245">
          <cell r="G245"/>
          <cell r="H245"/>
          <cell r="I245"/>
          <cell r="J245"/>
          <cell r="K245"/>
          <cell r="L245"/>
          <cell r="M245"/>
          <cell r="N245"/>
          <cell r="O245"/>
          <cell r="P245"/>
          <cell r="Q245"/>
          <cell r="R245"/>
          <cell r="S245"/>
          <cell r="T245"/>
          <cell r="U245"/>
          <cell r="V245"/>
          <cell r="W245"/>
          <cell r="X245"/>
          <cell r="Y245"/>
          <cell r="Z245"/>
          <cell r="AA245"/>
          <cell r="AB245"/>
          <cell r="AC245"/>
          <cell r="AD245"/>
          <cell r="AE245"/>
        </row>
        <row r="246">
          <cell r="G246"/>
          <cell r="H246"/>
          <cell r="I246"/>
          <cell r="J246"/>
          <cell r="K246"/>
          <cell r="L246"/>
          <cell r="M246"/>
          <cell r="N246"/>
          <cell r="O246"/>
          <cell r="P246"/>
          <cell r="Q246"/>
          <cell r="R246"/>
          <cell r="S246"/>
          <cell r="T246"/>
          <cell r="U246"/>
          <cell r="V246"/>
          <cell r="W246"/>
          <cell r="X246"/>
          <cell r="Y246"/>
          <cell r="Z246"/>
          <cell r="AA246"/>
          <cell r="AB246"/>
          <cell r="AC246"/>
          <cell r="AD246"/>
          <cell r="AE246"/>
        </row>
        <row r="247">
          <cell r="G247"/>
          <cell r="H247"/>
          <cell r="I247"/>
          <cell r="J247"/>
          <cell r="K247"/>
          <cell r="L247"/>
          <cell r="M247"/>
          <cell r="N247"/>
          <cell r="O247"/>
          <cell r="P247"/>
          <cell r="Q247"/>
          <cell r="R247"/>
          <cell r="S247"/>
          <cell r="T247"/>
          <cell r="U247"/>
          <cell r="V247"/>
          <cell r="W247"/>
          <cell r="X247"/>
          <cell r="Y247"/>
          <cell r="Z247"/>
          <cell r="AA247"/>
          <cell r="AB247"/>
          <cell r="AC247"/>
          <cell r="AD247"/>
          <cell r="AE247"/>
        </row>
        <row r="248">
          <cell r="G248"/>
          <cell r="H248"/>
          <cell r="I248"/>
          <cell r="J248"/>
          <cell r="K248"/>
          <cell r="L248"/>
          <cell r="M248"/>
          <cell r="N248"/>
          <cell r="O248"/>
          <cell r="P248"/>
          <cell r="Q248"/>
          <cell r="R248"/>
          <cell r="S248"/>
          <cell r="T248"/>
          <cell r="U248"/>
          <cell r="V248"/>
          <cell r="W248"/>
          <cell r="X248"/>
          <cell r="Y248"/>
          <cell r="Z248"/>
          <cell r="AA248"/>
          <cell r="AB248"/>
          <cell r="AC248"/>
          <cell r="AD248"/>
          <cell r="AE248"/>
        </row>
        <row r="249">
          <cell r="G249"/>
          <cell r="H249"/>
          <cell r="I249"/>
          <cell r="J249"/>
          <cell r="K249"/>
          <cell r="L249"/>
          <cell r="M249"/>
          <cell r="N249"/>
          <cell r="O249"/>
          <cell r="P249"/>
          <cell r="Q249"/>
          <cell r="R249"/>
          <cell r="S249"/>
          <cell r="T249"/>
          <cell r="U249"/>
          <cell r="V249"/>
          <cell r="W249"/>
          <cell r="X249"/>
          <cell r="Y249"/>
          <cell r="Z249"/>
          <cell r="AA249"/>
          <cell r="AB249"/>
          <cell r="AC249"/>
          <cell r="AD249"/>
          <cell r="AE249"/>
        </row>
        <row r="250">
          <cell r="G250"/>
          <cell r="H250"/>
          <cell r="I250"/>
          <cell r="J250"/>
          <cell r="K250"/>
          <cell r="L250"/>
          <cell r="M250"/>
          <cell r="N250"/>
          <cell r="O250"/>
          <cell r="P250"/>
          <cell r="Q250"/>
          <cell r="R250"/>
          <cell r="S250"/>
          <cell r="T250"/>
          <cell r="U250"/>
          <cell r="V250"/>
          <cell r="W250"/>
          <cell r="X250"/>
          <cell r="Y250"/>
          <cell r="Z250"/>
          <cell r="AA250"/>
          <cell r="AB250"/>
          <cell r="AC250"/>
          <cell r="AD250"/>
          <cell r="AE250"/>
        </row>
        <row r="251">
          <cell r="G251"/>
          <cell r="H251"/>
          <cell r="I251"/>
          <cell r="J251"/>
          <cell r="K251"/>
          <cell r="L251"/>
          <cell r="M251"/>
          <cell r="N251"/>
          <cell r="O251"/>
          <cell r="P251"/>
          <cell r="Q251"/>
          <cell r="R251"/>
          <cell r="S251"/>
          <cell r="T251"/>
          <cell r="U251"/>
          <cell r="V251"/>
          <cell r="W251"/>
          <cell r="X251"/>
          <cell r="Y251"/>
          <cell r="Z251"/>
          <cell r="AA251"/>
          <cell r="AB251"/>
          <cell r="AC251"/>
          <cell r="AD251"/>
          <cell r="AE251"/>
        </row>
        <row r="252">
          <cell r="G252"/>
          <cell r="H252"/>
          <cell r="I252"/>
          <cell r="J252"/>
          <cell r="K252"/>
          <cell r="L252"/>
          <cell r="M252"/>
          <cell r="N252"/>
          <cell r="O252"/>
          <cell r="P252"/>
          <cell r="Q252"/>
          <cell r="R252"/>
          <cell r="S252"/>
          <cell r="T252"/>
          <cell r="U252"/>
          <cell r="V252"/>
          <cell r="W252"/>
          <cell r="X252"/>
          <cell r="Y252"/>
          <cell r="Z252"/>
          <cell r="AA252"/>
          <cell r="AB252"/>
          <cell r="AC252"/>
          <cell r="AD252"/>
          <cell r="AE252"/>
        </row>
        <row r="253">
          <cell r="G253"/>
          <cell r="H253"/>
          <cell r="I253"/>
          <cell r="J253"/>
          <cell r="K253"/>
          <cell r="L253"/>
          <cell r="M253"/>
          <cell r="N253"/>
          <cell r="O253"/>
          <cell r="P253"/>
          <cell r="Q253"/>
          <cell r="R253"/>
          <cell r="S253"/>
          <cell r="T253"/>
          <cell r="U253"/>
          <cell r="V253"/>
          <cell r="W253"/>
          <cell r="X253"/>
          <cell r="Y253"/>
          <cell r="Z253"/>
          <cell r="AA253"/>
          <cell r="AB253"/>
          <cell r="AC253"/>
          <cell r="AD253"/>
          <cell r="AE253"/>
        </row>
        <row r="254">
          <cell r="G254"/>
          <cell r="H254"/>
          <cell r="I254"/>
          <cell r="J254"/>
          <cell r="K254"/>
          <cell r="L254"/>
          <cell r="M254"/>
          <cell r="N254"/>
          <cell r="O254"/>
          <cell r="P254"/>
          <cell r="Q254"/>
          <cell r="R254"/>
          <cell r="S254"/>
          <cell r="T254"/>
          <cell r="U254"/>
          <cell r="V254"/>
          <cell r="W254"/>
          <cell r="X254"/>
          <cell r="Y254"/>
          <cell r="Z254"/>
          <cell r="AA254"/>
          <cell r="AB254"/>
          <cell r="AC254"/>
          <cell r="AD254"/>
          <cell r="AE254"/>
        </row>
        <row r="255">
          <cell r="G255"/>
          <cell r="H255"/>
          <cell r="I255"/>
          <cell r="J255"/>
          <cell r="K255"/>
          <cell r="L255"/>
          <cell r="M255"/>
          <cell r="N255"/>
          <cell r="O255"/>
          <cell r="P255"/>
          <cell r="Q255"/>
          <cell r="R255"/>
          <cell r="S255"/>
          <cell r="T255"/>
          <cell r="U255"/>
          <cell r="V255"/>
          <cell r="W255"/>
          <cell r="X255"/>
          <cell r="Y255"/>
          <cell r="Z255"/>
          <cell r="AA255"/>
          <cell r="AB255"/>
          <cell r="AC255"/>
          <cell r="AD255"/>
          <cell r="AE255"/>
        </row>
        <row r="256">
          <cell r="G256"/>
          <cell r="H256"/>
          <cell r="I256"/>
          <cell r="J256"/>
          <cell r="K256"/>
          <cell r="L256"/>
          <cell r="M256"/>
          <cell r="N256"/>
          <cell r="O256"/>
          <cell r="P256"/>
          <cell r="Q256"/>
          <cell r="R256"/>
          <cell r="S256"/>
          <cell r="T256"/>
          <cell r="U256"/>
          <cell r="V256"/>
          <cell r="W256"/>
          <cell r="X256"/>
          <cell r="Y256"/>
          <cell r="Z256"/>
          <cell r="AA256"/>
          <cell r="AB256"/>
          <cell r="AC256"/>
          <cell r="AD256"/>
          <cell r="AE256"/>
        </row>
        <row r="257">
          <cell r="G257"/>
          <cell r="H257"/>
          <cell r="I257"/>
          <cell r="J257"/>
          <cell r="K257"/>
          <cell r="L257"/>
          <cell r="M257"/>
          <cell r="N257"/>
          <cell r="O257"/>
          <cell r="P257"/>
          <cell r="Q257"/>
          <cell r="R257"/>
          <cell r="S257"/>
          <cell r="T257"/>
          <cell r="U257"/>
          <cell r="V257"/>
          <cell r="W257"/>
          <cell r="X257"/>
          <cell r="Y257"/>
          <cell r="Z257"/>
          <cell r="AA257"/>
          <cell r="AB257"/>
          <cell r="AC257"/>
          <cell r="AD257"/>
          <cell r="AE257"/>
        </row>
        <row r="258">
          <cell r="G258"/>
          <cell r="H258"/>
          <cell r="I258"/>
          <cell r="J258"/>
          <cell r="K258"/>
          <cell r="L258"/>
          <cell r="M258"/>
          <cell r="N258"/>
          <cell r="O258"/>
          <cell r="P258"/>
          <cell r="Q258"/>
          <cell r="R258"/>
          <cell r="S258"/>
          <cell r="T258"/>
          <cell r="U258"/>
          <cell r="V258"/>
          <cell r="W258"/>
          <cell r="X258"/>
          <cell r="Y258"/>
          <cell r="Z258"/>
          <cell r="AA258"/>
          <cell r="AB258"/>
          <cell r="AC258"/>
          <cell r="AD258"/>
          <cell r="AE258"/>
        </row>
        <row r="259">
          <cell r="G259"/>
          <cell r="H259"/>
          <cell r="I259"/>
          <cell r="J259"/>
          <cell r="K259"/>
          <cell r="L259"/>
          <cell r="M259"/>
          <cell r="N259"/>
          <cell r="O259"/>
          <cell r="P259"/>
          <cell r="Q259"/>
          <cell r="R259"/>
          <cell r="S259"/>
          <cell r="T259"/>
          <cell r="U259"/>
          <cell r="V259"/>
          <cell r="W259"/>
          <cell r="X259"/>
          <cell r="Y259"/>
          <cell r="Z259"/>
          <cell r="AA259"/>
          <cell r="AB259"/>
          <cell r="AC259"/>
          <cell r="AD259"/>
          <cell r="AE259"/>
        </row>
        <row r="260">
          <cell r="G260"/>
          <cell r="H260"/>
          <cell r="I260"/>
          <cell r="J260"/>
          <cell r="K260"/>
          <cell r="L260"/>
          <cell r="M260"/>
          <cell r="N260"/>
          <cell r="O260"/>
          <cell r="P260"/>
          <cell r="Q260"/>
          <cell r="R260"/>
          <cell r="S260"/>
          <cell r="T260"/>
          <cell r="U260"/>
          <cell r="V260"/>
          <cell r="W260"/>
          <cell r="X260"/>
          <cell r="Y260"/>
          <cell r="Z260"/>
          <cell r="AA260"/>
          <cell r="AB260"/>
          <cell r="AC260"/>
          <cell r="AD260"/>
          <cell r="AE260"/>
        </row>
        <row r="261">
          <cell r="G261"/>
          <cell r="H261"/>
          <cell r="I261"/>
          <cell r="J261"/>
          <cell r="K261"/>
          <cell r="L261"/>
          <cell r="M261"/>
          <cell r="N261"/>
          <cell r="O261"/>
          <cell r="P261"/>
          <cell r="Q261"/>
          <cell r="R261"/>
          <cell r="S261"/>
          <cell r="T261"/>
          <cell r="U261"/>
          <cell r="V261"/>
          <cell r="W261"/>
          <cell r="X261"/>
          <cell r="Y261"/>
          <cell r="Z261"/>
          <cell r="AA261"/>
          <cell r="AB261"/>
          <cell r="AC261"/>
          <cell r="AD261"/>
          <cell r="AE261"/>
        </row>
        <row r="262">
          <cell r="G262"/>
          <cell r="H262"/>
          <cell r="I262"/>
          <cell r="J262"/>
          <cell r="K262"/>
          <cell r="L262"/>
          <cell r="M262"/>
          <cell r="N262"/>
          <cell r="O262"/>
          <cell r="P262"/>
          <cell r="Q262"/>
          <cell r="R262"/>
          <cell r="S262"/>
          <cell r="T262"/>
          <cell r="U262"/>
          <cell r="V262"/>
          <cell r="W262"/>
          <cell r="X262"/>
          <cell r="Y262"/>
          <cell r="Z262"/>
          <cell r="AA262"/>
          <cell r="AB262"/>
          <cell r="AC262"/>
          <cell r="AD262"/>
          <cell r="AE262"/>
        </row>
        <row r="263">
          <cell r="G263"/>
          <cell r="H263"/>
          <cell r="I263"/>
          <cell r="J263"/>
          <cell r="K263"/>
          <cell r="L263"/>
          <cell r="M263"/>
          <cell r="N263"/>
          <cell r="O263"/>
          <cell r="P263"/>
          <cell r="Q263"/>
          <cell r="R263"/>
          <cell r="S263"/>
          <cell r="T263"/>
          <cell r="U263"/>
          <cell r="V263"/>
          <cell r="W263"/>
          <cell r="X263"/>
          <cell r="Y263"/>
          <cell r="Z263"/>
          <cell r="AA263"/>
          <cell r="AB263"/>
          <cell r="AC263"/>
          <cell r="AD263"/>
          <cell r="AE263"/>
        </row>
        <row r="264">
          <cell r="G264"/>
          <cell r="H264"/>
          <cell r="I264"/>
          <cell r="J264"/>
          <cell r="K264"/>
          <cell r="L264"/>
          <cell r="M264"/>
          <cell r="N264"/>
          <cell r="O264"/>
          <cell r="P264"/>
          <cell r="Q264"/>
          <cell r="R264"/>
          <cell r="S264"/>
          <cell r="T264"/>
          <cell r="U264"/>
          <cell r="V264"/>
          <cell r="W264"/>
          <cell r="X264"/>
          <cell r="Y264"/>
          <cell r="Z264"/>
          <cell r="AA264"/>
          <cell r="AB264"/>
          <cell r="AC264"/>
          <cell r="AD264"/>
          <cell r="AE264"/>
        </row>
        <row r="265">
          <cell r="G265"/>
          <cell r="H265"/>
          <cell r="I265"/>
          <cell r="J265"/>
          <cell r="K265"/>
          <cell r="L265"/>
          <cell r="M265"/>
          <cell r="N265"/>
          <cell r="O265"/>
          <cell r="P265"/>
          <cell r="Q265"/>
          <cell r="R265"/>
          <cell r="S265"/>
          <cell r="T265"/>
          <cell r="U265"/>
          <cell r="V265"/>
          <cell r="W265"/>
          <cell r="X265"/>
          <cell r="Y265"/>
          <cell r="Z265"/>
          <cell r="AA265"/>
          <cell r="AB265"/>
          <cell r="AC265"/>
          <cell r="AD265"/>
          <cell r="AE265"/>
        </row>
        <row r="266">
          <cell r="G266"/>
          <cell r="H266"/>
          <cell r="I266"/>
          <cell r="J266"/>
          <cell r="K266"/>
          <cell r="L266"/>
          <cell r="M266"/>
          <cell r="N266"/>
          <cell r="O266"/>
          <cell r="P266"/>
          <cell r="Q266"/>
          <cell r="R266"/>
          <cell r="S266"/>
          <cell r="T266"/>
          <cell r="U266"/>
          <cell r="V266"/>
          <cell r="W266"/>
          <cell r="X266"/>
          <cell r="Y266"/>
          <cell r="Z266"/>
          <cell r="AA266"/>
          <cell r="AB266"/>
          <cell r="AC266"/>
          <cell r="AD266"/>
          <cell r="AE266"/>
        </row>
        <row r="267">
          <cell r="G267"/>
          <cell r="H267"/>
          <cell r="I267"/>
          <cell r="J267"/>
          <cell r="K267"/>
          <cell r="L267"/>
          <cell r="M267"/>
          <cell r="N267"/>
          <cell r="O267"/>
          <cell r="P267"/>
          <cell r="Q267"/>
          <cell r="R267"/>
          <cell r="S267"/>
          <cell r="T267"/>
          <cell r="U267"/>
          <cell r="V267"/>
          <cell r="W267"/>
          <cell r="X267"/>
          <cell r="Y267"/>
          <cell r="Z267"/>
          <cell r="AA267"/>
          <cell r="AB267"/>
          <cell r="AC267"/>
          <cell r="AD267"/>
          <cell r="AE267"/>
        </row>
        <row r="268">
          <cell r="G268"/>
          <cell r="H268"/>
          <cell r="I268"/>
          <cell r="J268"/>
          <cell r="K268"/>
          <cell r="L268"/>
          <cell r="M268"/>
          <cell r="N268"/>
          <cell r="O268"/>
          <cell r="P268"/>
          <cell r="Q268"/>
          <cell r="R268"/>
          <cell r="S268"/>
          <cell r="T268"/>
          <cell r="U268"/>
          <cell r="V268"/>
          <cell r="W268"/>
          <cell r="X268"/>
          <cell r="Y268"/>
          <cell r="Z268"/>
          <cell r="AA268"/>
          <cell r="AB268"/>
          <cell r="AC268"/>
          <cell r="AD268"/>
          <cell r="AE268"/>
        </row>
        <row r="269">
          <cell r="G269"/>
          <cell r="H269"/>
          <cell r="I269"/>
          <cell r="J269"/>
          <cell r="K269"/>
          <cell r="L269"/>
          <cell r="M269"/>
          <cell r="N269"/>
          <cell r="O269"/>
          <cell r="P269"/>
          <cell r="Q269"/>
          <cell r="R269"/>
          <cell r="S269"/>
          <cell r="T269"/>
          <cell r="U269"/>
          <cell r="V269"/>
          <cell r="W269"/>
          <cell r="X269"/>
          <cell r="Y269"/>
          <cell r="Z269"/>
          <cell r="AA269"/>
          <cell r="AB269"/>
          <cell r="AC269"/>
          <cell r="AD269"/>
          <cell r="AE269"/>
        </row>
        <row r="270">
          <cell r="G270"/>
          <cell r="H270"/>
          <cell r="I270"/>
          <cell r="J270"/>
          <cell r="K270"/>
          <cell r="L270"/>
          <cell r="M270"/>
          <cell r="N270"/>
          <cell r="O270"/>
          <cell r="P270"/>
          <cell r="Q270"/>
          <cell r="R270"/>
          <cell r="S270"/>
          <cell r="T270"/>
          <cell r="U270"/>
          <cell r="V270"/>
          <cell r="W270"/>
          <cell r="X270"/>
          <cell r="Y270"/>
          <cell r="Z270"/>
          <cell r="AA270"/>
          <cell r="AB270"/>
          <cell r="AC270"/>
          <cell r="AD270"/>
          <cell r="AE270"/>
        </row>
        <row r="271">
          <cell r="G271"/>
          <cell r="H271"/>
          <cell r="I271"/>
          <cell r="J271"/>
          <cell r="K271"/>
          <cell r="L271"/>
          <cell r="M271"/>
          <cell r="N271"/>
          <cell r="O271"/>
          <cell r="P271"/>
          <cell r="Q271"/>
          <cell r="R271"/>
          <cell r="S271"/>
          <cell r="T271"/>
          <cell r="U271"/>
          <cell r="V271"/>
          <cell r="W271"/>
          <cell r="X271"/>
          <cell r="Y271"/>
          <cell r="Z271"/>
          <cell r="AA271"/>
          <cell r="AB271"/>
          <cell r="AC271"/>
          <cell r="AD271"/>
          <cell r="AE271"/>
        </row>
        <row r="272">
          <cell r="G272"/>
          <cell r="H272"/>
          <cell r="I272"/>
          <cell r="J272"/>
          <cell r="K272"/>
          <cell r="L272"/>
          <cell r="M272"/>
          <cell r="N272"/>
          <cell r="O272"/>
          <cell r="P272"/>
          <cell r="Q272"/>
          <cell r="R272"/>
          <cell r="S272"/>
          <cell r="T272"/>
          <cell r="U272"/>
          <cell r="V272"/>
          <cell r="W272"/>
          <cell r="X272"/>
          <cell r="Y272"/>
          <cell r="Z272"/>
          <cell r="AA272"/>
          <cell r="AB272"/>
          <cell r="AC272"/>
          <cell r="AD272"/>
          <cell r="AE272"/>
        </row>
        <row r="273">
          <cell r="G273"/>
          <cell r="H273"/>
          <cell r="I273"/>
          <cell r="J273"/>
          <cell r="K273"/>
          <cell r="L273"/>
          <cell r="M273"/>
          <cell r="N273"/>
          <cell r="O273"/>
          <cell r="P273"/>
          <cell r="Q273"/>
          <cell r="R273"/>
          <cell r="S273"/>
          <cell r="T273"/>
          <cell r="U273"/>
          <cell r="V273"/>
          <cell r="W273"/>
          <cell r="X273"/>
          <cell r="Y273"/>
          <cell r="Z273"/>
          <cell r="AA273"/>
          <cell r="AB273"/>
          <cell r="AC273"/>
          <cell r="AD273"/>
          <cell r="AE273"/>
        </row>
        <row r="274">
          <cell r="G274"/>
          <cell r="H274"/>
          <cell r="I274"/>
          <cell r="J274"/>
          <cell r="K274"/>
          <cell r="L274"/>
          <cell r="M274"/>
          <cell r="N274"/>
          <cell r="O274"/>
          <cell r="P274"/>
          <cell r="Q274"/>
          <cell r="R274"/>
          <cell r="S274"/>
          <cell r="T274"/>
          <cell r="U274"/>
          <cell r="V274"/>
          <cell r="W274"/>
          <cell r="X274"/>
          <cell r="Y274"/>
          <cell r="Z274"/>
          <cell r="AA274"/>
          <cell r="AB274"/>
          <cell r="AC274"/>
          <cell r="AD274"/>
          <cell r="AE274"/>
        </row>
        <row r="275">
          <cell r="G275"/>
          <cell r="H275"/>
          <cell r="I275"/>
          <cell r="J275"/>
          <cell r="K275"/>
          <cell r="L275"/>
          <cell r="M275"/>
          <cell r="N275"/>
          <cell r="O275"/>
          <cell r="P275"/>
          <cell r="Q275"/>
          <cell r="R275"/>
          <cell r="S275"/>
          <cell r="T275"/>
          <cell r="U275"/>
          <cell r="V275"/>
          <cell r="W275"/>
          <cell r="X275"/>
          <cell r="Y275"/>
          <cell r="Z275"/>
          <cell r="AA275"/>
          <cell r="AB275"/>
          <cell r="AC275"/>
          <cell r="AD275"/>
          <cell r="AE275"/>
        </row>
        <row r="276">
          <cell r="G276"/>
          <cell r="H276"/>
          <cell r="I276"/>
          <cell r="J276"/>
          <cell r="K276"/>
          <cell r="L276"/>
          <cell r="M276"/>
          <cell r="N276"/>
          <cell r="O276"/>
          <cell r="P276"/>
          <cell r="Q276"/>
          <cell r="R276"/>
          <cell r="S276"/>
          <cell r="T276"/>
          <cell r="U276"/>
          <cell r="V276"/>
          <cell r="W276"/>
          <cell r="X276"/>
          <cell r="Y276"/>
          <cell r="Z276"/>
          <cell r="AA276"/>
          <cell r="AB276"/>
          <cell r="AC276"/>
          <cell r="AD276"/>
          <cell r="AE276"/>
        </row>
        <row r="277">
          <cell r="G277"/>
          <cell r="H277"/>
          <cell r="I277"/>
          <cell r="J277"/>
          <cell r="K277"/>
          <cell r="L277"/>
          <cell r="M277"/>
          <cell r="N277"/>
          <cell r="O277"/>
          <cell r="P277"/>
          <cell r="Q277"/>
          <cell r="R277"/>
          <cell r="S277"/>
          <cell r="T277"/>
          <cell r="U277"/>
          <cell r="V277"/>
          <cell r="W277"/>
          <cell r="X277"/>
          <cell r="Y277"/>
          <cell r="Z277"/>
          <cell r="AA277"/>
          <cell r="AB277"/>
          <cell r="AC277"/>
          <cell r="AD277"/>
          <cell r="AE277"/>
        </row>
        <row r="278">
          <cell r="G278"/>
          <cell r="H278"/>
          <cell r="I278"/>
          <cell r="J278"/>
          <cell r="K278"/>
          <cell r="L278"/>
          <cell r="M278"/>
          <cell r="N278"/>
          <cell r="O278"/>
          <cell r="P278"/>
          <cell r="Q278"/>
          <cell r="R278"/>
          <cell r="S278"/>
          <cell r="T278"/>
          <cell r="U278"/>
          <cell r="V278"/>
          <cell r="W278"/>
          <cell r="X278"/>
          <cell r="Y278"/>
          <cell r="Z278"/>
          <cell r="AA278"/>
          <cell r="AB278"/>
          <cell r="AC278"/>
          <cell r="AD278"/>
          <cell r="AE278"/>
        </row>
        <row r="279">
          <cell r="G279"/>
          <cell r="H279"/>
          <cell r="I279"/>
          <cell r="J279"/>
          <cell r="K279"/>
          <cell r="L279"/>
          <cell r="M279"/>
          <cell r="N279"/>
          <cell r="O279"/>
          <cell r="P279"/>
          <cell r="Q279"/>
          <cell r="R279"/>
          <cell r="S279"/>
          <cell r="T279"/>
          <cell r="U279"/>
          <cell r="V279"/>
          <cell r="W279"/>
          <cell r="X279"/>
          <cell r="Y279"/>
          <cell r="Z279"/>
          <cell r="AA279"/>
          <cell r="AB279"/>
          <cell r="AC279"/>
          <cell r="AD279"/>
          <cell r="AE279"/>
        </row>
        <row r="280">
          <cell r="G280"/>
          <cell r="H280"/>
          <cell r="I280"/>
          <cell r="J280"/>
          <cell r="K280"/>
          <cell r="L280"/>
          <cell r="M280"/>
          <cell r="N280"/>
          <cell r="O280"/>
          <cell r="P280"/>
          <cell r="Q280"/>
          <cell r="R280"/>
          <cell r="S280"/>
          <cell r="T280"/>
          <cell r="U280"/>
          <cell r="V280"/>
          <cell r="W280"/>
          <cell r="X280"/>
          <cell r="Y280"/>
          <cell r="Z280"/>
          <cell r="AA280"/>
          <cell r="AB280"/>
          <cell r="AC280"/>
          <cell r="AD280"/>
          <cell r="AE280"/>
        </row>
        <row r="281">
          <cell r="G281"/>
          <cell r="H281"/>
          <cell r="I281"/>
          <cell r="J281"/>
          <cell r="K281"/>
          <cell r="L281"/>
          <cell r="M281"/>
          <cell r="N281"/>
          <cell r="O281"/>
          <cell r="P281"/>
          <cell r="Q281"/>
          <cell r="R281"/>
          <cell r="S281"/>
          <cell r="T281"/>
          <cell r="U281"/>
          <cell r="V281"/>
          <cell r="W281"/>
          <cell r="X281"/>
          <cell r="Y281"/>
          <cell r="Z281"/>
          <cell r="AA281"/>
          <cell r="AB281"/>
          <cell r="AC281"/>
          <cell r="AD281"/>
          <cell r="AE281"/>
        </row>
        <row r="282">
          <cell r="G282"/>
          <cell r="H282"/>
          <cell r="I282"/>
          <cell r="J282"/>
          <cell r="K282"/>
          <cell r="L282"/>
          <cell r="M282"/>
          <cell r="N282"/>
          <cell r="O282"/>
          <cell r="P282"/>
          <cell r="Q282"/>
          <cell r="R282"/>
          <cell r="S282"/>
          <cell r="T282"/>
          <cell r="U282"/>
          <cell r="V282"/>
          <cell r="W282"/>
          <cell r="X282"/>
          <cell r="Y282"/>
          <cell r="Z282"/>
          <cell r="AA282"/>
          <cell r="AB282"/>
          <cell r="AC282"/>
          <cell r="AD282"/>
          <cell r="AE282"/>
        </row>
        <row r="283">
          <cell r="G283"/>
          <cell r="H283"/>
          <cell r="I283"/>
          <cell r="J283"/>
          <cell r="K283"/>
          <cell r="L283"/>
          <cell r="M283"/>
          <cell r="N283"/>
          <cell r="O283"/>
          <cell r="P283"/>
          <cell r="Q283"/>
          <cell r="R283"/>
          <cell r="S283"/>
          <cell r="T283"/>
          <cell r="U283"/>
          <cell r="V283"/>
          <cell r="W283"/>
          <cell r="X283"/>
          <cell r="Y283"/>
          <cell r="Z283"/>
          <cell r="AA283"/>
          <cell r="AB283"/>
          <cell r="AC283"/>
          <cell r="AD283"/>
          <cell r="AE283"/>
        </row>
        <row r="284">
          <cell r="G284"/>
          <cell r="H284"/>
          <cell r="I284"/>
          <cell r="J284"/>
          <cell r="K284"/>
          <cell r="L284"/>
          <cell r="M284"/>
          <cell r="N284"/>
          <cell r="O284"/>
          <cell r="P284"/>
          <cell r="Q284"/>
          <cell r="R284"/>
          <cell r="S284"/>
          <cell r="T284"/>
          <cell r="U284"/>
          <cell r="V284"/>
          <cell r="W284"/>
          <cell r="X284"/>
          <cell r="Y284"/>
          <cell r="Z284"/>
          <cell r="AA284"/>
          <cell r="AB284"/>
          <cell r="AC284"/>
          <cell r="AD284"/>
          <cell r="AE284"/>
        </row>
        <row r="285">
          <cell r="G285"/>
          <cell r="H285"/>
          <cell r="I285"/>
          <cell r="J285"/>
          <cell r="K285"/>
          <cell r="L285"/>
          <cell r="M285"/>
          <cell r="N285"/>
          <cell r="O285"/>
          <cell r="P285"/>
          <cell r="Q285"/>
          <cell r="R285"/>
          <cell r="S285"/>
          <cell r="T285"/>
          <cell r="U285"/>
          <cell r="V285"/>
          <cell r="W285"/>
          <cell r="X285"/>
          <cell r="Y285"/>
          <cell r="Z285"/>
          <cell r="AA285"/>
          <cell r="AB285"/>
          <cell r="AC285"/>
          <cell r="AD285"/>
          <cell r="AE285"/>
        </row>
        <row r="286">
          <cell r="G286"/>
          <cell r="H286"/>
          <cell r="I286"/>
          <cell r="J286"/>
          <cell r="K286"/>
          <cell r="L286"/>
          <cell r="M286"/>
          <cell r="N286"/>
          <cell r="O286"/>
          <cell r="P286"/>
          <cell r="Q286"/>
          <cell r="R286"/>
          <cell r="S286"/>
          <cell r="T286"/>
          <cell r="U286"/>
          <cell r="V286"/>
          <cell r="W286"/>
          <cell r="X286"/>
          <cell r="Y286"/>
          <cell r="Z286"/>
          <cell r="AA286"/>
          <cell r="AB286"/>
          <cell r="AC286"/>
          <cell r="AD286"/>
          <cell r="AE286"/>
        </row>
        <row r="287">
          <cell r="G287"/>
          <cell r="H287"/>
          <cell r="I287"/>
          <cell r="J287"/>
          <cell r="K287"/>
          <cell r="L287"/>
          <cell r="M287"/>
          <cell r="N287"/>
          <cell r="O287"/>
          <cell r="P287"/>
          <cell r="Q287"/>
          <cell r="R287"/>
          <cell r="S287"/>
          <cell r="T287"/>
          <cell r="U287"/>
          <cell r="V287"/>
          <cell r="W287"/>
          <cell r="X287"/>
          <cell r="Y287"/>
          <cell r="Z287"/>
          <cell r="AA287"/>
          <cell r="AB287"/>
          <cell r="AC287"/>
          <cell r="AD287"/>
          <cell r="AE287"/>
        </row>
        <row r="288">
          <cell r="G288"/>
          <cell r="H288"/>
          <cell r="I288"/>
          <cell r="J288"/>
          <cell r="K288"/>
          <cell r="L288"/>
          <cell r="M288"/>
          <cell r="N288"/>
          <cell r="O288"/>
          <cell r="P288"/>
          <cell r="Q288"/>
          <cell r="R288"/>
          <cell r="S288"/>
          <cell r="T288"/>
          <cell r="U288"/>
          <cell r="V288"/>
          <cell r="W288"/>
          <cell r="X288"/>
          <cell r="Y288"/>
          <cell r="Z288"/>
          <cell r="AA288"/>
          <cell r="AB288"/>
          <cell r="AC288"/>
          <cell r="AD288"/>
          <cell r="AE288"/>
        </row>
        <row r="289">
          <cell r="G289"/>
          <cell r="H289"/>
          <cell r="I289"/>
          <cell r="J289"/>
          <cell r="K289"/>
          <cell r="L289"/>
          <cell r="M289"/>
          <cell r="N289"/>
          <cell r="O289"/>
          <cell r="P289"/>
          <cell r="Q289"/>
          <cell r="R289"/>
          <cell r="S289"/>
          <cell r="T289"/>
          <cell r="U289"/>
          <cell r="V289"/>
          <cell r="W289"/>
          <cell r="X289"/>
          <cell r="Y289"/>
          <cell r="Z289"/>
          <cell r="AA289"/>
          <cell r="AB289"/>
          <cell r="AC289"/>
          <cell r="AD289"/>
          <cell r="AE289"/>
        </row>
        <row r="290">
          <cell r="G290"/>
          <cell r="H290"/>
          <cell r="I290"/>
          <cell r="J290"/>
          <cell r="K290"/>
          <cell r="L290"/>
          <cell r="M290"/>
          <cell r="N290"/>
          <cell r="O290"/>
          <cell r="P290"/>
          <cell r="Q290"/>
          <cell r="R290"/>
          <cell r="S290"/>
          <cell r="T290"/>
          <cell r="U290"/>
          <cell r="V290"/>
          <cell r="W290"/>
          <cell r="X290"/>
          <cell r="Y290"/>
          <cell r="Z290"/>
          <cell r="AA290"/>
          <cell r="AB290"/>
          <cell r="AC290"/>
          <cell r="AD290"/>
          <cell r="AE290"/>
        </row>
        <row r="291">
          <cell r="G291"/>
          <cell r="H291"/>
          <cell r="I291"/>
          <cell r="J291"/>
          <cell r="K291"/>
          <cell r="L291"/>
          <cell r="M291"/>
          <cell r="N291"/>
          <cell r="O291"/>
          <cell r="P291"/>
          <cell r="Q291"/>
          <cell r="R291"/>
          <cell r="S291"/>
          <cell r="T291"/>
          <cell r="U291"/>
          <cell r="V291"/>
          <cell r="W291"/>
          <cell r="X291"/>
          <cell r="Y291"/>
          <cell r="Z291"/>
          <cell r="AA291"/>
          <cell r="AB291"/>
          <cell r="AC291"/>
          <cell r="AD291"/>
          <cell r="AE291"/>
        </row>
        <row r="292">
          <cell r="G292"/>
          <cell r="H292"/>
          <cell r="I292"/>
          <cell r="J292"/>
          <cell r="K292"/>
          <cell r="L292"/>
          <cell r="M292"/>
          <cell r="N292"/>
          <cell r="O292"/>
          <cell r="P292"/>
          <cell r="Q292"/>
          <cell r="R292"/>
          <cell r="S292"/>
          <cell r="T292"/>
          <cell r="U292"/>
          <cell r="V292"/>
          <cell r="W292"/>
          <cell r="X292"/>
          <cell r="Y292"/>
          <cell r="Z292"/>
          <cell r="AA292"/>
          <cell r="AB292"/>
          <cell r="AC292"/>
          <cell r="AD292"/>
          <cell r="AE292"/>
        </row>
        <row r="293">
          <cell r="G293"/>
          <cell r="H293"/>
          <cell r="I293"/>
          <cell r="J293"/>
          <cell r="K293"/>
          <cell r="L293"/>
          <cell r="M293"/>
          <cell r="N293"/>
          <cell r="O293"/>
          <cell r="P293"/>
          <cell r="Q293"/>
          <cell r="R293"/>
          <cell r="S293"/>
          <cell r="T293"/>
          <cell r="U293"/>
          <cell r="V293"/>
          <cell r="W293"/>
          <cell r="X293"/>
          <cell r="Y293"/>
          <cell r="Z293"/>
          <cell r="AA293"/>
          <cell r="AB293"/>
          <cell r="AC293"/>
          <cell r="AD293"/>
          <cell r="AE293"/>
        </row>
        <row r="294">
          <cell r="G294"/>
          <cell r="H294"/>
          <cell r="I294"/>
          <cell r="J294"/>
          <cell r="K294"/>
          <cell r="L294"/>
          <cell r="M294"/>
          <cell r="N294"/>
          <cell r="O294"/>
          <cell r="P294"/>
          <cell r="Q294"/>
          <cell r="R294"/>
          <cell r="S294"/>
          <cell r="T294"/>
          <cell r="U294"/>
          <cell r="V294"/>
          <cell r="W294"/>
          <cell r="X294"/>
          <cell r="Y294"/>
          <cell r="Z294"/>
          <cell r="AA294"/>
          <cell r="AB294"/>
          <cell r="AC294"/>
          <cell r="AD294"/>
          <cell r="AE294"/>
        </row>
        <row r="295">
          <cell r="G295"/>
          <cell r="H295"/>
          <cell r="I295"/>
          <cell r="J295"/>
          <cell r="K295"/>
          <cell r="L295"/>
          <cell r="M295"/>
          <cell r="N295"/>
          <cell r="O295"/>
          <cell r="P295"/>
          <cell r="Q295"/>
          <cell r="R295"/>
          <cell r="S295"/>
          <cell r="T295"/>
          <cell r="U295"/>
          <cell r="V295"/>
          <cell r="W295"/>
          <cell r="X295"/>
          <cell r="Y295"/>
          <cell r="Z295"/>
          <cell r="AA295"/>
          <cell r="AB295"/>
          <cell r="AC295"/>
          <cell r="AD295"/>
          <cell r="AE295"/>
        </row>
        <row r="296">
          <cell r="G296"/>
          <cell r="H296"/>
          <cell r="I296"/>
          <cell r="J296"/>
          <cell r="K296"/>
          <cell r="L296"/>
          <cell r="M296"/>
          <cell r="N296"/>
          <cell r="O296"/>
          <cell r="P296"/>
          <cell r="Q296"/>
          <cell r="R296"/>
          <cell r="S296"/>
          <cell r="T296"/>
          <cell r="U296"/>
          <cell r="V296"/>
          <cell r="W296"/>
          <cell r="X296"/>
          <cell r="Y296"/>
          <cell r="Z296"/>
          <cell r="AA296"/>
          <cell r="AB296"/>
          <cell r="AC296"/>
          <cell r="AD296"/>
          <cell r="AE296"/>
        </row>
        <row r="297">
          <cell r="G297"/>
          <cell r="H297"/>
          <cell r="I297"/>
          <cell r="J297"/>
          <cell r="K297"/>
          <cell r="L297"/>
          <cell r="M297"/>
          <cell r="N297"/>
          <cell r="O297"/>
          <cell r="P297"/>
          <cell r="Q297"/>
          <cell r="R297"/>
          <cell r="S297"/>
          <cell r="T297"/>
          <cell r="U297"/>
          <cell r="V297"/>
          <cell r="W297"/>
          <cell r="X297"/>
          <cell r="Y297"/>
          <cell r="Z297"/>
          <cell r="AA297"/>
          <cell r="AB297"/>
          <cell r="AC297"/>
          <cell r="AD297"/>
          <cell r="AE297"/>
        </row>
        <row r="298">
          <cell r="G298"/>
          <cell r="H298"/>
          <cell r="I298"/>
          <cell r="J298"/>
          <cell r="K298"/>
          <cell r="L298"/>
          <cell r="M298"/>
          <cell r="N298"/>
          <cell r="O298"/>
          <cell r="P298"/>
          <cell r="Q298"/>
          <cell r="R298"/>
          <cell r="S298"/>
          <cell r="T298"/>
          <cell r="U298"/>
          <cell r="V298"/>
          <cell r="W298"/>
          <cell r="X298"/>
          <cell r="Y298"/>
          <cell r="Z298"/>
          <cell r="AA298"/>
          <cell r="AB298"/>
          <cell r="AC298"/>
          <cell r="AD298"/>
          <cell r="AE298"/>
        </row>
        <row r="299">
          <cell r="G299"/>
          <cell r="H299"/>
          <cell r="I299"/>
          <cell r="J299"/>
          <cell r="K299"/>
          <cell r="L299"/>
          <cell r="M299"/>
          <cell r="N299"/>
          <cell r="O299"/>
          <cell r="P299"/>
          <cell r="Q299"/>
          <cell r="R299"/>
          <cell r="S299"/>
          <cell r="T299"/>
          <cell r="U299"/>
          <cell r="V299"/>
          <cell r="W299"/>
          <cell r="X299"/>
          <cell r="Y299"/>
          <cell r="Z299"/>
          <cell r="AA299"/>
          <cell r="AB299"/>
          <cell r="AC299"/>
          <cell r="AD299"/>
          <cell r="AE299"/>
        </row>
        <row r="300">
          <cell r="G300"/>
          <cell r="H300"/>
          <cell r="I300"/>
          <cell r="J300"/>
          <cell r="K300"/>
          <cell r="L300"/>
          <cell r="M300"/>
          <cell r="N300"/>
          <cell r="O300"/>
          <cell r="P300"/>
          <cell r="Q300"/>
          <cell r="R300"/>
          <cell r="S300"/>
          <cell r="T300"/>
          <cell r="U300"/>
          <cell r="V300"/>
          <cell r="W300"/>
          <cell r="X300"/>
          <cell r="Y300"/>
          <cell r="Z300"/>
          <cell r="AA300"/>
          <cell r="AB300"/>
          <cell r="AC300"/>
          <cell r="AD300"/>
          <cell r="AE300"/>
        </row>
        <row r="301">
          <cell r="G301"/>
          <cell r="H301"/>
          <cell r="I301"/>
          <cell r="J301"/>
          <cell r="K301"/>
          <cell r="L301"/>
          <cell r="M301"/>
          <cell r="N301"/>
          <cell r="O301"/>
          <cell r="P301"/>
          <cell r="Q301"/>
          <cell r="R301"/>
          <cell r="S301"/>
          <cell r="T301"/>
          <cell r="U301"/>
          <cell r="V301"/>
          <cell r="W301"/>
          <cell r="X301"/>
          <cell r="Y301"/>
          <cell r="Z301"/>
          <cell r="AA301"/>
          <cell r="AB301"/>
          <cell r="AC301"/>
          <cell r="AD301"/>
          <cell r="AE301"/>
        </row>
        <row r="302">
          <cell r="G302"/>
          <cell r="H302"/>
          <cell r="I302"/>
          <cell r="J302"/>
          <cell r="K302"/>
          <cell r="L302"/>
          <cell r="M302"/>
          <cell r="N302"/>
          <cell r="O302"/>
          <cell r="P302"/>
          <cell r="Q302"/>
          <cell r="R302"/>
          <cell r="S302"/>
          <cell r="T302"/>
          <cell r="U302"/>
          <cell r="V302"/>
          <cell r="W302"/>
          <cell r="X302"/>
          <cell r="Y302"/>
          <cell r="Z302"/>
          <cell r="AA302"/>
          <cell r="AB302"/>
          <cell r="AC302"/>
          <cell r="AD302"/>
          <cell r="AE302"/>
        </row>
        <row r="303">
          <cell r="G303"/>
          <cell r="H303"/>
          <cell r="I303"/>
          <cell r="J303"/>
          <cell r="K303"/>
          <cell r="L303"/>
          <cell r="M303"/>
          <cell r="N303"/>
          <cell r="O303"/>
          <cell r="P303"/>
          <cell r="Q303"/>
          <cell r="R303"/>
          <cell r="S303"/>
          <cell r="T303"/>
          <cell r="U303"/>
          <cell r="V303"/>
          <cell r="W303"/>
          <cell r="X303"/>
          <cell r="Y303"/>
          <cell r="Z303"/>
          <cell r="AA303"/>
          <cell r="AB303"/>
          <cell r="AC303"/>
          <cell r="AD303"/>
          <cell r="AE303"/>
        </row>
        <row r="304">
          <cell r="G304"/>
          <cell r="H304"/>
          <cell r="I304"/>
          <cell r="J304"/>
          <cell r="K304"/>
          <cell r="L304"/>
          <cell r="M304"/>
          <cell r="N304"/>
          <cell r="O304"/>
          <cell r="P304"/>
          <cell r="Q304"/>
          <cell r="R304"/>
          <cell r="S304"/>
          <cell r="T304"/>
          <cell r="U304"/>
          <cell r="V304"/>
          <cell r="W304"/>
          <cell r="X304"/>
          <cell r="Y304"/>
          <cell r="Z304"/>
          <cell r="AA304"/>
          <cell r="AB304"/>
          <cell r="AC304"/>
          <cell r="AD304"/>
          <cell r="AE304"/>
        </row>
        <row r="305">
          <cell r="G305"/>
          <cell r="H305"/>
          <cell r="I305"/>
          <cell r="J305"/>
          <cell r="K305"/>
          <cell r="L305"/>
          <cell r="M305"/>
          <cell r="N305"/>
          <cell r="O305"/>
          <cell r="P305"/>
          <cell r="Q305"/>
          <cell r="R305"/>
          <cell r="S305"/>
          <cell r="T305"/>
          <cell r="U305"/>
          <cell r="V305"/>
          <cell r="W305"/>
          <cell r="X305"/>
          <cell r="Y305"/>
          <cell r="Z305"/>
          <cell r="AA305"/>
          <cell r="AB305"/>
          <cell r="AC305"/>
          <cell r="AD305"/>
          <cell r="AE305"/>
        </row>
        <row r="306">
          <cell r="G306"/>
          <cell r="H306"/>
          <cell r="I306"/>
          <cell r="J306"/>
          <cell r="K306"/>
          <cell r="L306"/>
          <cell r="M306"/>
          <cell r="N306"/>
          <cell r="O306"/>
          <cell r="P306"/>
          <cell r="Q306"/>
          <cell r="R306"/>
          <cell r="S306"/>
          <cell r="T306"/>
          <cell r="U306"/>
          <cell r="V306"/>
          <cell r="W306"/>
          <cell r="X306"/>
          <cell r="Y306"/>
          <cell r="Z306"/>
          <cell r="AA306"/>
          <cell r="AB306"/>
          <cell r="AC306"/>
          <cell r="AD306"/>
          <cell r="AE306"/>
        </row>
        <row r="307">
          <cell r="G307"/>
          <cell r="H307"/>
          <cell r="I307"/>
          <cell r="J307"/>
          <cell r="K307"/>
          <cell r="L307"/>
          <cell r="M307"/>
          <cell r="N307"/>
          <cell r="O307"/>
          <cell r="P307"/>
          <cell r="Q307"/>
          <cell r="R307"/>
          <cell r="S307"/>
          <cell r="T307"/>
          <cell r="U307"/>
          <cell r="V307"/>
          <cell r="W307"/>
          <cell r="X307"/>
          <cell r="Y307"/>
          <cell r="Z307"/>
          <cell r="AA307"/>
          <cell r="AB307"/>
          <cell r="AC307"/>
          <cell r="AD307"/>
          <cell r="AE307"/>
        </row>
        <row r="308">
          <cell r="G308"/>
          <cell r="H308"/>
          <cell r="I308"/>
          <cell r="J308"/>
          <cell r="K308"/>
          <cell r="L308"/>
          <cell r="M308"/>
          <cell r="N308"/>
          <cell r="O308"/>
          <cell r="P308"/>
          <cell r="Q308"/>
          <cell r="R308"/>
          <cell r="S308"/>
          <cell r="T308"/>
          <cell r="U308"/>
          <cell r="V308"/>
          <cell r="W308"/>
          <cell r="X308"/>
          <cell r="Y308"/>
          <cell r="Z308"/>
          <cell r="AA308"/>
          <cell r="AB308"/>
          <cell r="AC308"/>
          <cell r="AD308"/>
          <cell r="AE308"/>
        </row>
        <row r="309">
          <cell r="G309"/>
          <cell r="H309"/>
          <cell r="I309"/>
          <cell r="J309"/>
          <cell r="K309"/>
          <cell r="L309"/>
          <cell r="M309"/>
          <cell r="N309"/>
          <cell r="O309"/>
          <cell r="P309"/>
          <cell r="Q309"/>
          <cell r="R309"/>
          <cell r="S309"/>
          <cell r="T309"/>
          <cell r="U309"/>
          <cell r="V309"/>
          <cell r="W309"/>
          <cell r="X309"/>
          <cell r="Y309"/>
          <cell r="Z309"/>
          <cell r="AA309"/>
          <cell r="AB309"/>
          <cell r="AC309"/>
          <cell r="AD309"/>
          <cell r="AE309"/>
        </row>
        <row r="310">
          <cell r="G310"/>
          <cell r="H310"/>
          <cell r="I310"/>
          <cell r="J310"/>
          <cell r="K310"/>
          <cell r="L310"/>
          <cell r="M310"/>
          <cell r="N310"/>
          <cell r="O310"/>
          <cell r="P310"/>
          <cell r="Q310"/>
          <cell r="R310"/>
          <cell r="S310"/>
          <cell r="T310"/>
          <cell r="U310"/>
          <cell r="V310"/>
          <cell r="W310"/>
          <cell r="X310"/>
          <cell r="Y310"/>
          <cell r="Z310"/>
          <cell r="AA310"/>
          <cell r="AB310"/>
          <cell r="AC310"/>
          <cell r="AD310"/>
          <cell r="AE310"/>
        </row>
        <row r="311">
          <cell r="G311"/>
          <cell r="H311"/>
          <cell r="I311"/>
          <cell r="J311"/>
          <cell r="K311"/>
          <cell r="L311"/>
          <cell r="M311"/>
          <cell r="N311"/>
          <cell r="O311"/>
          <cell r="P311"/>
          <cell r="Q311"/>
          <cell r="R311"/>
          <cell r="S311"/>
          <cell r="T311"/>
          <cell r="U311"/>
          <cell r="V311"/>
          <cell r="W311"/>
          <cell r="X311"/>
          <cell r="Y311"/>
          <cell r="Z311"/>
          <cell r="AA311"/>
          <cell r="AB311"/>
          <cell r="AC311"/>
          <cell r="AD311"/>
          <cell r="AE311"/>
        </row>
        <row r="312">
          <cell r="G312"/>
          <cell r="H312"/>
          <cell r="I312"/>
          <cell r="J312"/>
          <cell r="K312"/>
          <cell r="L312"/>
          <cell r="M312"/>
          <cell r="N312"/>
          <cell r="O312"/>
          <cell r="P312"/>
          <cell r="Q312"/>
          <cell r="R312"/>
          <cell r="S312"/>
          <cell r="T312"/>
          <cell r="U312"/>
          <cell r="V312"/>
          <cell r="W312"/>
          <cell r="X312"/>
          <cell r="Y312"/>
          <cell r="Z312"/>
          <cell r="AA312"/>
          <cell r="AB312"/>
          <cell r="AC312"/>
          <cell r="AD312"/>
          <cell r="AE312"/>
        </row>
        <row r="313">
          <cell r="G313"/>
          <cell r="H313"/>
          <cell r="I313"/>
          <cell r="J313"/>
          <cell r="K313"/>
          <cell r="L313"/>
          <cell r="M313"/>
          <cell r="N313"/>
          <cell r="O313"/>
          <cell r="P313"/>
          <cell r="Q313"/>
          <cell r="R313"/>
          <cell r="S313"/>
          <cell r="T313"/>
          <cell r="U313"/>
          <cell r="V313"/>
          <cell r="W313"/>
          <cell r="X313"/>
          <cell r="Y313"/>
          <cell r="Z313"/>
          <cell r="AA313"/>
          <cell r="AB313"/>
          <cell r="AC313"/>
          <cell r="AD313"/>
          <cell r="AE313"/>
        </row>
        <row r="314">
          <cell r="G314"/>
          <cell r="H314"/>
          <cell r="I314"/>
          <cell r="J314"/>
          <cell r="K314"/>
          <cell r="L314"/>
          <cell r="M314"/>
          <cell r="N314"/>
          <cell r="O314"/>
          <cell r="P314"/>
          <cell r="Q314"/>
          <cell r="R314"/>
          <cell r="S314"/>
          <cell r="T314"/>
          <cell r="U314"/>
          <cell r="V314"/>
          <cell r="W314"/>
          <cell r="X314"/>
          <cell r="Y314"/>
          <cell r="Z314"/>
          <cell r="AA314"/>
          <cell r="AB314"/>
          <cell r="AC314"/>
          <cell r="AD314"/>
          <cell r="AE314"/>
        </row>
        <row r="315">
          <cell r="G315"/>
          <cell r="H315"/>
          <cell r="I315"/>
          <cell r="J315"/>
          <cell r="K315"/>
          <cell r="L315"/>
          <cell r="M315"/>
          <cell r="N315"/>
          <cell r="O315"/>
          <cell r="P315"/>
          <cell r="Q315"/>
          <cell r="R315"/>
          <cell r="S315"/>
          <cell r="T315"/>
          <cell r="U315"/>
          <cell r="V315"/>
          <cell r="W315"/>
          <cell r="X315"/>
          <cell r="Y315"/>
          <cell r="Z315"/>
          <cell r="AA315"/>
          <cell r="AB315"/>
          <cell r="AC315"/>
          <cell r="AD315"/>
          <cell r="AE315"/>
        </row>
        <row r="316">
          <cell r="G316"/>
          <cell r="H316"/>
          <cell r="I316"/>
          <cell r="J316"/>
          <cell r="K316"/>
          <cell r="L316"/>
          <cell r="M316"/>
          <cell r="N316"/>
          <cell r="O316"/>
          <cell r="P316"/>
          <cell r="Q316"/>
          <cell r="R316"/>
          <cell r="S316"/>
          <cell r="T316"/>
          <cell r="U316"/>
          <cell r="V316"/>
          <cell r="W316"/>
          <cell r="X316"/>
          <cell r="Y316"/>
          <cell r="Z316"/>
          <cell r="AA316"/>
          <cell r="AB316"/>
          <cell r="AC316"/>
          <cell r="AD316"/>
          <cell r="AE316"/>
        </row>
        <row r="317">
          <cell r="G317"/>
          <cell r="H317"/>
          <cell r="I317"/>
          <cell r="J317"/>
          <cell r="K317"/>
          <cell r="L317"/>
          <cell r="M317"/>
          <cell r="N317"/>
          <cell r="O317"/>
          <cell r="P317"/>
          <cell r="Q317"/>
          <cell r="R317"/>
          <cell r="S317"/>
          <cell r="T317"/>
          <cell r="U317"/>
          <cell r="V317"/>
          <cell r="W317"/>
          <cell r="X317"/>
          <cell r="Y317"/>
          <cell r="Z317"/>
          <cell r="AA317"/>
          <cell r="AB317"/>
          <cell r="AC317"/>
          <cell r="AD317"/>
          <cell r="AE317"/>
        </row>
        <row r="318">
          <cell r="G318"/>
          <cell r="H318"/>
          <cell r="I318"/>
          <cell r="J318"/>
          <cell r="K318"/>
          <cell r="L318"/>
          <cell r="M318"/>
          <cell r="N318"/>
          <cell r="O318"/>
          <cell r="P318"/>
          <cell r="Q318"/>
          <cell r="R318"/>
          <cell r="S318"/>
          <cell r="T318"/>
          <cell r="U318"/>
          <cell r="V318"/>
          <cell r="W318"/>
          <cell r="X318"/>
          <cell r="Y318"/>
          <cell r="Z318"/>
          <cell r="AA318"/>
          <cell r="AB318"/>
          <cell r="AC318"/>
          <cell r="AD318"/>
          <cell r="AE318"/>
        </row>
        <row r="319">
          <cell r="G319"/>
          <cell r="H319"/>
          <cell r="I319"/>
          <cell r="J319"/>
          <cell r="K319"/>
          <cell r="L319"/>
          <cell r="M319"/>
          <cell r="N319"/>
          <cell r="O319"/>
          <cell r="P319"/>
          <cell r="Q319"/>
          <cell r="R319"/>
          <cell r="S319"/>
          <cell r="T319"/>
          <cell r="U319"/>
          <cell r="V319"/>
          <cell r="W319"/>
          <cell r="X319"/>
          <cell r="Y319"/>
          <cell r="Z319"/>
          <cell r="AA319"/>
          <cell r="AB319"/>
          <cell r="AC319"/>
          <cell r="AD319"/>
          <cell r="AE319"/>
        </row>
        <row r="320">
          <cell r="G320"/>
          <cell r="H320"/>
          <cell r="I320"/>
          <cell r="J320"/>
          <cell r="K320"/>
          <cell r="L320"/>
          <cell r="M320"/>
          <cell r="N320"/>
          <cell r="O320"/>
          <cell r="P320"/>
          <cell r="Q320"/>
          <cell r="R320"/>
          <cell r="S320"/>
          <cell r="T320"/>
          <cell r="U320"/>
          <cell r="V320"/>
          <cell r="W320"/>
          <cell r="X320"/>
          <cell r="Y320"/>
          <cell r="Z320"/>
          <cell r="AA320"/>
          <cell r="AB320"/>
          <cell r="AC320"/>
          <cell r="AD320"/>
          <cell r="AE320"/>
        </row>
        <row r="321">
          <cell r="G321"/>
          <cell r="H321"/>
          <cell r="I321"/>
          <cell r="J321"/>
          <cell r="K321"/>
          <cell r="L321"/>
          <cell r="M321"/>
          <cell r="N321"/>
          <cell r="O321"/>
          <cell r="P321"/>
          <cell r="Q321"/>
          <cell r="R321"/>
          <cell r="S321"/>
          <cell r="T321"/>
          <cell r="U321"/>
          <cell r="V321"/>
          <cell r="W321"/>
          <cell r="X321"/>
          <cell r="Y321"/>
          <cell r="Z321"/>
          <cell r="AA321"/>
          <cell r="AB321"/>
          <cell r="AC321"/>
          <cell r="AD321"/>
          <cell r="AE321"/>
        </row>
        <row r="322">
          <cell r="G322"/>
          <cell r="H322"/>
          <cell r="I322"/>
          <cell r="J322"/>
          <cell r="K322"/>
          <cell r="L322"/>
          <cell r="M322"/>
          <cell r="N322"/>
          <cell r="O322"/>
          <cell r="P322"/>
          <cell r="Q322"/>
          <cell r="R322"/>
          <cell r="S322"/>
          <cell r="T322"/>
          <cell r="U322"/>
          <cell r="V322"/>
          <cell r="W322"/>
          <cell r="X322"/>
          <cell r="Y322"/>
          <cell r="Z322"/>
          <cell r="AA322"/>
          <cell r="AB322"/>
          <cell r="AC322"/>
          <cell r="AD322"/>
          <cell r="AE322"/>
        </row>
        <row r="323">
          <cell r="G323"/>
          <cell r="H323"/>
          <cell r="I323"/>
          <cell r="J323"/>
          <cell r="K323"/>
          <cell r="L323"/>
          <cell r="M323"/>
          <cell r="N323"/>
          <cell r="O323"/>
          <cell r="P323"/>
          <cell r="Q323"/>
          <cell r="R323"/>
          <cell r="S323"/>
          <cell r="T323"/>
          <cell r="U323"/>
          <cell r="V323"/>
          <cell r="W323"/>
          <cell r="X323"/>
          <cell r="Y323"/>
          <cell r="Z323"/>
          <cell r="AA323"/>
          <cell r="AB323"/>
          <cell r="AC323"/>
          <cell r="AD323"/>
          <cell r="AE323"/>
        </row>
        <row r="324">
          <cell r="G324"/>
          <cell r="H324"/>
          <cell r="I324"/>
          <cell r="J324"/>
          <cell r="K324"/>
          <cell r="L324"/>
          <cell r="M324"/>
          <cell r="N324"/>
          <cell r="O324"/>
          <cell r="P324"/>
          <cell r="Q324"/>
          <cell r="R324"/>
          <cell r="S324"/>
          <cell r="T324"/>
          <cell r="U324"/>
          <cell r="V324"/>
          <cell r="W324"/>
          <cell r="X324"/>
          <cell r="Y324"/>
          <cell r="Z324"/>
          <cell r="AA324"/>
          <cell r="AB324"/>
          <cell r="AC324"/>
          <cell r="AD324"/>
          <cell r="AE324"/>
        </row>
        <row r="325">
          <cell r="G325"/>
          <cell r="H325"/>
          <cell r="I325"/>
          <cell r="J325"/>
          <cell r="K325"/>
          <cell r="L325"/>
          <cell r="M325"/>
          <cell r="N325"/>
          <cell r="O325"/>
          <cell r="P325"/>
          <cell r="Q325"/>
          <cell r="R325"/>
          <cell r="S325"/>
          <cell r="T325"/>
          <cell r="U325"/>
          <cell r="V325"/>
          <cell r="W325"/>
          <cell r="X325"/>
          <cell r="Y325"/>
          <cell r="Z325"/>
          <cell r="AA325"/>
          <cell r="AB325"/>
          <cell r="AC325"/>
          <cell r="AD325"/>
          <cell r="AE325"/>
        </row>
        <row r="326">
          <cell r="G326"/>
          <cell r="H326"/>
          <cell r="I326"/>
          <cell r="J326"/>
          <cell r="K326"/>
          <cell r="L326"/>
          <cell r="M326"/>
          <cell r="N326"/>
          <cell r="O326"/>
          <cell r="P326"/>
          <cell r="Q326"/>
          <cell r="R326"/>
          <cell r="S326"/>
          <cell r="T326"/>
          <cell r="U326"/>
          <cell r="V326"/>
          <cell r="W326"/>
          <cell r="X326"/>
          <cell r="Y326"/>
          <cell r="Z326"/>
          <cell r="AA326"/>
          <cell r="AB326"/>
          <cell r="AC326"/>
          <cell r="AD326"/>
          <cell r="AE326"/>
        </row>
        <row r="327">
          <cell r="G327"/>
          <cell r="H327"/>
          <cell r="I327"/>
          <cell r="J327"/>
          <cell r="K327"/>
          <cell r="L327"/>
          <cell r="M327"/>
          <cell r="N327"/>
          <cell r="O327"/>
          <cell r="P327"/>
          <cell r="Q327"/>
          <cell r="R327"/>
          <cell r="S327"/>
          <cell r="T327"/>
          <cell r="U327"/>
          <cell r="V327"/>
          <cell r="W327"/>
          <cell r="X327"/>
          <cell r="Y327"/>
          <cell r="Z327"/>
          <cell r="AA327"/>
          <cell r="AB327"/>
          <cell r="AC327"/>
          <cell r="AD327"/>
          <cell r="AE327"/>
        </row>
        <row r="328">
          <cell r="G328"/>
          <cell r="H328"/>
          <cell r="I328"/>
          <cell r="J328"/>
          <cell r="K328"/>
          <cell r="L328"/>
          <cell r="M328"/>
          <cell r="N328"/>
          <cell r="O328"/>
          <cell r="P328"/>
          <cell r="Q328"/>
          <cell r="R328"/>
          <cell r="S328"/>
          <cell r="T328"/>
          <cell r="U328"/>
          <cell r="V328"/>
          <cell r="W328"/>
          <cell r="X328"/>
          <cell r="Y328"/>
          <cell r="Z328"/>
          <cell r="AA328"/>
          <cell r="AB328"/>
          <cell r="AC328"/>
          <cell r="AD328"/>
          <cell r="AE328"/>
        </row>
        <row r="329">
          <cell r="G329"/>
          <cell r="H329"/>
          <cell r="I329"/>
          <cell r="J329"/>
          <cell r="K329"/>
          <cell r="L329"/>
          <cell r="M329"/>
          <cell r="N329"/>
          <cell r="O329"/>
          <cell r="P329"/>
          <cell r="Q329"/>
          <cell r="R329"/>
          <cell r="S329"/>
          <cell r="T329"/>
          <cell r="U329"/>
          <cell r="V329"/>
          <cell r="W329"/>
          <cell r="X329"/>
          <cell r="Y329"/>
          <cell r="Z329"/>
          <cell r="AA329"/>
          <cell r="AB329"/>
          <cell r="AC329"/>
          <cell r="AD329"/>
          <cell r="AE329"/>
        </row>
        <row r="330">
          <cell r="G330"/>
          <cell r="H330"/>
          <cell r="I330"/>
          <cell r="J330"/>
          <cell r="K330"/>
          <cell r="L330"/>
          <cell r="M330"/>
          <cell r="N330"/>
          <cell r="O330"/>
          <cell r="P330"/>
          <cell r="Q330"/>
          <cell r="R330"/>
          <cell r="S330"/>
          <cell r="T330"/>
          <cell r="U330"/>
          <cell r="V330"/>
          <cell r="W330"/>
          <cell r="X330"/>
          <cell r="Y330"/>
          <cell r="Z330"/>
          <cell r="AA330"/>
          <cell r="AB330"/>
          <cell r="AC330"/>
          <cell r="AD330"/>
          <cell r="AE330"/>
        </row>
        <row r="331">
          <cell r="G331"/>
          <cell r="H331"/>
          <cell r="I331"/>
          <cell r="J331"/>
          <cell r="K331"/>
          <cell r="L331"/>
          <cell r="M331"/>
          <cell r="N331"/>
          <cell r="O331"/>
          <cell r="P331"/>
          <cell r="Q331"/>
          <cell r="R331"/>
          <cell r="S331"/>
          <cell r="T331"/>
          <cell r="U331"/>
          <cell r="V331"/>
          <cell r="W331"/>
          <cell r="X331"/>
          <cell r="Y331"/>
          <cell r="Z331"/>
          <cell r="AA331"/>
          <cell r="AB331"/>
          <cell r="AC331"/>
          <cell r="AD331"/>
          <cell r="AE331"/>
        </row>
        <row r="332">
          <cell r="G332"/>
          <cell r="H332"/>
          <cell r="I332"/>
          <cell r="J332"/>
          <cell r="K332"/>
          <cell r="L332"/>
          <cell r="M332"/>
          <cell r="N332"/>
          <cell r="O332"/>
          <cell r="P332"/>
          <cell r="Q332"/>
          <cell r="R332"/>
          <cell r="S332"/>
          <cell r="T332"/>
          <cell r="U332"/>
          <cell r="V332"/>
          <cell r="W332"/>
          <cell r="X332"/>
          <cell r="Y332"/>
          <cell r="Z332"/>
          <cell r="AA332"/>
          <cell r="AB332"/>
          <cell r="AC332"/>
          <cell r="AD332"/>
          <cell r="AE332"/>
        </row>
        <row r="333">
          <cell r="G333"/>
          <cell r="H333"/>
          <cell r="I333"/>
          <cell r="J333"/>
          <cell r="K333"/>
          <cell r="L333"/>
          <cell r="M333"/>
          <cell r="N333"/>
          <cell r="O333"/>
          <cell r="P333"/>
          <cell r="Q333"/>
          <cell r="R333"/>
          <cell r="S333"/>
          <cell r="T333"/>
          <cell r="U333"/>
          <cell r="V333"/>
          <cell r="W333"/>
          <cell r="X333"/>
          <cell r="Y333"/>
          <cell r="Z333"/>
          <cell r="AA333"/>
          <cell r="AB333"/>
          <cell r="AC333"/>
          <cell r="AD333"/>
          <cell r="AE333"/>
        </row>
        <row r="334">
          <cell r="G334"/>
          <cell r="H334"/>
          <cell r="I334"/>
          <cell r="J334"/>
          <cell r="K334"/>
          <cell r="L334"/>
          <cell r="M334"/>
          <cell r="N334"/>
          <cell r="O334"/>
          <cell r="P334"/>
          <cell r="Q334"/>
          <cell r="R334"/>
          <cell r="S334"/>
          <cell r="T334"/>
          <cell r="U334"/>
          <cell r="V334"/>
          <cell r="W334"/>
          <cell r="X334"/>
          <cell r="Y334"/>
          <cell r="Z334"/>
          <cell r="AA334"/>
          <cell r="AB334"/>
          <cell r="AC334"/>
          <cell r="AD334"/>
          <cell r="AE334"/>
        </row>
        <row r="335">
          <cell r="G335"/>
          <cell r="H335"/>
          <cell r="I335"/>
          <cell r="J335"/>
          <cell r="K335"/>
          <cell r="L335"/>
          <cell r="M335"/>
          <cell r="N335"/>
          <cell r="O335"/>
          <cell r="P335"/>
          <cell r="Q335"/>
          <cell r="R335"/>
          <cell r="S335"/>
          <cell r="T335"/>
          <cell r="U335"/>
          <cell r="V335"/>
          <cell r="W335"/>
          <cell r="X335"/>
          <cell r="Y335"/>
          <cell r="Z335"/>
          <cell r="AA335"/>
          <cell r="AB335"/>
          <cell r="AC335"/>
          <cell r="AD335"/>
          <cell r="AE335"/>
        </row>
        <row r="336">
          <cell r="G336"/>
          <cell r="H336"/>
          <cell r="I336"/>
          <cell r="J336"/>
          <cell r="K336"/>
          <cell r="L336"/>
          <cell r="M336"/>
          <cell r="N336"/>
          <cell r="O336"/>
          <cell r="P336"/>
          <cell r="Q336"/>
          <cell r="R336"/>
          <cell r="S336"/>
          <cell r="T336"/>
          <cell r="U336"/>
          <cell r="V336"/>
          <cell r="W336"/>
          <cell r="X336"/>
          <cell r="Y336"/>
          <cell r="Z336"/>
          <cell r="AA336"/>
          <cell r="AB336"/>
          <cell r="AC336"/>
          <cell r="AD336"/>
          <cell r="AE336"/>
        </row>
        <row r="337">
          <cell r="G337"/>
          <cell r="H337"/>
          <cell r="I337"/>
          <cell r="J337"/>
          <cell r="K337"/>
          <cell r="L337"/>
          <cell r="M337"/>
          <cell r="N337"/>
          <cell r="O337"/>
          <cell r="P337"/>
          <cell r="Q337"/>
          <cell r="R337"/>
          <cell r="S337"/>
          <cell r="T337"/>
          <cell r="U337"/>
          <cell r="V337"/>
          <cell r="W337"/>
          <cell r="X337"/>
          <cell r="Y337"/>
          <cell r="Z337"/>
          <cell r="AA337"/>
          <cell r="AB337"/>
          <cell r="AC337"/>
          <cell r="AD337"/>
          <cell r="AE337"/>
        </row>
        <row r="338">
          <cell r="G338"/>
          <cell r="H338"/>
          <cell r="I338"/>
          <cell r="J338"/>
          <cell r="K338"/>
          <cell r="L338"/>
          <cell r="M338"/>
          <cell r="N338"/>
          <cell r="O338"/>
          <cell r="P338"/>
          <cell r="Q338"/>
          <cell r="R338"/>
          <cell r="S338"/>
          <cell r="T338"/>
          <cell r="U338"/>
          <cell r="V338"/>
          <cell r="W338"/>
          <cell r="X338"/>
          <cell r="Y338"/>
          <cell r="Z338"/>
          <cell r="AA338"/>
          <cell r="AB338"/>
          <cell r="AC338"/>
          <cell r="AD338"/>
          <cell r="AE338"/>
        </row>
        <row r="339">
          <cell r="G339"/>
          <cell r="H339"/>
          <cell r="I339"/>
          <cell r="J339"/>
          <cell r="K339"/>
          <cell r="L339"/>
          <cell r="M339"/>
          <cell r="N339"/>
          <cell r="O339"/>
          <cell r="P339"/>
          <cell r="Q339"/>
          <cell r="R339"/>
          <cell r="S339"/>
          <cell r="T339"/>
          <cell r="U339"/>
          <cell r="V339"/>
          <cell r="W339"/>
          <cell r="X339"/>
          <cell r="Y339"/>
          <cell r="Z339"/>
          <cell r="AA339"/>
          <cell r="AB339"/>
          <cell r="AC339"/>
          <cell r="AD339"/>
          <cell r="AE339"/>
        </row>
        <row r="340">
          <cell r="G340"/>
          <cell r="H340"/>
          <cell r="I340"/>
          <cell r="J340"/>
          <cell r="K340"/>
          <cell r="L340"/>
          <cell r="M340"/>
          <cell r="N340"/>
          <cell r="O340"/>
          <cell r="P340"/>
          <cell r="Q340"/>
          <cell r="R340"/>
          <cell r="S340"/>
          <cell r="T340"/>
          <cell r="U340"/>
          <cell r="V340"/>
          <cell r="W340"/>
          <cell r="X340"/>
          <cell r="Y340"/>
          <cell r="Z340"/>
          <cell r="AA340"/>
          <cell r="AB340"/>
          <cell r="AC340"/>
          <cell r="AD340"/>
          <cell r="AE340"/>
        </row>
        <row r="341">
          <cell r="G341"/>
          <cell r="H341"/>
          <cell r="I341"/>
          <cell r="J341"/>
          <cell r="K341"/>
          <cell r="L341"/>
          <cell r="M341"/>
          <cell r="N341"/>
          <cell r="O341"/>
          <cell r="P341"/>
          <cell r="Q341"/>
          <cell r="R341"/>
          <cell r="S341"/>
          <cell r="T341"/>
          <cell r="U341"/>
          <cell r="V341"/>
          <cell r="W341"/>
          <cell r="X341"/>
          <cell r="Y341"/>
          <cell r="Z341"/>
          <cell r="AA341"/>
          <cell r="AB341"/>
          <cell r="AC341"/>
          <cell r="AD341"/>
          <cell r="AE341"/>
        </row>
        <row r="342">
          <cell r="G342"/>
          <cell r="H342"/>
          <cell r="I342"/>
          <cell r="J342"/>
          <cell r="K342"/>
          <cell r="L342"/>
          <cell r="M342"/>
          <cell r="N342"/>
          <cell r="O342"/>
          <cell r="P342"/>
          <cell r="Q342"/>
          <cell r="R342"/>
          <cell r="S342"/>
          <cell r="T342"/>
          <cell r="U342"/>
          <cell r="V342"/>
          <cell r="W342"/>
          <cell r="X342"/>
          <cell r="Y342"/>
          <cell r="Z342"/>
          <cell r="AA342"/>
          <cell r="AB342"/>
          <cell r="AC342"/>
          <cell r="AD342"/>
          <cell r="AE342"/>
        </row>
        <row r="343">
          <cell r="G343"/>
          <cell r="H343"/>
          <cell r="I343"/>
          <cell r="J343"/>
          <cell r="K343"/>
          <cell r="L343"/>
          <cell r="M343"/>
          <cell r="N343"/>
          <cell r="O343"/>
          <cell r="P343"/>
          <cell r="Q343"/>
          <cell r="R343"/>
          <cell r="S343"/>
          <cell r="T343"/>
          <cell r="U343"/>
          <cell r="V343"/>
          <cell r="W343"/>
          <cell r="X343"/>
          <cell r="Y343"/>
          <cell r="Z343"/>
          <cell r="AA343"/>
          <cell r="AB343"/>
          <cell r="AC343"/>
          <cell r="AD343"/>
          <cell r="AE343"/>
        </row>
        <row r="344">
          <cell r="G344"/>
          <cell r="H344"/>
          <cell r="I344"/>
          <cell r="J344"/>
          <cell r="K344"/>
          <cell r="L344"/>
          <cell r="M344"/>
          <cell r="N344"/>
          <cell r="O344"/>
          <cell r="P344"/>
          <cell r="Q344"/>
          <cell r="R344"/>
          <cell r="S344"/>
          <cell r="T344"/>
          <cell r="U344"/>
          <cell r="V344"/>
          <cell r="W344"/>
          <cell r="X344"/>
          <cell r="Y344"/>
          <cell r="Z344"/>
          <cell r="AA344"/>
          <cell r="AB344"/>
          <cell r="AC344"/>
          <cell r="AD344"/>
          <cell r="AE344"/>
        </row>
        <row r="345">
          <cell r="G345"/>
          <cell r="H345"/>
          <cell r="I345"/>
          <cell r="J345"/>
          <cell r="K345"/>
          <cell r="L345"/>
          <cell r="M345"/>
          <cell r="N345"/>
          <cell r="O345"/>
          <cell r="P345"/>
          <cell r="Q345"/>
          <cell r="R345"/>
          <cell r="S345"/>
          <cell r="T345"/>
          <cell r="U345"/>
          <cell r="V345"/>
          <cell r="W345"/>
          <cell r="X345"/>
          <cell r="Y345"/>
          <cell r="Z345"/>
          <cell r="AA345"/>
          <cell r="AB345"/>
          <cell r="AC345"/>
          <cell r="AD345"/>
          <cell r="AE345"/>
        </row>
        <row r="346">
          <cell r="G346"/>
          <cell r="H346"/>
          <cell r="I346"/>
          <cell r="J346"/>
          <cell r="K346"/>
          <cell r="L346"/>
          <cell r="M346"/>
          <cell r="N346"/>
          <cell r="O346"/>
          <cell r="P346"/>
          <cell r="Q346"/>
          <cell r="R346"/>
          <cell r="S346"/>
          <cell r="T346"/>
          <cell r="U346"/>
          <cell r="V346"/>
          <cell r="W346"/>
          <cell r="X346"/>
          <cell r="Y346"/>
          <cell r="Z346"/>
          <cell r="AA346"/>
          <cell r="AB346"/>
          <cell r="AC346"/>
          <cell r="AD346"/>
          <cell r="AE346"/>
        </row>
        <row r="347">
          <cell r="G347"/>
          <cell r="H347"/>
          <cell r="I347"/>
          <cell r="J347"/>
          <cell r="K347"/>
          <cell r="L347"/>
          <cell r="M347"/>
          <cell r="N347"/>
          <cell r="O347"/>
          <cell r="P347"/>
          <cell r="Q347"/>
          <cell r="R347"/>
          <cell r="S347"/>
          <cell r="T347"/>
          <cell r="U347"/>
          <cell r="V347"/>
          <cell r="W347"/>
          <cell r="X347"/>
          <cell r="Y347"/>
          <cell r="Z347"/>
          <cell r="AA347"/>
          <cell r="AB347"/>
          <cell r="AC347"/>
          <cell r="AD347"/>
          <cell r="AE347"/>
        </row>
        <row r="348">
          <cell r="G348"/>
          <cell r="H348"/>
          <cell r="I348"/>
          <cell r="J348"/>
          <cell r="K348"/>
          <cell r="L348"/>
          <cell r="M348"/>
          <cell r="N348"/>
          <cell r="O348"/>
          <cell r="P348"/>
          <cell r="Q348"/>
          <cell r="R348"/>
          <cell r="S348"/>
          <cell r="T348"/>
          <cell r="U348"/>
          <cell r="V348"/>
          <cell r="W348"/>
          <cell r="X348"/>
          <cell r="Y348"/>
          <cell r="Z348"/>
          <cell r="AA348"/>
          <cell r="AB348"/>
          <cell r="AC348"/>
          <cell r="AD348"/>
          <cell r="AE348"/>
        </row>
        <row r="349">
          <cell r="G349"/>
          <cell r="H349"/>
          <cell r="I349"/>
          <cell r="J349"/>
          <cell r="K349"/>
          <cell r="L349"/>
          <cell r="M349"/>
          <cell r="N349"/>
          <cell r="O349"/>
          <cell r="P349"/>
          <cell r="Q349"/>
          <cell r="R349"/>
          <cell r="S349"/>
          <cell r="T349"/>
          <cell r="U349"/>
          <cell r="V349"/>
          <cell r="W349"/>
          <cell r="X349"/>
          <cell r="Y349"/>
          <cell r="Z349"/>
          <cell r="AA349"/>
          <cell r="AB349"/>
          <cell r="AC349"/>
          <cell r="AD349"/>
          <cell r="AE349"/>
        </row>
        <row r="350">
          <cell r="G350"/>
          <cell r="H350"/>
          <cell r="I350"/>
          <cell r="J350"/>
          <cell r="K350"/>
          <cell r="L350"/>
          <cell r="M350"/>
          <cell r="N350"/>
          <cell r="O350"/>
          <cell r="P350"/>
          <cell r="Q350"/>
          <cell r="R350"/>
          <cell r="S350"/>
          <cell r="T350"/>
          <cell r="U350"/>
          <cell r="V350"/>
          <cell r="W350"/>
          <cell r="X350"/>
          <cell r="Y350"/>
          <cell r="Z350"/>
          <cell r="AA350"/>
          <cell r="AB350"/>
          <cell r="AC350"/>
          <cell r="AD350"/>
          <cell r="AE350"/>
        </row>
        <row r="351">
          <cell r="G351"/>
          <cell r="H351"/>
          <cell r="I351"/>
          <cell r="J351"/>
          <cell r="K351"/>
          <cell r="L351"/>
          <cell r="M351"/>
          <cell r="N351"/>
          <cell r="O351"/>
          <cell r="P351"/>
          <cell r="Q351"/>
          <cell r="R351"/>
          <cell r="S351"/>
          <cell r="T351"/>
          <cell r="U351"/>
          <cell r="V351"/>
          <cell r="W351"/>
          <cell r="X351"/>
          <cell r="Y351"/>
          <cell r="Z351"/>
          <cell r="AA351"/>
          <cell r="AB351"/>
          <cell r="AC351"/>
          <cell r="AD351"/>
          <cell r="AE351"/>
        </row>
        <row r="352">
          <cell r="G352"/>
          <cell r="H352"/>
          <cell r="I352"/>
          <cell r="J352"/>
          <cell r="K352"/>
          <cell r="L352"/>
          <cell r="M352"/>
          <cell r="N352"/>
          <cell r="O352"/>
          <cell r="P352"/>
          <cell r="Q352"/>
          <cell r="R352"/>
          <cell r="S352"/>
          <cell r="T352"/>
          <cell r="U352"/>
          <cell r="V352"/>
          <cell r="W352"/>
          <cell r="X352"/>
          <cell r="Y352"/>
          <cell r="Z352"/>
          <cell r="AA352"/>
          <cell r="AB352"/>
          <cell r="AC352"/>
          <cell r="AD352"/>
          <cell r="AE352"/>
        </row>
        <row r="353">
          <cell r="G353"/>
          <cell r="H353"/>
          <cell r="I353"/>
          <cell r="J353"/>
          <cell r="K353"/>
          <cell r="L353"/>
          <cell r="M353"/>
          <cell r="N353"/>
          <cell r="O353"/>
          <cell r="P353"/>
          <cell r="Q353"/>
          <cell r="R353"/>
          <cell r="S353"/>
          <cell r="T353"/>
          <cell r="U353"/>
          <cell r="V353"/>
          <cell r="W353"/>
          <cell r="X353"/>
          <cell r="Y353"/>
          <cell r="Z353"/>
          <cell r="AA353"/>
          <cell r="AB353"/>
          <cell r="AC353"/>
          <cell r="AD353"/>
          <cell r="AE353"/>
        </row>
        <row r="354">
          <cell r="G354"/>
          <cell r="H354"/>
          <cell r="I354"/>
          <cell r="J354"/>
          <cell r="K354"/>
          <cell r="L354"/>
          <cell r="M354"/>
          <cell r="N354"/>
          <cell r="O354"/>
          <cell r="P354"/>
          <cell r="Q354"/>
          <cell r="R354"/>
          <cell r="S354"/>
          <cell r="T354"/>
          <cell r="U354"/>
          <cell r="V354"/>
          <cell r="W354"/>
          <cell r="X354"/>
          <cell r="Y354"/>
          <cell r="Z354"/>
          <cell r="AA354"/>
          <cell r="AB354"/>
          <cell r="AC354"/>
          <cell r="AD354"/>
          <cell r="AE354"/>
        </row>
        <row r="355">
          <cell r="G355"/>
          <cell r="H355"/>
          <cell r="I355"/>
          <cell r="J355"/>
          <cell r="K355"/>
          <cell r="L355"/>
          <cell r="M355"/>
          <cell r="N355"/>
          <cell r="O355"/>
          <cell r="P355"/>
          <cell r="Q355"/>
          <cell r="R355"/>
          <cell r="S355"/>
          <cell r="T355"/>
          <cell r="U355"/>
          <cell r="V355"/>
          <cell r="W355"/>
          <cell r="X355"/>
          <cell r="Y355"/>
          <cell r="Z355"/>
          <cell r="AA355"/>
          <cell r="AB355"/>
          <cell r="AC355"/>
          <cell r="AD355"/>
          <cell r="AE355"/>
        </row>
        <row r="356">
          <cell r="G356"/>
          <cell r="H356"/>
          <cell r="I356"/>
          <cell r="J356"/>
          <cell r="K356"/>
          <cell r="L356"/>
          <cell r="M356"/>
          <cell r="N356"/>
          <cell r="O356"/>
          <cell r="P356"/>
          <cell r="Q356"/>
          <cell r="R356"/>
          <cell r="S356"/>
          <cell r="T356"/>
          <cell r="U356"/>
          <cell r="V356"/>
          <cell r="W356"/>
          <cell r="X356"/>
          <cell r="Y356"/>
          <cell r="Z356"/>
          <cell r="AA356"/>
          <cell r="AB356"/>
          <cell r="AC356"/>
          <cell r="AD356"/>
          <cell r="AE356"/>
        </row>
        <row r="357">
          <cell r="G357"/>
          <cell r="H357"/>
          <cell r="I357"/>
          <cell r="J357"/>
          <cell r="K357"/>
          <cell r="L357"/>
          <cell r="M357"/>
          <cell r="N357"/>
          <cell r="O357"/>
          <cell r="P357"/>
          <cell r="Q357"/>
          <cell r="R357"/>
          <cell r="S357"/>
          <cell r="T357"/>
          <cell r="U357"/>
          <cell r="V357"/>
          <cell r="W357"/>
          <cell r="X357"/>
          <cell r="Y357"/>
          <cell r="Z357"/>
          <cell r="AA357"/>
          <cell r="AB357"/>
          <cell r="AC357"/>
          <cell r="AD357"/>
          <cell r="AE357"/>
        </row>
        <row r="358">
          <cell r="G358"/>
          <cell r="H358"/>
          <cell r="I358"/>
          <cell r="J358"/>
          <cell r="K358"/>
          <cell r="L358"/>
          <cell r="M358"/>
          <cell r="N358"/>
          <cell r="O358"/>
          <cell r="P358"/>
          <cell r="Q358"/>
          <cell r="R358"/>
          <cell r="S358"/>
          <cell r="T358"/>
          <cell r="U358"/>
          <cell r="V358"/>
          <cell r="W358"/>
          <cell r="X358"/>
          <cell r="Y358"/>
          <cell r="Z358"/>
          <cell r="AA358"/>
          <cell r="AB358"/>
          <cell r="AC358"/>
          <cell r="AD358"/>
          <cell r="AE358"/>
        </row>
        <row r="359">
          <cell r="G359"/>
          <cell r="H359"/>
          <cell r="I359"/>
          <cell r="J359"/>
          <cell r="K359"/>
          <cell r="L359"/>
          <cell r="M359"/>
          <cell r="N359"/>
          <cell r="O359"/>
          <cell r="P359"/>
          <cell r="Q359"/>
          <cell r="R359"/>
          <cell r="S359"/>
          <cell r="T359"/>
          <cell r="U359"/>
          <cell r="V359"/>
          <cell r="W359"/>
          <cell r="X359"/>
          <cell r="Y359"/>
          <cell r="Z359"/>
          <cell r="AA359"/>
          <cell r="AB359"/>
          <cell r="AC359"/>
          <cell r="AD359"/>
          <cell r="AE359"/>
        </row>
        <row r="360">
          <cell r="G360"/>
          <cell r="H360"/>
          <cell r="I360"/>
          <cell r="J360"/>
          <cell r="K360"/>
          <cell r="L360"/>
          <cell r="M360"/>
          <cell r="N360"/>
          <cell r="O360"/>
          <cell r="P360"/>
          <cell r="Q360"/>
          <cell r="R360"/>
          <cell r="S360"/>
          <cell r="T360"/>
          <cell r="U360"/>
          <cell r="V360"/>
          <cell r="W360"/>
          <cell r="X360"/>
          <cell r="Y360"/>
          <cell r="Z360"/>
          <cell r="AA360"/>
          <cell r="AB360"/>
          <cell r="AC360"/>
          <cell r="AD360"/>
          <cell r="AE360"/>
        </row>
        <row r="361">
          <cell r="G361"/>
          <cell r="H361"/>
          <cell r="I361"/>
          <cell r="J361"/>
          <cell r="K361"/>
          <cell r="L361"/>
          <cell r="M361"/>
          <cell r="N361"/>
          <cell r="O361"/>
          <cell r="P361"/>
          <cell r="Q361"/>
          <cell r="R361"/>
          <cell r="S361"/>
          <cell r="T361"/>
          <cell r="U361"/>
          <cell r="V361"/>
          <cell r="W361"/>
          <cell r="X361"/>
          <cell r="Y361"/>
          <cell r="Z361"/>
          <cell r="AA361"/>
          <cell r="AB361"/>
          <cell r="AC361"/>
          <cell r="AD361"/>
          <cell r="AE361"/>
        </row>
        <row r="362">
          <cell r="G362"/>
          <cell r="H362"/>
          <cell r="I362"/>
          <cell r="J362"/>
          <cell r="K362"/>
          <cell r="L362"/>
          <cell r="M362"/>
          <cell r="N362"/>
          <cell r="O362"/>
          <cell r="P362"/>
          <cell r="Q362"/>
          <cell r="R362"/>
          <cell r="S362"/>
          <cell r="T362"/>
          <cell r="U362"/>
          <cell r="V362"/>
          <cell r="W362"/>
          <cell r="X362"/>
          <cell r="Y362"/>
          <cell r="Z362"/>
          <cell r="AA362"/>
          <cell r="AB362"/>
          <cell r="AC362"/>
          <cell r="AD362"/>
          <cell r="AE362"/>
        </row>
        <row r="363">
          <cell r="G363"/>
          <cell r="H363"/>
          <cell r="I363"/>
          <cell r="J363"/>
          <cell r="K363"/>
          <cell r="L363"/>
          <cell r="M363"/>
          <cell r="N363"/>
          <cell r="O363"/>
          <cell r="P363"/>
          <cell r="Q363"/>
          <cell r="R363"/>
          <cell r="S363"/>
          <cell r="T363"/>
          <cell r="U363"/>
          <cell r="V363"/>
          <cell r="W363"/>
          <cell r="X363"/>
          <cell r="Y363"/>
          <cell r="Z363"/>
          <cell r="AA363"/>
          <cell r="AB363"/>
          <cell r="AC363"/>
          <cell r="AD363"/>
          <cell r="AE363"/>
        </row>
        <row r="364">
          <cell r="G364"/>
          <cell r="H364"/>
          <cell r="I364"/>
          <cell r="J364"/>
          <cell r="K364"/>
          <cell r="L364"/>
          <cell r="M364"/>
          <cell r="N364"/>
          <cell r="O364"/>
          <cell r="P364"/>
          <cell r="Q364"/>
          <cell r="R364"/>
          <cell r="S364"/>
          <cell r="T364"/>
          <cell r="U364"/>
          <cell r="V364"/>
          <cell r="W364"/>
          <cell r="X364"/>
          <cell r="Y364"/>
          <cell r="Z364"/>
          <cell r="AA364"/>
          <cell r="AB364"/>
          <cell r="AC364"/>
          <cell r="AD364"/>
          <cell r="AE364"/>
        </row>
        <row r="365">
          <cell r="G365"/>
          <cell r="H365"/>
          <cell r="I365"/>
          <cell r="J365"/>
          <cell r="K365"/>
          <cell r="L365"/>
          <cell r="M365"/>
          <cell r="N365"/>
          <cell r="O365"/>
          <cell r="P365"/>
          <cell r="Q365"/>
          <cell r="R365"/>
          <cell r="S365"/>
          <cell r="T365"/>
          <cell r="U365"/>
          <cell r="V365"/>
          <cell r="W365"/>
          <cell r="X365"/>
          <cell r="Y365"/>
          <cell r="Z365"/>
          <cell r="AA365"/>
          <cell r="AB365"/>
          <cell r="AC365"/>
          <cell r="AD365"/>
          <cell r="AE365"/>
        </row>
        <row r="366">
          <cell r="G366"/>
          <cell r="H366"/>
          <cell r="I366"/>
          <cell r="J366"/>
          <cell r="K366"/>
          <cell r="L366"/>
          <cell r="M366"/>
          <cell r="N366"/>
          <cell r="O366"/>
          <cell r="P366"/>
          <cell r="Q366"/>
          <cell r="R366"/>
          <cell r="S366"/>
          <cell r="T366"/>
          <cell r="U366"/>
          <cell r="V366"/>
          <cell r="W366"/>
          <cell r="X366"/>
          <cell r="Y366"/>
          <cell r="Z366"/>
          <cell r="AA366"/>
          <cell r="AB366"/>
          <cell r="AC366"/>
          <cell r="AD366"/>
          <cell r="AE366"/>
        </row>
        <row r="367">
          <cell r="G367"/>
          <cell r="H367"/>
          <cell r="I367"/>
          <cell r="J367"/>
          <cell r="K367"/>
          <cell r="L367"/>
          <cell r="M367"/>
          <cell r="N367"/>
          <cell r="O367"/>
          <cell r="P367"/>
          <cell r="Q367"/>
          <cell r="R367"/>
          <cell r="S367"/>
          <cell r="T367"/>
          <cell r="U367"/>
          <cell r="V367"/>
          <cell r="W367"/>
          <cell r="X367"/>
          <cell r="Y367"/>
          <cell r="Z367"/>
          <cell r="AA367"/>
          <cell r="AB367"/>
          <cell r="AC367"/>
          <cell r="AD367"/>
          <cell r="AE367"/>
        </row>
        <row r="368">
          <cell r="G368"/>
          <cell r="H368"/>
          <cell r="I368"/>
          <cell r="J368"/>
          <cell r="K368"/>
          <cell r="L368"/>
          <cell r="M368"/>
          <cell r="N368"/>
          <cell r="O368"/>
          <cell r="P368"/>
          <cell r="Q368"/>
          <cell r="R368"/>
          <cell r="S368"/>
          <cell r="T368"/>
          <cell r="U368"/>
          <cell r="V368"/>
          <cell r="W368"/>
          <cell r="X368"/>
          <cell r="Y368"/>
          <cell r="Z368"/>
          <cell r="AA368"/>
          <cell r="AB368"/>
          <cell r="AC368"/>
          <cell r="AD368"/>
          <cell r="AE368"/>
        </row>
        <row r="369">
          <cell r="G369"/>
          <cell r="H369"/>
          <cell r="I369"/>
          <cell r="J369"/>
          <cell r="K369"/>
          <cell r="L369"/>
          <cell r="M369"/>
          <cell r="N369"/>
          <cell r="O369"/>
          <cell r="P369"/>
          <cell r="Q369"/>
          <cell r="R369"/>
          <cell r="S369"/>
          <cell r="T369"/>
          <cell r="U369"/>
          <cell r="V369"/>
          <cell r="W369"/>
          <cell r="X369"/>
          <cell r="Y369"/>
          <cell r="Z369"/>
          <cell r="AA369"/>
          <cell r="AB369"/>
          <cell r="AC369"/>
          <cell r="AD369"/>
          <cell r="AE369"/>
        </row>
        <row r="370">
          <cell r="G370"/>
          <cell r="H370"/>
          <cell r="I370"/>
          <cell r="J370"/>
          <cell r="K370"/>
          <cell r="L370"/>
          <cell r="M370"/>
          <cell r="N370"/>
          <cell r="O370"/>
          <cell r="P370"/>
          <cell r="Q370"/>
          <cell r="R370"/>
          <cell r="S370"/>
          <cell r="T370"/>
          <cell r="U370"/>
          <cell r="V370"/>
          <cell r="W370"/>
          <cell r="X370"/>
          <cell r="Y370"/>
          <cell r="Z370"/>
          <cell r="AA370"/>
          <cell r="AB370"/>
          <cell r="AC370"/>
          <cell r="AD370"/>
          <cell r="AE370"/>
        </row>
        <row r="371">
          <cell r="G371"/>
          <cell r="H371"/>
          <cell r="I371"/>
          <cell r="J371"/>
          <cell r="K371"/>
          <cell r="L371"/>
          <cell r="M371"/>
          <cell r="N371"/>
          <cell r="O371"/>
          <cell r="P371"/>
          <cell r="Q371"/>
          <cell r="R371"/>
          <cell r="S371"/>
          <cell r="T371"/>
          <cell r="U371"/>
          <cell r="V371"/>
          <cell r="W371"/>
          <cell r="X371"/>
          <cell r="Y371"/>
          <cell r="Z371"/>
          <cell r="AA371"/>
          <cell r="AB371"/>
          <cell r="AC371"/>
          <cell r="AD371"/>
          <cell r="AE371"/>
        </row>
        <row r="372">
          <cell r="G372"/>
          <cell r="H372"/>
          <cell r="I372"/>
          <cell r="J372"/>
          <cell r="K372"/>
          <cell r="L372"/>
          <cell r="M372"/>
          <cell r="N372"/>
          <cell r="O372"/>
          <cell r="P372"/>
          <cell r="Q372"/>
          <cell r="R372"/>
          <cell r="S372"/>
          <cell r="T372"/>
          <cell r="U372"/>
          <cell r="V372"/>
          <cell r="W372"/>
          <cell r="X372"/>
          <cell r="Y372"/>
          <cell r="Z372"/>
          <cell r="AA372"/>
          <cell r="AB372"/>
          <cell r="AC372"/>
          <cell r="AD372"/>
          <cell r="AE372"/>
        </row>
        <row r="373">
          <cell r="G373"/>
          <cell r="H373"/>
          <cell r="I373"/>
          <cell r="J373"/>
          <cell r="K373"/>
          <cell r="L373"/>
          <cell r="M373"/>
          <cell r="N373"/>
          <cell r="O373"/>
          <cell r="P373"/>
          <cell r="Q373"/>
          <cell r="R373"/>
          <cell r="S373"/>
          <cell r="T373"/>
          <cell r="U373"/>
          <cell r="V373"/>
          <cell r="W373"/>
          <cell r="X373"/>
          <cell r="Y373"/>
          <cell r="Z373"/>
          <cell r="AA373"/>
          <cell r="AB373"/>
          <cell r="AC373"/>
          <cell r="AD373"/>
          <cell r="AE373"/>
        </row>
        <row r="374">
          <cell r="G374"/>
          <cell r="H374"/>
          <cell r="I374"/>
          <cell r="J374"/>
          <cell r="K374"/>
          <cell r="L374"/>
          <cell r="M374"/>
          <cell r="N374"/>
          <cell r="O374"/>
          <cell r="P374"/>
          <cell r="Q374"/>
          <cell r="R374"/>
          <cell r="S374"/>
          <cell r="T374"/>
          <cell r="U374"/>
          <cell r="V374"/>
          <cell r="W374"/>
          <cell r="X374"/>
          <cell r="Y374"/>
          <cell r="Z374"/>
          <cell r="AA374"/>
          <cell r="AB374"/>
          <cell r="AC374"/>
          <cell r="AD374"/>
          <cell r="AE374"/>
        </row>
        <row r="375">
          <cell r="G375"/>
          <cell r="H375"/>
          <cell r="I375"/>
          <cell r="J375"/>
          <cell r="K375"/>
          <cell r="L375"/>
          <cell r="M375"/>
          <cell r="N375"/>
          <cell r="O375"/>
          <cell r="P375"/>
          <cell r="Q375"/>
          <cell r="R375"/>
          <cell r="S375"/>
          <cell r="T375"/>
          <cell r="U375"/>
          <cell r="V375"/>
          <cell r="W375"/>
          <cell r="X375"/>
          <cell r="Y375"/>
          <cell r="Z375"/>
          <cell r="AA375"/>
          <cell r="AB375"/>
          <cell r="AC375"/>
          <cell r="AD375"/>
          <cell r="AE375"/>
        </row>
        <row r="376">
          <cell r="G376"/>
          <cell r="H376"/>
          <cell r="I376"/>
          <cell r="J376"/>
          <cell r="K376"/>
          <cell r="L376"/>
          <cell r="M376"/>
          <cell r="N376"/>
          <cell r="O376"/>
          <cell r="P376"/>
          <cell r="Q376"/>
          <cell r="R376"/>
          <cell r="S376"/>
          <cell r="T376"/>
          <cell r="U376"/>
          <cell r="V376"/>
          <cell r="W376"/>
          <cell r="X376"/>
          <cell r="Y376"/>
          <cell r="Z376"/>
          <cell r="AA376"/>
          <cell r="AB376"/>
          <cell r="AC376"/>
          <cell r="AD376"/>
          <cell r="AE376"/>
        </row>
        <row r="377">
          <cell r="G377"/>
          <cell r="H377"/>
          <cell r="I377"/>
          <cell r="J377"/>
          <cell r="K377"/>
          <cell r="L377"/>
          <cell r="M377"/>
          <cell r="N377"/>
          <cell r="O377"/>
          <cell r="P377"/>
          <cell r="Q377"/>
          <cell r="R377"/>
          <cell r="S377"/>
          <cell r="T377"/>
          <cell r="U377"/>
          <cell r="V377"/>
          <cell r="W377"/>
          <cell r="X377"/>
          <cell r="Y377"/>
          <cell r="Z377"/>
          <cell r="AA377"/>
          <cell r="AB377"/>
          <cell r="AC377"/>
          <cell r="AD377"/>
          <cell r="AE377"/>
        </row>
        <row r="378">
          <cell r="G378"/>
          <cell r="H378"/>
          <cell r="I378"/>
          <cell r="J378"/>
          <cell r="K378"/>
          <cell r="L378"/>
          <cell r="M378"/>
          <cell r="N378"/>
          <cell r="O378"/>
          <cell r="P378"/>
          <cell r="Q378"/>
          <cell r="R378"/>
          <cell r="S378"/>
          <cell r="T378"/>
          <cell r="U378"/>
          <cell r="V378"/>
          <cell r="W378"/>
          <cell r="X378"/>
          <cell r="Y378"/>
          <cell r="Z378"/>
          <cell r="AA378"/>
          <cell r="AB378"/>
          <cell r="AC378"/>
          <cell r="AD378"/>
          <cell r="AE378"/>
        </row>
        <row r="379">
          <cell r="G379"/>
          <cell r="H379"/>
          <cell r="I379"/>
          <cell r="J379"/>
          <cell r="K379"/>
          <cell r="L379"/>
          <cell r="M379"/>
          <cell r="N379"/>
          <cell r="O379"/>
          <cell r="P379"/>
          <cell r="Q379"/>
          <cell r="R379"/>
          <cell r="S379"/>
          <cell r="T379"/>
          <cell r="U379"/>
          <cell r="V379"/>
          <cell r="W379"/>
          <cell r="X379"/>
          <cell r="Y379"/>
          <cell r="Z379"/>
          <cell r="AA379"/>
          <cell r="AB379"/>
          <cell r="AC379"/>
          <cell r="AD379"/>
          <cell r="AE379"/>
        </row>
        <row r="380">
          <cell r="G380"/>
          <cell r="H380"/>
          <cell r="I380"/>
          <cell r="J380"/>
          <cell r="K380"/>
          <cell r="L380"/>
          <cell r="M380"/>
          <cell r="N380"/>
          <cell r="O380"/>
          <cell r="P380"/>
          <cell r="Q380"/>
          <cell r="R380"/>
          <cell r="S380"/>
          <cell r="T380"/>
          <cell r="U380"/>
          <cell r="V380"/>
          <cell r="W380"/>
          <cell r="X380"/>
          <cell r="Y380"/>
          <cell r="Z380"/>
          <cell r="AA380"/>
          <cell r="AB380"/>
          <cell r="AC380"/>
          <cell r="AD380"/>
          <cell r="AE380"/>
        </row>
        <row r="381">
          <cell r="G381"/>
          <cell r="H381"/>
          <cell r="I381"/>
          <cell r="J381"/>
          <cell r="K381"/>
          <cell r="L381"/>
          <cell r="M381"/>
          <cell r="N381"/>
          <cell r="O381"/>
          <cell r="P381"/>
          <cell r="Q381"/>
          <cell r="R381"/>
          <cell r="S381"/>
          <cell r="T381"/>
          <cell r="U381"/>
          <cell r="V381"/>
          <cell r="W381"/>
          <cell r="X381"/>
          <cell r="Y381"/>
          <cell r="Z381"/>
          <cell r="AA381"/>
          <cell r="AB381"/>
          <cell r="AC381"/>
          <cell r="AD381"/>
          <cell r="AE381"/>
        </row>
        <row r="382">
          <cell r="G382"/>
          <cell r="H382"/>
          <cell r="I382"/>
          <cell r="J382"/>
          <cell r="K382"/>
          <cell r="L382"/>
          <cell r="M382"/>
          <cell r="N382"/>
          <cell r="O382"/>
          <cell r="P382"/>
          <cell r="Q382"/>
          <cell r="R382"/>
          <cell r="S382"/>
          <cell r="T382"/>
          <cell r="U382"/>
          <cell r="V382"/>
          <cell r="W382"/>
          <cell r="X382"/>
          <cell r="Y382"/>
          <cell r="Z382"/>
          <cell r="AA382"/>
          <cell r="AB382"/>
          <cell r="AC382"/>
          <cell r="AD382"/>
          <cell r="AE382"/>
        </row>
        <row r="383">
          <cell r="G383"/>
          <cell r="H383"/>
          <cell r="I383"/>
          <cell r="J383"/>
          <cell r="K383"/>
          <cell r="L383"/>
          <cell r="M383"/>
          <cell r="N383"/>
          <cell r="O383"/>
          <cell r="P383"/>
          <cell r="Q383"/>
          <cell r="R383"/>
          <cell r="S383"/>
          <cell r="T383"/>
          <cell r="U383"/>
          <cell r="V383"/>
          <cell r="W383"/>
          <cell r="X383"/>
          <cell r="Y383"/>
          <cell r="Z383"/>
          <cell r="AA383"/>
          <cell r="AB383"/>
          <cell r="AC383"/>
          <cell r="AD383"/>
          <cell r="AE383"/>
        </row>
        <row r="384">
          <cell r="G384"/>
          <cell r="H384"/>
          <cell r="I384"/>
          <cell r="J384"/>
          <cell r="K384"/>
          <cell r="L384"/>
          <cell r="M384"/>
          <cell r="N384"/>
          <cell r="O384"/>
          <cell r="P384"/>
          <cell r="Q384"/>
          <cell r="R384"/>
          <cell r="S384"/>
          <cell r="T384"/>
          <cell r="U384"/>
          <cell r="V384"/>
          <cell r="W384"/>
          <cell r="X384"/>
          <cell r="Y384"/>
          <cell r="Z384"/>
          <cell r="AA384"/>
          <cell r="AB384"/>
          <cell r="AC384"/>
          <cell r="AD384"/>
          <cell r="AE384"/>
        </row>
        <row r="385">
          <cell r="G385"/>
          <cell r="H385"/>
          <cell r="I385"/>
          <cell r="J385"/>
          <cell r="K385"/>
          <cell r="L385"/>
          <cell r="M385"/>
          <cell r="N385"/>
          <cell r="O385"/>
          <cell r="P385"/>
          <cell r="Q385"/>
          <cell r="R385"/>
          <cell r="S385"/>
          <cell r="T385"/>
          <cell r="U385"/>
          <cell r="V385"/>
          <cell r="W385"/>
          <cell r="X385"/>
          <cell r="Y385"/>
          <cell r="Z385"/>
          <cell r="AA385"/>
          <cell r="AB385"/>
          <cell r="AC385"/>
          <cell r="AD385"/>
          <cell r="AE385"/>
        </row>
        <row r="386">
          <cell r="G386"/>
          <cell r="H386"/>
          <cell r="I386"/>
          <cell r="J386"/>
          <cell r="K386"/>
          <cell r="L386"/>
          <cell r="M386"/>
          <cell r="N386"/>
          <cell r="O386"/>
          <cell r="P386"/>
          <cell r="Q386"/>
          <cell r="R386"/>
          <cell r="S386"/>
          <cell r="T386"/>
          <cell r="U386"/>
          <cell r="V386"/>
          <cell r="W386"/>
          <cell r="X386"/>
          <cell r="Y386"/>
          <cell r="Z386"/>
          <cell r="AA386"/>
          <cell r="AB386"/>
          <cell r="AC386"/>
          <cell r="AD386"/>
          <cell r="AE386"/>
        </row>
        <row r="387">
          <cell r="G387"/>
          <cell r="H387"/>
          <cell r="I387"/>
          <cell r="J387"/>
          <cell r="K387"/>
          <cell r="L387"/>
          <cell r="M387"/>
          <cell r="N387"/>
          <cell r="O387"/>
          <cell r="P387"/>
          <cell r="Q387"/>
          <cell r="R387"/>
          <cell r="S387"/>
          <cell r="T387"/>
          <cell r="U387"/>
          <cell r="V387"/>
          <cell r="W387"/>
          <cell r="X387"/>
          <cell r="Y387"/>
          <cell r="Z387"/>
          <cell r="AA387"/>
          <cell r="AB387"/>
          <cell r="AC387"/>
          <cell r="AD387"/>
          <cell r="AE387"/>
        </row>
        <row r="388">
          <cell r="G388"/>
          <cell r="H388"/>
          <cell r="I388"/>
          <cell r="J388"/>
          <cell r="K388"/>
          <cell r="L388"/>
          <cell r="M388"/>
          <cell r="N388"/>
          <cell r="O388"/>
          <cell r="P388"/>
          <cell r="Q388"/>
          <cell r="R388"/>
          <cell r="S388"/>
          <cell r="T388"/>
          <cell r="U388"/>
          <cell r="V388"/>
          <cell r="W388"/>
          <cell r="X388"/>
          <cell r="Y388"/>
          <cell r="Z388"/>
          <cell r="AA388"/>
          <cell r="AB388"/>
          <cell r="AC388"/>
          <cell r="AD388"/>
          <cell r="AE388"/>
        </row>
        <row r="389">
          <cell r="G389"/>
          <cell r="H389"/>
          <cell r="I389"/>
          <cell r="J389"/>
          <cell r="K389"/>
          <cell r="L389"/>
          <cell r="M389"/>
          <cell r="N389"/>
          <cell r="O389"/>
          <cell r="P389"/>
          <cell r="Q389"/>
          <cell r="R389"/>
          <cell r="S389"/>
          <cell r="T389"/>
          <cell r="U389"/>
          <cell r="V389"/>
          <cell r="W389"/>
          <cell r="X389"/>
          <cell r="Y389"/>
          <cell r="Z389"/>
          <cell r="AA389"/>
          <cell r="AB389"/>
          <cell r="AC389"/>
          <cell r="AD389"/>
          <cell r="AE389"/>
        </row>
        <row r="390">
          <cell r="G390"/>
          <cell r="H390"/>
          <cell r="I390"/>
          <cell r="J390"/>
          <cell r="K390"/>
          <cell r="L390"/>
          <cell r="M390"/>
          <cell r="N390"/>
          <cell r="O390"/>
          <cell r="P390"/>
          <cell r="Q390"/>
          <cell r="R390"/>
          <cell r="S390"/>
          <cell r="T390"/>
          <cell r="U390"/>
          <cell r="V390"/>
          <cell r="W390"/>
          <cell r="X390"/>
          <cell r="Y390"/>
          <cell r="Z390"/>
          <cell r="AA390"/>
          <cell r="AB390"/>
          <cell r="AC390"/>
          <cell r="AD390"/>
          <cell r="AE390"/>
        </row>
        <row r="391">
          <cell r="G391"/>
          <cell r="H391"/>
          <cell r="I391"/>
          <cell r="J391"/>
          <cell r="K391"/>
          <cell r="L391"/>
          <cell r="M391"/>
          <cell r="N391"/>
          <cell r="O391"/>
          <cell r="P391"/>
          <cell r="Q391"/>
          <cell r="R391"/>
          <cell r="S391"/>
          <cell r="T391"/>
          <cell r="U391"/>
          <cell r="V391"/>
          <cell r="W391"/>
          <cell r="X391"/>
          <cell r="Y391"/>
          <cell r="Z391"/>
          <cell r="AA391"/>
          <cell r="AB391"/>
          <cell r="AC391"/>
          <cell r="AD391"/>
          <cell r="AE391"/>
        </row>
        <row r="392">
          <cell r="G392"/>
          <cell r="H392"/>
          <cell r="I392"/>
          <cell r="J392"/>
          <cell r="K392"/>
          <cell r="L392"/>
          <cell r="M392"/>
          <cell r="N392"/>
          <cell r="O392"/>
          <cell r="P392"/>
          <cell r="Q392"/>
          <cell r="R392"/>
          <cell r="S392"/>
          <cell r="T392"/>
          <cell r="U392"/>
          <cell r="V392"/>
          <cell r="W392"/>
          <cell r="X392"/>
          <cell r="Y392"/>
          <cell r="Z392"/>
          <cell r="AA392"/>
          <cell r="AB392"/>
          <cell r="AC392"/>
          <cell r="AD392"/>
          <cell r="AE392"/>
        </row>
        <row r="393">
          <cell r="G393"/>
          <cell r="H393"/>
          <cell r="I393"/>
          <cell r="J393"/>
          <cell r="K393"/>
          <cell r="L393"/>
          <cell r="M393"/>
          <cell r="N393"/>
          <cell r="O393"/>
          <cell r="P393"/>
          <cell r="Q393"/>
          <cell r="R393"/>
          <cell r="S393"/>
          <cell r="T393"/>
          <cell r="U393"/>
          <cell r="V393"/>
          <cell r="W393"/>
          <cell r="X393"/>
          <cell r="Y393"/>
          <cell r="Z393"/>
          <cell r="AA393"/>
          <cell r="AB393"/>
          <cell r="AC393"/>
          <cell r="AD393"/>
          <cell r="AE393"/>
        </row>
        <row r="394">
          <cell r="G394"/>
          <cell r="H394"/>
          <cell r="I394"/>
          <cell r="J394"/>
          <cell r="K394"/>
          <cell r="L394"/>
          <cell r="M394"/>
          <cell r="N394"/>
          <cell r="O394"/>
          <cell r="P394"/>
          <cell r="Q394"/>
          <cell r="R394"/>
          <cell r="S394"/>
          <cell r="T394"/>
          <cell r="U394"/>
          <cell r="V394"/>
          <cell r="W394"/>
          <cell r="X394"/>
          <cell r="Y394"/>
          <cell r="Z394"/>
          <cell r="AA394"/>
          <cell r="AB394"/>
          <cell r="AC394"/>
          <cell r="AD394"/>
          <cell r="AE394"/>
        </row>
        <row r="395">
          <cell r="G395"/>
          <cell r="H395"/>
          <cell r="I395"/>
          <cell r="J395"/>
          <cell r="K395"/>
          <cell r="L395"/>
          <cell r="M395"/>
          <cell r="N395"/>
          <cell r="O395"/>
          <cell r="P395"/>
          <cell r="Q395"/>
          <cell r="R395"/>
          <cell r="S395"/>
          <cell r="T395"/>
          <cell r="U395"/>
          <cell r="V395"/>
          <cell r="W395"/>
          <cell r="X395"/>
          <cell r="Y395"/>
          <cell r="Z395"/>
          <cell r="AA395"/>
          <cell r="AB395"/>
          <cell r="AC395"/>
          <cell r="AD395"/>
          <cell r="AE395"/>
        </row>
        <row r="396">
          <cell r="G396"/>
          <cell r="H396"/>
          <cell r="I396"/>
          <cell r="J396"/>
          <cell r="K396"/>
          <cell r="L396"/>
          <cell r="M396"/>
          <cell r="N396"/>
          <cell r="O396"/>
          <cell r="P396"/>
          <cell r="Q396"/>
          <cell r="R396"/>
          <cell r="S396"/>
          <cell r="T396"/>
          <cell r="U396"/>
          <cell r="V396"/>
          <cell r="W396"/>
          <cell r="X396"/>
          <cell r="Y396"/>
          <cell r="Z396"/>
          <cell r="AA396"/>
          <cell r="AB396"/>
          <cell r="AC396"/>
          <cell r="AD396"/>
          <cell r="AE396"/>
        </row>
        <row r="397">
          <cell r="G397"/>
          <cell r="H397"/>
          <cell r="I397"/>
          <cell r="J397"/>
          <cell r="K397"/>
          <cell r="L397"/>
          <cell r="M397"/>
          <cell r="N397"/>
          <cell r="O397"/>
          <cell r="P397"/>
          <cell r="Q397"/>
          <cell r="R397"/>
          <cell r="S397"/>
          <cell r="T397"/>
          <cell r="U397"/>
          <cell r="V397"/>
          <cell r="W397"/>
          <cell r="X397"/>
          <cell r="Y397"/>
          <cell r="Z397"/>
          <cell r="AA397"/>
          <cell r="AB397"/>
          <cell r="AC397"/>
          <cell r="AD397"/>
          <cell r="AE397"/>
        </row>
        <row r="398">
          <cell r="G398"/>
          <cell r="H398"/>
          <cell r="I398"/>
          <cell r="J398"/>
          <cell r="K398"/>
          <cell r="L398"/>
          <cell r="M398"/>
          <cell r="N398"/>
          <cell r="O398"/>
          <cell r="P398"/>
          <cell r="Q398"/>
          <cell r="R398"/>
          <cell r="S398"/>
          <cell r="T398"/>
          <cell r="U398"/>
          <cell r="V398"/>
          <cell r="W398"/>
          <cell r="X398"/>
          <cell r="Y398"/>
          <cell r="Z398"/>
          <cell r="AA398"/>
          <cell r="AB398"/>
          <cell r="AC398"/>
          <cell r="AD398"/>
          <cell r="AE398"/>
        </row>
        <row r="399">
          <cell r="G399"/>
          <cell r="H399"/>
          <cell r="I399"/>
          <cell r="J399"/>
          <cell r="K399"/>
          <cell r="L399"/>
          <cell r="M399"/>
          <cell r="N399"/>
          <cell r="O399"/>
          <cell r="P399"/>
          <cell r="Q399"/>
          <cell r="R399"/>
          <cell r="S399"/>
          <cell r="T399"/>
          <cell r="U399"/>
          <cell r="V399"/>
          <cell r="W399"/>
          <cell r="X399"/>
          <cell r="Y399"/>
          <cell r="Z399"/>
          <cell r="AA399"/>
          <cell r="AB399"/>
          <cell r="AC399"/>
          <cell r="AD399"/>
          <cell r="AE399"/>
        </row>
        <row r="400">
          <cell r="G400"/>
          <cell r="H400"/>
          <cell r="I400"/>
          <cell r="J400"/>
          <cell r="K400"/>
          <cell r="L400"/>
          <cell r="M400"/>
          <cell r="N400"/>
          <cell r="O400"/>
          <cell r="P400"/>
          <cell r="Q400"/>
          <cell r="R400"/>
          <cell r="S400"/>
          <cell r="T400"/>
          <cell r="U400"/>
          <cell r="V400"/>
          <cell r="W400"/>
          <cell r="X400"/>
          <cell r="Y400"/>
          <cell r="Z400"/>
          <cell r="AA400"/>
          <cell r="AB400"/>
          <cell r="AC400"/>
          <cell r="AD400"/>
          <cell r="AE400"/>
        </row>
        <row r="401">
          <cell r="G401"/>
          <cell r="H401"/>
          <cell r="I401"/>
          <cell r="J401"/>
          <cell r="K401"/>
          <cell r="L401"/>
          <cell r="M401"/>
          <cell r="N401"/>
          <cell r="O401"/>
          <cell r="P401"/>
          <cell r="Q401"/>
          <cell r="R401"/>
          <cell r="S401"/>
          <cell r="T401"/>
          <cell r="U401"/>
          <cell r="V401"/>
          <cell r="W401"/>
          <cell r="X401"/>
          <cell r="Y401"/>
          <cell r="Z401"/>
          <cell r="AA401"/>
          <cell r="AB401"/>
          <cell r="AC401"/>
          <cell r="AD401"/>
          <cell r="AE401"/>
        </row>
        <row r="402">
          <cell r="G402"/>
          <cell r="H402"/>
          <cell r="I402"/>
          <cell r="J402"/>
          <cell r="K402"/>
          <cell r="L402"/>
          <cell r="M402"/>
          <cell r="N402"/>
          <cell r="O402"/>
          <cell r="P402"/>
          <cell r="Q402"/>
          <cell r="R402"/>
          <cell r="S402"/>
          <cell r="T402"/>
          <cell r="U402"/>
          <cell r="V402"/>
          <cell r="W402"/>
          <cell r="X402"/>
          <cell r="Y402"/>
          <cell r="Z402"/>
          <cell r="AA402"/>
          <cell r="AB402"/>
          <cell r="AC402"/>
          <cell r="AD402"/>
          <cell r="AE402"/>
        </row>
        <row r="403">
          <cell r="G403"/>
          <cell r="H403"/>
          <cell r="I403"/>
          <cell r="J403"/>
          <cell r="K403"/>
          <cell r="L403"/>
          <cell r="M403"/>
          <cell r="N403"/>
          <cell r="O403"/>
          <cell r="P403"/>
          <cell r="Q403"/>
          <cell r="R403"/>
          <cell r="S403"/>
          <cell r="T403"/>
          <cell r="U403"/>
          <cell r="V403"/>
          <cell r="W403"/>
          <cell r="X403"/>
          <cell r="Y403"/>
          <cell r="Z403"/>
          <cell r="AA403"/>
          <cell r="AB403"/>
          <cell r="AC403"/>
          <cell r="AD403"/>
          <cell r="AE403"/>
        </row>
        <row r="404">
          <cell r="G404"/>
          <cell r="H404"/>
          <cell r="I404"/>
          <cell r="J404"/>
          <cell r="K404"/>
          <cell r="L404"/>
          <cell r="M404"/>
          <cell r="N404"/>
          <cell r="O404"/>
          <cell r="P404"/>
          <cell r="Q404"/>
          <cell r="R404"/>
          <cell r="S404"/>
          <cell r="T404"/>
          <cell r="U404"/>
          <cell r="V404"/>
          <cell r="W404"/>
          <cell r="X404"/>
          <cell r="Y404"/>
          <cell r="Z404"/>
          <cell r="AA404"/>
          <cell r="AB404"/>
          <cell r="AC404"/>
          <cell r="AD404"/>
          <cell r="AE404"/>
        </row>
        <row r="405">
          <cell r="G405"/>
          <cell r="H405"/>
          <cell r="I405"/>
          <cell r="J405"/>
          <cell r="K405"/>
          <cell r="L405"/>
          <cell r="M405"/>
          <cell r="N405"/>
          <cell r="O405"/>
          <cell r="P405"/>
          <cell r="Q405"/>
          <cell r="R405"/>
          <cell r="S405"/>
          <cell r="T405"/>
          <cell r="U405"/>
          <cell r="V405"/>
          <cell r="W405"/>
          <cell r="X405"/>
          <cell r="Y405"/>
          <cell r="Z405"/>
          <cell r="AA405"/>
          <cell r="AB405"/>
          <cell r="AC405"/>
          <cell r="AD405"/>
          <cell r="AE405"/>
        </row>
        <row r="406">
          <cell r="G406"/>
          <cell r="H406"/>
          <cell r="I406"/>
          <cell r="J406"/>
          <cell r="K406"/>
          <cell r="L406"/>
          <cell r="M406"/>
          <cell r="N406"/>
          <cell r="O406"/>
          <cell r="P406"/>
          <cell r="Q406"/>
          <cell r="R406"/>
          <cell r="S406"/>
          <cell r="T406"/>
          <cell r="U406"/>
          <cell r="V406"/>
          <cell r="W406"/>
          <cell r="X406"/>
          <cell r="Y406"/>
          <cell r="Z406"/>
          <cell r="AA406"/>
          <cell r="AB406"/>
          <cell r="AC406"/>
          <cell r="AD406"/>
          <cell r="AE406"/>
        </row>
        <row r="407">
          <cell r="G407"/>
          <cell r="H407"/>
          <cell r="I407"/>
          <cell r="J407"/>
          <cell r="K407"/>
          <cell r="L407"/>
          <cell r="M407"/>
          <cell r="N407"/>
          <cell r="O407"/>
          <cell r="P407"/>
          <cell r="Q407"/>
          <cell r="R407"/>
          <cell r="S407"/>
          <cell r="T407"/>
          <cell r="U407"/>
          <cell r="V407"/>
          <cell r="W407"/>
          <cell r="X407"/>
          <cell r="Y407"/>
          <cell r="Z407"/>
          <cell r="AA407"/>
          <cell r="AB407"/>
          <cell r="AC407"/>
          <cell r="AD407"/>
          <cell r="AE407"/>
        </row>
        <row r="408">
          <cell r="G408"/>
          <cell r="H408"/>
          <cell r="I408"/>
          <cell r="J408"/>
          <cell r="K408"/>
          <cell r="L408"/>
          <cell r="M408"/>
          <cell r="N408"/>
          <cell r="O408"/>
          <cell r="P408"/>
          <cell r="Q408"/>
          <cell r="R408"/>
          <cell r="S408"/>
          <cell r="T408"/>
          <cell r="U408"/>
          <cell r="V408"/>
          <cell r="W408"/>
          <cell r="X408"/>
          <cell r="Y408"/>
          <cell r="Z408"/>
          <cell r="AA408"/>
          <cell r="AB408"/>
          <cell r="AC408"/>
          <cell r="AD408"/>
          <cell r="AE408"/>
        </row>
        <row r="409">
          <cell r="G409"/>
          <cell r="H409"/>
          <cell r="I409"/>
          <cell r="J409"/>
          <cell r="K409"/>
          <cell r="L409"/>
          <cell r="M409"/>
          <cell r="N409"/>
          <cell r="O409"/>
          <cell r="P409"/>
          <cell r="Q409"/>
          <cell r="R409"/>
          <cell r="S409"/>
          <cell r="T409"/>
          <cell r="U409"/>
          <cell r="V409"/>
          <cell r="W409"/>
          <cell r="X409"/>
          <cell r="Y409"/>
          <cell r="Z409"/>
          <cell r="AA409"/>
          <cell r="AB409"/>
          <cell r="AC409"/>
          <cell r="AD409"/>
          <cell r="AE409"/>
        </row>
        <row r="410">
          <cell r="G410"/>
          <cell r="H410"/>
          <cell r="I410"/>
          <cell r="J410"/>
          <cell r="K410"/>
          <cell r="L410"/>
          <cell r="M410"/>
          <cell r="N410"/>
          <cell r="O410"/>
          <cell r="P410"/>
          <cell r="Q410"/>
          <cell r="R410"/>
          <cell r="S410"/>
          <cell r="T410"/>
          <cell r="U410"/>
          <cell r="V410"/>
          <cell r="W410"/>
          <cell r="X410"/>
          <cell r="Y410"/>
          <cell r="Z410"/>
          <cell r="AA410"/>
          <cell r="AB410"/>
          <cell r="AC410"/>
          <cell r="AD410"/>
          <cell r="AE410"/>
        </row>
        <row r="411">
          <cell r="G411"/>
          <cell r="H411"/>
          <cell r="I411"/>
          <cell r="J411"/>
          <cell r="K411"/>
          <cell r="L411"/>
          <cell r="M411"/>
          <cell r="N411"/>
          <cell r="O411"/>
          <cell r="P411"/>
          <cell r="Q411"/>
          <cell r="R411"/>
          <cell r="S411"/>
          <cell r="T411"/>
          <cell r="U411"/>
          <cell r="V411"/>
          <cell r="W411"/>
          <cell r="X411"/>
          <cell r="Y411"/>
          <cell r="Z411"/>
          <cell r="AA411"/>
          <cell r="AB411"/>
          <cell r="AC411"/>
          <cell r="AD411"/>
          <cell r="AE411"/>
        </row>
        <row r="412">
          <cell r="G412"/>
          <cell r="H412"/>
          <cell r="I412"/>
          <cell r="J412"/>
          <cell r="K412"/>
          <cell r="L412"/>
          <cell r="M412"/>
          <cell r="N412"/>
          <cell r="O412"/>
          <cell r="P412"/>
          <cell r="Q412"/>
          <cell r="R412"/>
          <cell r="S412"/>
          <cell r="T412"/>
          <cell r="U412"/>
          <cell r="V412"/>
          <cell r="W412"/>
          <cell r="X412"/>
          <cell r="Y412"/>
          <cell r="Z412"/>
          <cell r="AA412"/>
          <cell r="AB412"/>
          <cell r="AC412"/>
          <cell r="AD412"/>
          <cell r="AE412"/>
        </row>
        <row r="413">
          <cell r="G413"/>
          <cell r="H413"/>
          <cell r="I413"/>
          <cell r="J413"/>
          <cell r="K413"/>
          <cell r="L413"/>
          <cell r="M413"/>
          <cell r="N413"/>
          <cell r="O413"/>
          <cell r="P413"/>
          <cell r="Q413"/>
          <cell r="R413"/>
          <cell r="S413"/>
          <cell r="T413"/>
          <cell r="U413"/>
          <cell r="V413"/>
          <cell r="W413"/>
          <cell r="X413"/>
          <cell r="Y413"/>
          <cell r="Z413"/>
          <cell r="AA413"/>
          <cell r="AB413"/>
          <cell r="AC413"/>
          <cell r="AD413"/>
          <cell r="AE413"/>
        </row>
        <row r="414">
          <cell r="G414"/>
          <cell r="H414"/>
          <cell r="I414"/>
          <cell r="J414"/>
          <cell r="K414"/>
          <cell r="L414"/>
          <cell r="M414"/>
          <cell r="N414"/>
          <cell r="O414"/>
          <cell r="P414"/>
          <cell r="Q414"/>
          <cell r="R414"/>
          <cell r="S414"/>
          <cell r="T414"/>
          <cell r="U414"/>
          <cell r="V414"/>
          <cell r="W414"/>
          <cell r="X414"/>
          <cell r="Y414"/>
          <cell r="Z414"/>
          <cell r="AA414"/>
          <cell r="AB414"/>
          <cell r="AC414"/>
          <cell r="AD414"/>
          <cell r="AE414"/>
        </row>
        <row r="415">
          <cell r="G415"/>
          <cell r="H415"/>
          <cell r="I415"/>
          <cell r="J415"/>
          <cell r="K415"/>
          <cell r="L415"/>
          <cell r="M415"/>
          <cell r="N415"/>
          <cell r="O415"/>
          <cell r="P415"/>
          <cell r="Q415"/>
          <cell r="R415"/>
          <cell r="S415"/>
          <cell r="T415"/>
          <cell r="U415"/>
          <cell r="V415"/>
          <cell r="W415"/>
          <cell r="X415"/>
          <cell r="Y415"/>
          <cell r="Z415"/>
          <cell r="AA415"/>
          <cell r="AB415"/>
          <cell r="AC415"/>
          <cell r="AD415"/>
          <cell r="AE415"/>
        </row>
        <row r="416">
          <cell r="G416"/>
          <cell r="H416"/>
          <cell r="I416"/>
          <cell r="J416"/>
          <cell r="K416"/>
          <cell r="L416"/>
          <cell r="M416"/>
          <cell r="N416"/>
          <cell r="O416"/>
          <cell r="P416"/>
          <cell r="Q416"/>
          <cell r="R416"/>
          <cell r="S416"/>
          <cell r="T416"/>
          <cell r="U416"/>
          <cell r="V416"/>
          <cell r="W416"/>
          <cell r="X416"/>
          <cell r="Y416"/>
          <cell r="Z416"/>
          <cell r="AA416"/>
          <cell r="AB416"/>
          <cell r="AC416"/>
          <cell r="AD416"/>
          <cell r="AE416"/>
        </row>
        <row r="417">
          <cell r="G417"/>
          <cell r="H417"/>
          <cell r="I417"/>
          <cell r="J417"/>
          <cell r="K417"/>
          <cell r="L417"/>
          <cell r="M417"/>
          <cell r="N417"/>
          <cell r="O417"/>
          <cell r="P417"/>
          <cell r="Q417"/>
          <cell r="R417"/>
          <cell r="S417"/>
          <cell r="T417"/>
          <cell r="U417"/>
          <cell r="V417"/>
          <cell r="W417"/>
          <cell r="X417"/>
          <cell r="Y417"/>
          <cell r="Z417"/>
          <cell r="AA417"/>
          <cell r="AB417"/>
          <cell r="AC417"/>
          <cell r="AD417"/>
          <cell r="AE417"/>
        </row>
        <row r="418">
          <cell r="G418"/>
          <cell r="H418"/>
          <cell r="I418"/>
          <cell r="J418"/>
          <cell r="K418"/>
          <cell r="L418"/>
          <cell r="M418"/>
          <cell r="N418"/>
          <cell r="O418"/>
          <cell r="P418"/>
          <cell r="Q418"/>
          <cell r="R418"/>
          <cell r="S418"/>
          <cell r="T418"/>
          <cell r="U418"/>
          <cell r="V418"/>
          <cell r="W418"/>
          <cell r="X418"/>
          <cell r="Y418"/>
          <cell r="Z418"/>
          <cell r="AA418"/>
          <cell r="AB418"/>
          <cell r="AC418"/>
          <cell r="AD418"/>
          <cell r="AE418"/>
        </row>
        <row r="419">
          <cell r="G419"/>
          <cell r="H419"/>
          <cell r="I419"/>
          <cell r="J419"/>
          <cell r="K419"/>
          <cell r="L419"/>
          <cell r="M419"/>
          <cell r="N419"/>
          <cell r="O419"/>
          <cell r="P419"/>
          <cell r="Q419"/>
          <cell r="R419"/>
          <cell r="S419"/>
          <cell r="T419"/>
          <cell r="U419"/>
          <cell r="V419"/>
          <cell r="W419"/>
          <cell r="X419"/>
          <cell r="Y419"/>
          <cell r="Z419"/>
          <cell r="AA419"/>
          <cell r="AB419"/>
          <cell r="AC419"/>
          <cell r="AD419"/>
          <cell r="AE419"/>
        </row>
        <row r="420">
          <cell r="G420"/>
          <cell r="H420"/>
          <cell r="I420"/>
          <cell r="J420"/>
          <cell r="K420"/>
          <cell r="L420"/>
          <cell r="M420"/>
          <cell r="N420"/>
          <cell r="O420"/>
          <cell r="P420"/>
          <cell r="Q420"/>
          <cell r="R420"/>
          <cell r="S420"/>
          <cell r="T420"/>
          <cell r="U420"/>
          <cell r="V420"/>
          <cell r="W420"/>
          <cell r="X420"/>
          <cell r="Y420"/>
          <cell r="Z420"/>
          <cell r="AA420"/>
          <cell r="AB420"/>
          <cell r="AC420"/>
          <cell r="AD420"/>
          <cell r="AE420"/>
        </row>
        <row r="421">
          <cell r="G421"/>
          <cell r="H421"/>
          <cell r="I421"/>
          <cell r="J421"/>
          <cell r="K421"/>
          <cell r="L421"/>
          <cell r="M421"/>
          <cell r="N421"/>
          <cell r="O421"/>
          <cell r="P421"/>
          <cell r="Q421"/>
          <cell r="R421"/>
          <cell r="S421"/>
          <cell r="T421"/>
          <cell r="U421"/>
          <cell r="V421"/>
          <cell r="W421"/>
          <cell r="X421"/>
          <cell r="Y421"/>
          <cell r="Z421"/>
          <cell r="AA421"/>
          <cell r="AB421"/>
          <cell r="AC421"/>
          <cell r="AD421"/>
          <cell r="AE421"/>
        </row>
        <row r="422">
          <cell r="G422"/>
          <cell r="H422"/>
          <cell r="I422"/>
          <cell r="J422"/>
          <cell r="K422"/>
          <cell r="L422"/>
          <cell r="M422"/>
          <cell r="N422"/>
          <cell r="O422"/>
          <cell r="P422"/>
          <cell r="Q422"/>
          <cell r="R422"/>
          <cell r="S422"/>
          <cell r="T422"/>
          <cell r="U422"/>
          <cell r="V422"/>
          <cell r="W422"/>
          <cell r="X422"/>
          <cell r="Y422"/>
          <cell r="Z422"/>
          <cell r="AA422"/>
          <cell r="AB422"/>
          <cell r="AC422"/>
          <cell r="AD422"/>
          <cell r="AE422"/>
        </row>
        <row r="423">
          <cell r="G423"/>
          <cell r="H423"/>
          <cell r="I423"/>
          <cell r="J423"/>
          <cell r="K423"/>
          <cell r="L423"/>
          <cell r="M423"/>
          <cell r="N423"/>
          <cell r="O423"/>
          <cell r="P423"/>
          <cell r="Q423"/>
          <cell r="R423"/>
          <cell r="S423"/>
          <cell r="T423"/>
          <cell r="U423"/>
          <cell r="V423"/>
          <cell r="W423"/>
          <cell r="X423"/>
          <cell r="Y423"/>
          <cell r="Z423"/>
          <cell r="AA423"/>
          <cell r="AB423"/>
          <cell r="AC423"/>
          <cell r="AD423"/>
          <cell r="AE423"/>
        </row>
        <row r="424">
          <cell r="G424"/>
          <cell r="H424"/>
          <cell r="I424"/>
          <cell r="J424"/>
          <cell r="K424"/>
          <cell r="L424"/>
          <cell r="M424"/>
          <cell r="N424"/>
          <cell r="O424"/>
          <cell r="P424"/>
          <cell r="Q424"/>
          <cell r="R424"/>
          <cell r="S424"/>
          <cell r="T424"/>
          <cell r="U424"/>
          <cell r="V424"/>
          <cell r="W424"/>
          <cell r="X424"/>
          <cell r="Y424"/>
          <cell r="Z424"/>
          <cell r="AA424"/>
          <cell r="AB424"/>
          <cell r="AC424"/>
          <cell r="AD424"/>
          <cell r="AE424"/>
        </row>
        <row r="425">
          <cell r="G425"/>
          <cell r="H425"/>
          <cell r="I425"/>
          <cell r="J425"/>
          <cell r="K425"/>
          <cell r="L425"/>
          <cell r="M425"/>
          <cell r="N425"/>
          <cell r="O425"/>
          <cell r="P425"/>
          <cell r="Q425"/>
          <cell r="R425"/>
          <cell r="S425"/>
          <cell r="T425"/>
          <cell r="U425"/>
          <cell r="V425"/>
          <cell r="W425"/>
          <cell r="X425"/>
          <cell r="Y425"/>
          <cell r="Z425"/>
          <cell r="AA425"/>
          <cell r="AB425"/>
          <cell r="AC425"/>
          <cell r="AD425"/>
          <cell r="AE425"/>
        </row>
        <row r="426">
          <cell r="G426"/>
          <cell r="H426"/>
          <cell r="I426"/>
          <cell r="J426"/>
          <cell r="K426"/>
          <cell r="L426"/>
          <cell r="M426"/>
          <cell r="N426"/>
          <cell r="O426"/>
          <cell r="P426"/>
          <cell r="Q426"/>
          <cell r="R426"/>
          <cell r="S426"/>
          <cell r="T426"/>
          <cell r="U426"/>
          <cell r="V426"/>
          <cell r="W426"/>
          <cell r="X426"/>
          <cell r="Y426"/>
          <cell r="Z426"/>
          <cell r="AA426"/>
          <cell r="AB426"/>
          <cell r="AC426"/>
          <cell r="AD426"/>
          <cell r="AE426"/>
        </row>
        <row r="427">
          <cell r="G427"/>
          <cell r="H427"/>
          <cell r="I427"/>
          <cell r="J427"/>
          <cell r="K427"/>
          <cell r="L427"/>
          <cell r="M427"/>
          <cell r="N427"/>
          <cell r="O427"/>
          <cell r="P427"/>
          <cell r="Q427"/>
          <cell r="R427"/>
          <cell r="S427"/>
          <cell r="T427"/>
          <cell r="U427"/>
          <cell r="V427"/>
          <cell r="W427"/>
          <cell r="X427"/>
          <cell r="Y427"/>
          <cell r="Z427"/>
          <cell r="AA427"/>
          <cell r="AB427"/>
          <cell r="AC427"/>
          <cell r="AD427"/>
          <cell r="AE427"/>
        </row>
        <row r="428">
          <cell r="G428"/>
          <cell r="H428"/>
          <cell r="I428"/>
          <cell r="J428"/>
          <cell r="K428"/>
          <cell r="L428"/>
          <cell r="M428"/>
          <cell r="N428"/>
          <cell r="O428"/>
          <cell r="P428"/>
          <cell r="Q428"/>
          <cell r="R428"/>
          <cell r="S428"/>
          <cell r="T428"/>
          <cell r="U428"/>
          <cell r="V428"/>
          <cell r="W428"/>
          <cell r="X428"/>
          <cell r="Y428"/>
          <cell r="Z428"/>
          <cell r="AA428"/>
          <cell r="AB428"/>
          <cell r="AC428"/>
          <cell r="AD428"/>
          <cell r="AE428"/>
        </row>
        <row r="429">
          <cell r="G429"/>
          <cell r="H429"/>
          <cell r="I429"/>
          <cell r="J429"/>
          <cell r="K429"/>
          <cell r="L429"/>
          <cell r="M429"/>
          <cell r="N429"/>
          <cell r="O429"/>
          <cell r="P429"/>
          <cell r="Q429"/>
          <cell r="R429"/>
          <cell r="S429"/>
          <cell r="T429"/>
          <cell r="U429"/>
          <cell r="V429"/>
          <cell r="W429"/>
          <cell r="X429"/>
          <cell r="Y429"/>
          <cell r="Z429"/>
          <cell r="AA429"/>
          <cell r="AB429"/>
          <cell r="AC429"/>
          <cell r="AD429"/>
          <cell r="AE429"/>
        </row>
        <row r="430">
          <cell r="G430"/>
          <cell r="H430"/>
          <cell r="I430"/>
          <cell r="J430"/>
          <cell r="K430"/>
          <cell r="L430"/>
          <cell r="M430"/>
          <cell r="N430"/>
          <cell r="O430"/>
          <cell r="P430"/>
          <cell r="Q430"/>
          <cell r="R430"/>
          <cell r="S430"/>
          <cell r="T430"/>
          <cell r="U430"/>
          <cell r="V430"/>
          <cell r="W430"/>
          <cell r="X430"/>
          <cell r="Y430"/>
          <cell r="Z430"/>
          <cell r="AA430"/>
          <cell r="AB430"/>
          <cell r="AC430"/>
          <cell r="AD430"/>
          <cell r="AE430"/>
        </row>
        <row r="431">
          <cell r="G431"/>
          <cell r="H431"/>
          <cell r="I431"/>
          <cell r="J431"/>
          <cell r="K431"/>
          <cell r="L431"/>
          <cell r="M431"/>
          <cell r="N431"/>
          <cell r="O431"/>
          <cell r="P431"/>
          <cell r="Q431"/>
          <cell r="R431"/>
          <cell r="S431"/>
          <cell r="T431"/>
          <cell r="U431"/>
          <cell r="V431"/>
          <cell r="W431"/>
          <cell r="X431"/>
          <cell r="Y431"/>
          <cell r="Z431"/>
          <cell r="AA431"/>
          <cell r="AB431"/>
          <cell r="AC431"/>
          <cell r="AD431"/>
          <cell r="AE431"/>
        </row>
        <row r="432">
          <cell r="G432"/>
          <cell r="H432"/>
          <cell r="I432"/>
          <cell r="J432"/>
          <cell r="K432"/>
          <cell r="L432"/>
          <cell r="M432"/>
          <cell r="N432"/>
          <cell r="O432"/>
          <cell r="P432"/>
          <cell r="Q432"/>
          <cell r="R432"/>
          <cell r="S432"/>
          <cell r="T432"/>
          <cell r="U432"/>
          <cell r="V432"/>
          <cell r="W432"/>
          <cell r="X432"/>
          <cell r="Y432"/>
          <cell r="Z432"/>
          <cell r="AA432"/>
          <cell r="AB432"/>
          <cell r="AC432"/>
          <cell r="AD432"/>
          <cell r="AE432"/>
        </row>
        <row r="433">
          <cell r="G433"/>
          <cell r="H433"/>
          <cell r="I433"/>
          <cell r="J433"/>
          <cell r="K433"/>
          <cell r="L433"/>
          <cell r="M433"/>
          <cell r="N433"/>
          <cell r="O433"/>
          <cell r="P433"/>
          <cell r="Q433"/>
          <cell r="R433"/>
          <cell r="S433"/>
          <cell r="T433"/>
          <cell r="U433"/>
          <cell r="V433"/>
          <cell r="W433"/>
          <cell r="X433"/>
          <cell r="Y433"/>
          <cell r="Z433"/>
          <cell r="AA433"/>
          <cell r="AB433"/>
          <cell r="AC433"/>
          <cell r="AD433"/>
          <cell r="AE433"/>
        </row>
        <row r="434">
          <cell r="G434"/>
          <cell r="H434"/>
          <cell r="I434"/>
          <cell r="J434"/>
          <cell r="K434"/>
          <cell r="L434"/>
          <cell r="M434"/>
          <cell r="N434"/>
          <cell r="O434"/>
          <cell r="P434"/>
          <cell r="Q434"/>
          <cell r="R434"/>
          <cell r="S434"/>
          <cell r="T434"/>
          <cell r="U434"/>
          <cell r="V434"/>
          <cell r="W434"/>
          <cell r="X434"/>
          <cell r="Y434"/>
          <cell r="Z434"/>
          <cell r="AA434"/>
          <cell r="AB434"/>
          <cell r="AC434"/>
          <cell r="AD434"/>
          <cell r="AE434"/>
        </row>
        <row r="435">
          <cell r="G435"/>
          <cell r="H435"/>
          <cell r="I435"/>
          <cell r="J435"/>
          <cell r="K435"/>
          <cell r="L435"/>
          <cell r="M435"/>
          <cell r="N435"/>
          <cell r="O435"/>
          <cell r="P435"/>
          <cell r="Q435"/>
          <cell r="R435"/>
          <cell r="S435"/>
          <cell r="T435"/>
          <cell r="U435"/>
          <cell r="V435"/>
          <cell r="W435"/>
          <cell r="X435"/>
          <cell r="Y435"/>
          <cell r="Z435"/>
          <cell r="AA435"/>
          <cell r="AB435"/>
          <cell r="AC435"/>
          <cell r="AD435"/>
          <cell r="AE435"/>
        </row>
        <row r="436">
          <cell r="G436"/>
          <cell r="H436"/>
          <cell r="I436"/>
          <cell r="J436"/>
          <cell r="K436"/>
          <cell r="L436"/>
          <cell r="M436"/>
          <cell r="N436"/>
          <cell r="O436"/>
          <cell r="P436"/>
          <cell r="Q436"/>
          <cell r="R436"/>
          <cell r="S436"/>
          <cell r="T436"/>
          <cell r="U436"/>
          <cell r="V436"/>
          <cell r="W436"/>
          <cell r="X436"/>
          <cell r="Y436"/>
          <cell r="Z436"/>
          <cell r="AA436"/>
          <cell r="AB436"/>
          <cell r="AC436"/>
          <cell r="AD436"/>
          <cell r="AE436"/>
        </row>
        <row r="437">
          <cell r="G437"/>
          <cell r="H437"/>
          <cell r="I437"/>
          <cell r="J437"/>
          <cell r="K437"/>
          <cell r="L437"/>
          <cell r="M437"/>
          <cell r="N437"/>
          <cell r="O437"/>
          <cell r="P437"/>
          <cell r="Q437"/>
          <cell r="R437"/>
          <cell r="S437"/>
          <cell r="T437"/>
          <cell r="U437"/>
          <cell r="V437"/>
          <cell r="W437"/>
          <cell r="X437"/>
          <cell r="Y437"/>
          <cell r="Z437"/>
          <cell r="AA437"/>
          <cell r="AB437"/>
          <cell r="AC437"/>
          <cell r="AD437"/>
          <cell r="AE437"/>
        </row>
        <row r="438">
          <cell r="G438"/>
          <cell r="H438"/>
          <cell r="I438"/>
          <cell r="J438"/>
          <cell r="K438"/>
          <cell r="L438"/>
          <cell r="M438"/>
          <cell r="N438"/>
          <cell r="O438"/>
          <cell r="P438"/>
          <cell r="Q438"/>
          <cell r="R438"/>
          <cell r="S438"/>
          <cell r="T438"/>
          <cell r="U438"/>
          <cell r="V438"/>
          <cell r="W438"/>
          <cell r="X438"/>
          <cell r="Y438"/>
          <cell r="Z438"/>
          <cell r="AA438"/>
          <cell r="AB438"/>
          <cell r="AC438"/>
          <cell r="AD438"/>
          <cell r="AE438"/>
        </row>
        <row r="439">
          <cell r="G439"/>
          <cell r="H439"/>
          <cell r="I439"/>
          <cell r="J439"/>
          <cell r="K439"/>
          <cell r="L439"/>
          <cell r="M439"/>
          <cell r="N439"/>
          <cell r="O439"/>
          <cell r="P439"/>
          <cell r="Q439"/>
          <cell r="R439"/>
          <cell r="S439"/>
          <cell r="T439"/>
          <cell r="U439"/>
          <cell r="V439"/>
          <cell r="W439"/>
          <cell r="X439"/>
          <cell r="Y439"/>
          <cell r="Z439"/>
          <cell r="AA439"/>
          <cell r="AB439"/>
          <cell r="AC439"/>
          <cell r="AD439"/>
          <cell r="AE439"/>
        </row>
        <row r="440">
          <cell r="G440"/>
          <cell r="H440"/>
          <cell r="I440"/>
          <cell r="J440"/>
          <cell r="K440"/>
          <cell r="L440"/>
          <cell r="M440"/>
          <cell r="N440"/>
          <cell r="O440"/>
          <cell r="P440"/>
          <cell r="Q440"/>
          <cell r="R440"/>
          <cell r="S440"/>
          <cell r="T440"/>
          <cell r="U440"/>
          <cell r="V440"/>
          <cell r="W440"/>
          <cell r="X440"/>
          <cell r="Y440"/>
          <cell r="Z440"/>
          <cell r="AA440"/>
          <cell r="AB440"/>
          <cell r="AC440"/>
          <cell r="AD440"/>
          <cell r="AE440"/>
        </row>
        <row r="441">
          <cell r="G441"/>
          <cell r="H441"/>
          <cell r="I441"/>
          <cell r="J441"/>
          <cell r="K441"/>
          <cell r="L441"/>
          <cell r="M441"/>
          <cell r="N441"/>
          <cell r="O441"/>
          <cell r="P441"/>
          <cell r="Q441"/>
          <cell r="R441"/>
          <cell r="S441"/>
          <cell r="T441"/>
          <cell r="U441"/>
          <cell r="V441"/>
          <cell r="W441"/>
          <cell r="X441"/>
          <cell r="Y441"/>
          <cell r="Z441"/>
          <cell r="AA441"/>
          <cell r="AB441"/>
          <cell r="AC441"/>
          <cell r="AD441"/>
          <cell r="AE441"/>
        </row>
        <row r="442">
          <cell r="G442"/>
          <cell r="H442"/>
          <cell r="I442"/>
          <cell r="J442"/>
          <cell r="K442"/>
          <cell r="L442"/>
          <cell r="M442"/>
          <cell r="N442"/>
          <cell r="O442"/>
          <cell r="P442"/>
          <cell r="Q442"/>
          <cell r="R442"/>
          <cell r="S442"/>
          <cell r="T442"/>
          <cell r="U442"/>
          <cell r="V442"/>
          <cell r="W442"/>
          <cell r="X442"/>
          <cell r="Y442"/>
          <cell r="Z442"/>
          <cell r="AA442"/>
          <cell r="AB442"/>
          <cell r="AC442"/>
          <cell r="AD442"/>
          <cell r="AE442"/>
        </row>
        <row r="443">
          <cell r="G443"/>
          <cell r="H443"/>
          <cell r="I443"/>
          <cell r="J443"/>
          <cell r="K443"/>
          <cell r="L443"/>
          <cell r="M443"/>
          <cell r="N443"/>
          <cell r="O443"/>
          <cell r="P443"/>
          <cell r="Q443"/>
          <cell r="R443"/>
          <cell r="S443"/>
          <cell r="T443"/>
          <cell r="U443"/>
          <cell r="V443"/>
          <cell r="W443"/>
          <cell r="X443"/>
          <cell r="Y443"/>
          <cell r="Z443"/>
          <cell r="AA443"/>
          <cell r="AB443"/>
          <cell r="AC443"/>
          <cell r="AD443"/>
          <cell r="AE443"/>
        </row>
        <row r="444">
          <cell r="G444"/>
          <cell r="H444"/>
          <cell r="I444"/>
          <cell r="J444"/>
          <cell r="K444"/>
          <cell r="L444"/>
          <cell r="M444"/>
          <cell r="N444"/>
          <cell r="O444"/>
          <cell r="P444"/>
          <cell r="Q444"/>
          <cell r="R444"/>
          <cell r="S444"/>
          <cell r="T444"/>
          <cell r="U444"/>
          <cell r="V444"/>
          <cell r="W444"/>
          <cell r="X444"/>
          <cell r="Y444"/>
          <cell r="Z444"/>
          <cell r="AA444"/>
          <cell r="AB444"/>
          <cell r="AC444"/>
          <cell r="AD444"/>
          <cell r="AE444"/>
        </row>
        <row r="445">
          <cell r="G445"/>
          <cell r="H445"/>
          <cell r="I445"/>
          <cell r="J445"/>
          <cell r="K445"/>
          <cell r="L445"/>
          <cell r="M445"/>
          <cell r="N445"/>
          <cell r="O445"/>
          <cell r="P445"/>
          <cell r="Q445"/>
          <cell r="R445"/>
          <cell r="S445"/>
          <cell r="T445"/>
          <cell r="U445"/>
          <cell r="V445"/>
          <cell r="W445"/>
          <cell r="X445"/>
          <cell r="Y445"/>
          <cell r="Z445"/>
          <cell r="AA445"/>
          <cell r="AB445"/>
          <cell r="AC445"/>
          <cell r="AD445"/>
          <cell r="AE445"/>
        </row>
        <row r="446">
          <cell r="G446"/>
          <cell r="H446"/>
          <cell r="I446"/>
          <cell r="J446"/>
          <cell r="K446"/>
          <cell r="L446"/>
          <cell r="M446"/>
          <cell r="N446"/>
          <cell r="O446"/>
          <cell r="P446"/>
          <cell r="Q446"/>
          <cell r="R446"/>
          <cell r="S446"/>
          <cell r="T446"/>
          <cell r="U446"/>
          <cell r="V446"/>
          <cell r="W446"/>
          <cell r="X446"/>
          <cell r="Y446"/>
          <cell r="Z446"/>
          <cell r="AA446"/>
          <cell r="AB446"/>
          <cell r="AC446"/>
          <cell r="AD446"/>
          <cell r="AE446"/>
        </row>
        <row r="447">
          <cell r="G447"/>
          <cell r="H447"/>
          <cell r="I447"/>
          <cell r="J447"/>
          <cell r="K447"/>
          <cell r="L447"/>
          <cell r="M447"/>
          <cell r="N447"/>
          <cell r="O447"/>
          <cell r="P447"/>
          <cell r="Q447"/>
          <cell r="R447"/>
          <cell r="S447"/>
          <cell r="T447"/>
          <cell r="U447"/>
          <cell r="V447"/>
          <cell r="W447"/>
          <cell r="X447"/>
          <cell r="Y447"/>
          <cell r="Z447"/>
          <cell r="AA447"/>
          <cell r="AB447"/>
          <cell r="AC447"/>
          <cell r="AD447"/>
          <cell r="AE447"/>
        </row>
        <row r="448">
          <cell r="G448"/>
          <cell r="H448"/>
          <cell r="I448"/>
          <cell r="J448"/>
          <cell r="K448"/>
          <cell r="L448"/>
          <cell r="M448"/>
          <cell r="N448"/>
          <cell r="O448"/>
          <cell r="P448"/>
          <cell r="Q448"/>
          <cell r="R448"/>
          <cell r="S448"/>
          <cell r="T448"/>
          <cell r="U448"/>
          <cell r="V448"/>
          <cell r="W448"/>
          <cell r="X448"/>
          <cell r="Y448"/>
          <cell r="Z448"/>
          <cell r="AA448"/>
          <cell r="AB448"/>
          <cell r="AC448"/>
          <cell r="AD448"/>
          <cell r="AE448"/>
        </row>
        <row r="449">
          <cell r="G449"/>
          <cell r="H449"/>
          <cell r="I449"/>
          <cell r="J449"/>
          <cell r="K449"/>
          <cell r="L449"/>
          <cell r="M449"/>
          <cell r="N449"/>
          <cell r="O449"/>
          <cell r="P449"/>
          <cell r="Q449"/>
          <cell r="R449"/>
          <cell r="S449"/>
          <cell r="T449"/>
          <cell r="U449"/>
          <cell r="V449"/>
          <cell r="W449"/>
          <cell r="X449"/>
          <cell r="Y449"/>
          <cell r="Z449"/>
          <cell r="AA449"/>
          <cell r="AB449"/>
          <cell r="AC449"/>
          <cell r="AD449"/>
          <cell r="AE449"/>
        </row>
        <row r="450">
          <cell r="G450"/>
          <cell r="H450"/>
          <cell r="I450"/>
          <cell r="J450"/>
          <cell r="K450"/>
          <cell r="L450"/>
          <cell r="M450"/>
          <cell r="N450"/>
          <cell r="O450"/>
          <cell r="P450"/>
          <cell r="Q450"/>
          <cell r="R450"/>
          <cell r="S450"/>
          <cell r="T450"/>
          <cell r="U450"/>
          <cell r="V450"/>
          <cell r="W450"/>
          <cell r="X450"/>
          <cell r="Y450"/>
          <cell r="Z450"/>
          <cell r="AA450"/>
          <cell r="AB450"/>
          <cell r="AC450"/>
          <cell r="AD450"/>
          <cell r="AE450"/>
        </row>
        <row r="451">
          <cell r="G451"/>
          <cell r="H451"/>
          <cell r="I451"/>
          <cell r="J451"/>
          <cell r="K451"/>
          <cell r="L451"/>
          <cell r="M451"/>
          <cell r="N451"/>
          <cell r="O451"/>
          <cell r="P451"/>
          <cell r="Q451"/>
          <cell r="R451"/>
          <cell r="S451"/>
          <cell r="T451"/>
          <cell r="U451"/>
          <cell r="V451"/>
          <cell r="W451"/>
          <cell r="X451"/>
          <cell r="Y451"/>
          <cell r="Z451"/>
          <cell r="AA451"/>
          <cell r="AB451"/>
          <cell r="AC451"/>
          <cell r="AD451"/>
          <cell r="AE451"/>
        </row>
        <row r="452">
          <cell r="G452"/>
          <cell r="H452"/>
          <cell r="I452"/>
          <cell r="J452"/>
          <cell r="K452"/>
          <cell r="L452"/>
          <cell r="M452"/>
          <cell r="N452"/>
          <cell r="O452"/>
          <cell r="P452"/>
          <cell r="Q452"/>
          <cell r="R452"/>
          <cell r="S452"/>
          <cell r="T452"/>
          <cell r="U452"/>
          <cell r="V452"/>
          <cell r="W452"/>
          <cell r="X452"/>
          <cell r="Y452"/>
          <cell r="Z452"/>
          <cell r="AA452"/>
          <cell r="AB452"/>
          <cell r="AC452"/>
          <cell r="AD452"/>
          <cell r="AE452"/>
        </row>
        <row r="453">
          <cell r="G453"/>
          <cell r="H453"/>
          <cell r="I453"/>
          <cell r="J453"/>
          <cell r="K453"/>
          <cell r="L453"/>
          <cell r="M453"/>
          <cell r="N453"/>
          <cell r="O453"/>
          <cell r="P453"/>
          <cell r="Q453"/>
          <cell r="R453"/>
          <cell r="S453"/>
          <cell r="T453"/>
          <cell r="U453"/>
          <cell r="V453"/>
          <cell r="W453"/>
          <cell r="X453"/>
          <cell r="Y453"/>
          <cell r="Z453"/>
          <cell r="AA453"/>
          <cell r="AB453"/>
          <cell r="AC453"/>
          <cell r="AD453"/>
          <cell r="AE453"/>
        </row>
        <row r="454">
          <cell r="G454"/>
          <cell r="H454"/>
          <cell r="I454"/>
          <cell r="J454"/>
          <cell r="K454"/>
          <cell r="L454"/>
          <cell r="M454"/>
          <cell r="N454"/>
          <cell r="O454"/>
          <cell r="P454"/>
          <cell r="Q454"/>
          <cell r="R454"/>
          <cell r="S454"/>
          <cell r="T454"/>
          <cell r="U454"/>
          <cell r="V454"/>
          <cell r="W454"/>
          <cell r="X454"/>
          <cell r="Y454"/>
          <cell r="Z454"/>
          <cell r="AA454"/>
          <cell r="AB454"/>
          <cell r="AC454"/>
          <cell r="AD454"/>
          <cell r="AE454"/>
        </row>
        <row r="455">
          <cell r="G455"/>
          <cell r="H455"/>
          <cell r="I455"/>
          <cell r="J455"/>
          <cell r="K455"/>
          <cell r="L455"/>
          <cell r="M455"/>
          <cell r="N455"/>
          <cell r="O455"/>
          <cell r="P455"/>
          <cell r="Q455"/>
          <cell r="R455"/>
          <cell r="S455"/>
          <cell r="T455"/>
          <cell r="U455"/>
          <cell r="V455"/>
          <cell r="W455"/>
          <cell r="X455"/>
          <cell r="Y455"/>
          <cell r="Z455"/>
          <cell r="AA455"/>
          <cell r="AB455"/>
          <cell r="AC455"/>
          <cell r="AD455"/>
          <cell r="AE455"/>
        </row>
        <row r="456">
          <cell r="G456"/>
          <cell r="H456"/>
          <cell r="I456"/>
          <cell r="J456"/>
          <cell r="K456"/>
          <cell r="L456"/>
          <cell r="M456"/>
          <cell r="N456"/>
          <cell r="O456"/>
          <cell r="P456"/>
          <cell r="Q456"/>
          <cell r="R456"/>
          <cell r="S456"/>
          <cell r="T456"/>
          <cell r="U456"/>
          <cell r="V456"/>
          <cell r="W456"/>
          <cell r="X456"/>
          <cell r="Y456"/>
          <cell r="Z456"/>
          <cell r="AA456"/>
          <cell r="AB456"/>
          <cell r="AC456"/>
          <cell r="AD456"/>
          <cell r="AE456"/>
        </row>
        <row r="457">
          <cell r="G457"/>
          <cell r="H457"/>
          <cell r="I457"/>
          <cell r="J457"/>
          <cell r="K457"/>
          <cell r="L457"/>
          <cell r="M457"/>
          <cell r="N457"/>
          <cell r="O457"/>
          <cell r="P457"/>
          <cell r="Q457"/>
          <cell r="R457"/>
          <cell r="S457"/>
          <cell r="T457"/>
          <cell r="U457"/>
          <cell r="V457"/>
          <cell r="W457"/>
          <cell r="X457"/>
          <cell r="Y457"/>
          <cell r="Z457"/>
          <cell r="AA457"/>
          <cell r="AB457"/>
          <cell r="AC457"/>
          <cell r="AD457"/>
          <cell r="AE457"/>
        </row>
        <row r="458">
          <cell r="G458"/>
          <cell r="H458"/>
          <cell r="I458"/>
          <cell r="J458"/>
          <cell r="K458"/>
          <cell r="L458"/>
          <cell r="M458"/>
          <cell r="N458"/>
          <cell r="O458"/>
          <cell r="P458"/>
          <cell r="Q458"/>
          <cell r="R458"/>
          <cell r="S458"/>
          <cell r="T458"/>
          <cell r="U458"/>
          <cell r="V458"/>
          <cell r="W458"/>
          <cell r="X458"/>
          <cell r="Y458"/>
          <cell r="Z458"/>
          <cell r="AA458"/>
          <cell r="AB458"/>
          <cell r="AC458"/>
          <cell r="AD458"/>
          <cell r="AE458"/>
        </row>
        <row r="459">
          <cell r="G459"/>
          <cell r="H459"/>
          <cell r="I459"/>
          <cell r="J459"/>
          <cell r="K459"/>
          <cell r="L459"/>
          <cell r="M459"/>
          <cell r="N459"/>
          <cell r="O459"/>
          <cell r="P459"/>
          <cell r="Q459"/>
          <cell r="R459"/>
          <cell r="S459"/>
          <cell r="T459"/>
          <cell r="U459"/>
          <cell r="V459"/>
          <cell r="W459"/>
          <cell r="X459"/>
          <cell r="Y459"/>
          <cell r="Z459"/>
          <cell r="AA459"/>
          <cell r="AB459"/>
          <cell r="AC459"/>
          <cell r="AD459"/>
          <cell r="AE459"/>
        </row>
        <row r="460">
          <cell r="G460"/>
          <cell r="H460"/>
          <cell r="I460"/>
          <cell r="J460"/>
          <cell r="K460"/>
          <cell r="L460"/>
          <cell r="M460"/>
          <cell r="N460"/>
          <cell r="O460"/>
          <cell r="P460"/>
          <cell r="Q460"/>
          <cell r="R460"/>
          <cell r="S460"/>
          <cell r="T460"/>
          <cell r="U460"/>
          <cell r="V460"/>
          <cell r="W460"/>
          <cell r="X460"/>
          <cell r="Y460"/>
          <cell r="Z460"/>
          <cell r="AA460"/>
          <cell r="AB460"/>
          <cell r="AC460"/>
          <cell r="AD460"/>
          <cell r="AE460"/>
        </row>
        <row r="461">
          <cell r="G461"/>
          <cell r="H461"/>
          <cell r="I461"/>
          <cell r="J461"/>
          <cell r="K461"/>
          <cell r="L461"/>
          <cell r="M461"/>
          <cell r="N461"/>
          <cell r="O461"/>
          <cell r="P461"/>
          <cell r="Q461"/>
          <cell r="R461"/>
          <cell r="S461"/>
          <cell r="T461"/>
          <cell r="U461"/>
          <cell r="V461"/>
          <cell r="W461"/>
          <cell r="X461"/>
          <cell r="Y461"/>
          <cell r="Z461"/>
          <cell r="AA461"/>
          <cell r="AB461"/>
          <cell r="AC461"/>
          <cell r="AD461"/>
          <cell r="AE461"/>
        </row>
        <row r="462">
          <cell r="G462"/>
          <cell r="H462"/>
          <cell r="I462"/>
          <cell r="J462"/>
          <cell r="K462"/>
          <cell r="L462"/>
          <cell r="M462"/>
          <cell r="N462"/>
          <cell r="O462"/>
          <cell r="P462"/>
          <cell r="Q462"/>
          <cell r="R462"/>
          <cell r="S462"/>
          <cell r="T462"/>
          <cell r="U462"/>
          <cell r="V462"/>
          <cell r="W462"/>
          <cell r="X462"/>
          <cell r="Y462"/>
          <cell r="Z462"/>
          <cell r="AA462"/>
          <cell r="AB462"/>
          <cell r="AC462"/>
          <cell r="AD462"/>
          <cell r="AE462"/>
        </row>
        <row r="463">
          <cell r="G463"/>
          <cell r="H463"/>
          <cell r="I463"/>
          <cell r="J463"/>
          <cell r="K463"/>
          <cell r="L463"/>
          <cell r="M463"/>
          <cell r="N463"/>
          <cell r="O463"/>
          <cell r="P463"/>
          <cell r="Q463"/>
          <cell r="R463"/>
          <cell r="S463"/>
          <cell r="T463"/>
          <cell r="U463"/>
          <cell r="V463"/>
          <cell r="W463"/>
          <cell r="X463"/>
          <cell r="Y463"/>
          <cell r="Z463"/>
          <cell r="AA463"/>
          <cell r="AB463"/>
          <cell r="AC463"/>
          <cell r="AD463"/>
          <cell r="AE463"/>
        </row>
        <row r="464">
          <cell r="G464"/>
          <cell r="H464"/>
          <cell r="I464"/>
          <cell r="J464"/>
          <cell r="K464"/>
          <cell r="L464"/>
          <cell r="M464"/>
          <cell r="N464"/>
          <cell r="O464"/>
          <cell r="P464"/>
          <cell r="Q464"/>
          <cell r="R464"/>
          <cell r="S464"/>
          <cell r="T464"/>
          <cell r="U464"/>
          <cell r="V464"/>
          <cell r="W464"/>
          <cell r="X464"/>
          <cell r="Y464"/>
          <cell r="Z464"/>
          <cell r="AA464"/>
          <cell r="AB464"/>
          <cell r="AC464"/>
          <cell r="AD464"/>
          <cell r="AE464"/>
        </row>
        <row r="465">
          <cell r="G465"/>
          <cell r="H465"/>
          <cell r="I465"/>
          <cell r="J465"/>
          <cell r="K465"/>
          <cell r="L465"/>
          <cell r="M465"/>
          <cell r="N465"/>
          <cell r="O465"/>
          <cell r="P465"/>
          <cell r="Q465"/>
          <cell r="R465"/>
          <cell r="S465"/>
          <cell r="T465"/>
          <cell r="U465"/>
          <cell r="V465"/>
          <cell r="W465"/>
          <cell r="X465"/>
          <cell r="Y465"/>
          <cell r="Z465"/>
          <cell r="AA465"/>
          <cell r="AB465"/>
          <cell r="AC465"/>
          <cell r="AD465"/>
          <cell r="AE465"/>
        </row>
        <row r="466">
          <cell r="G466"/>
          <cell r="H466"/>
          <cell r="I466"/>
          <cell r="J466"/>
          <cell r="K466"/>
          <cell r="L466"/>
          <cell r="M466"/>
          <cell r="N466"/>
          <cell r="O466"/>
          <cell r="P466"/>
          <cell r="Q466"/>
          <cell r="R466"/>
          <cell r="S466"/>
          <cell r="T466"/>
          <cell r="U466"/>
          <cell r="V466"/>
          <cell r="W466"/>
          <cell r="X466"/>
          <cell r="Y466"/>
          <cell r="Z466"/>
          <cell r="AA466"/>
          <cell r="AB466"/>
          <cell r="AC466"/>
          <cell r="AD466"/>
          <cell r="AE466"/>
        </row>
        <row r="467">
          <cell r="G467"/>
          <cell r="H467"/>
          <cell r="I467"/>
          <cell r="J467"/>
          <cell r="K467"/>
          <cell r="L467"/>
          <cell r="M467"/>
          <cell r="N467"/>
          <cell r="O467"/>
          <cell r="P467"/>
          <cell r="Q467"/>
          <cell r="R467"/>
          <cell r="S467"/>
          <cell r="T467"/>
          <cell r="U467"/>
          <cell r="V467"/>
          <cell r="W467"/>
          <cell r="X467"/>
          <cell r="Y467"/>
          <cell r="Z467"/>
          <cell r="AA467"/>
          <cell r="AB467"/>
          <cell r="AC467"/>
          <cell r="AD467"/>
          <cell r="AE467"/>
        </row>
        <row r="468">
          <cell r="G468"/>
          <cell r="H468"/>
          <cell r="I468"/>
          <cell r="J468"/>
          <cell r="K468"/>
          <cell r="L468"/>
          <cell r="M468"/>
          <cell r="N468"/>
          <cell r="O468"/>
          <cell r="P468"/>
          <cell r="Q468"/>
          <cell r="R468"/>
          <cell r="S468"/>
          <cell r="T468"/>
          <cell r="U468"/>
          <cell r="V468"/>
          <cell r="W468"/>
          <cell r="X468"/>
          <cell r="Y468"/>
          <cell r="Z468"/>
          <cell r="AA468"/>
          <cell r="AB468"/>
          <cell r="AC468"/>
          <cell r="AD468"/>
          <cell r="AE468"/>
        </row>
        <row r="469">
          <cell r="G469"/>
          <cell r="H469"/>
          <cell r="I469"/>
          <cell r="J469"/>
          <cell r="K469"/>
          <cell r="L469"/>
          <cell r="M469"/>
          <cell r="N469"/>
          <cell r="O469"/>
          <cell r="P469"/>
          <cell r="Q469"/>
          <cell r="R469"/>
          <cell r="S469"/>
          <cell r="T469"/>
          <cell r="U469"/>
          <cell r="V469"/>
          <cell r="W469"/>
          <cell r="X469"/>
          <cell r="Y469"/>
          <cell r="Z469"/>
          <cell r="AA469"/>
          <cell r="AB469"/>
          <cell r="AC469"/>
          <cell r="AD469"/>
          <cell r="AE469"/>
        </row>
        <row r="470">
          <cell r="G470"/>
          <cell r="H470"/>
          <cell r="I470"/>
          <cell r="J470"/>
          <cell r="K470"/>
          <cell r="L470"/>
          <cell r="M470"/>
          <cell r="N470"/>
          <cell r="O470"/>
          <cell r="P470"/>
          <cell r="Q470"/>
          <cell r="R470"/>
          <cell r="S470"/>
          <cell r="T470"/>
          <cell r="U470"/>
          <cell r="V470"/>
          <cell r="W470"/>
          <cell r="X470"/>
          <cell r="Y470"/>
          <cell r="Z470"/>
          <cell r="AA470"/>
          <cell r="AB470"/>
          <cell r="AC470"/>
          <cell r="AD470"/>
          <cell r="AE470"/>
        </row>
        <row r="471">
          <cell r="G471"/>
          <cell r="H471"/>
          <cell r="I471"/>
          <cell r="J471"/>
          <cell r="K471"/>
          <cell r="L471"/>
          <cell r="M471"/>
          <cell r="N471"/>
          <cell r="O471"/>
          <cell r="P471"/>
          <cell r="Q471"/>
          <cell r="R471"/>
          <cell r="S471"/>
          <cell r="T471"/>
          <cell r="U471"/>
          <cell r="V471"/>
          <cell r="W471"/>
          <cell r="X471"/>
          <cell r="Y471"/>
          <cell r="Z471"/>
          <cell r="AA471"/>
          <cell r="AB471"/>
          <cell r="AC471"/>
          <cell r="AD471"/>
          <cell r="AE471"/>
        </row>
        <row r="472">
          <cell r="G472"/>
          <cell r="H472"/>
          <cell r="I472"/>
          <cell r="J472"/>
          <cell r="K472"/>
          <cell r="L472"/>
          <cell r="M472"/>
          <cell r="N472"/>
          <cell r="O472"/>
          <cell r="P472"/>
          <cell r="Q472"/>
          <cell r="R472"/>
          <cell r="S472"/>
          <cell r="T472"/>
          <cell r="U472"/>
          <cell r="V472"/>
          <cell r="W472"/>
          <cell r="X472"/>
          <cell r="Y472"/>
          <cell r="Z472"/>
          <cell r="AA472"/>
          <cell r="AB472"/>
          <cell r="AC472"/>
          <cell r="AD472"/>
          <cell r="AE472"/>
        </row>
        <row r="473">
          <cell r="G473"/>
          <cell r="H473"/>
          <cell r="I473"/>
          <cell r="J473"/>
          <cell r="K473"/>
          <cell r="L473"/>
          <cell r="M473"/>
          <cell r="N473"/>
          <cell r="O473"/>
          <cell r="P473"/>
          <cell r="Q473"/>
          <cell r="R473"/>
          <cell r="S473"/>
          <cell r="T473"/>
          <cell r="U473"/>
          <cell r="V473"/>
          <cell r="W473"/>
          <cell r="X473"/>
          <cell r="Y473"/>
          <cell r="Z473"/>
          <cell r="AA473"/>
          <cell r="AB473"/>
          <cell r="AC473"/>
          <cell r="AD473"/>
          <cell r="AE473"/>
        </row>
        <row r="474">
          <cell r="G474"/>
          <cell r="H474"/>
          <cell r="I474"/>
          <cell r="J474"/>
          <cell r="K474"/>
          <cell r="L474"/>
          <cell r="M474"/>
          <cell r="N474"/>
          <cell r="O474"/>
          <cell r="P474"/>
          <cell r="Q474"/>
          <cell r="R474"/>
          <cell r="S474"/>
          <cell r="T474"/>
          <cell r="U474"/>
          <cell r="V474"/>
          <cell r="W474"/>
          <cell r="X474"/>
          <cell r="Y474"/>
          <cell r="Z474"/>
          <cell r="AA474"/>
          <cell r="AB474"/>
          <cell r="AC474"/>
          <cell r="AD474"/>
          <cell r="AE474"/>
        </row>
        <row r="475">
          <cell r="G475"/>
          <cell r="H475"/>
          <cell r="I475"/>
          <cell r="J475"/>
          <cell r="K475"/>
          <cell r="L475"/>
          <cell r="M475"/>
          <cell r="N475"/>
          <cell r="O475"/>
          <cell r="P475"/>
          <cell r="Q475"/>
          <cell r="R475"/>
          <cell r="S475"/>
          <cell r="T475"/>
          <cell r="U475"/>
          <cell r="V475"/>
          <cell r="W475"/>
          <cell r="X475"/>
          <cell r="Y475"/>
          <cell r="Z475"/>
          <cell r="AA475"/>
          <cell r="AB475"/>
          <cell r="AC475"/>
          <cell r="AD475"/>
          <cell r="AE475"/>
        </row>
        <row r="476">
          <cell r="G476"/>
          <cell r="H476"/>
          <cell r="I476"/>
          <cell r="J476"/>
          <cell r="K476"/>
          <cell r="L476"/>
          <cell r="M476"/>
          <cell r="N476"/>
          <cell r="O476"/>
          <cell r="P476"/>
          <cell r="Q476"/>
          <cell r="R476"/>
          <cell r="S476"/>
          <cell r="T476"/>
          <cell r="U476"/>
          <cell r="V476"/>
          <cell r="W476"/>
          <cell r="X476"/>
          <cell r="Y476"/>
          <cell r="Z476"/>
          <cell r="AA476"/>
          <cell r="AB476"/>
          <cell r="AC476"/>
          <cell r="AD476"/>
          <cell r="AE476"/>
        </row>
        <row r="477">
          <cell r="G477"/>
          <cell r="H477"/>
          <cell r="I477"/>
          <cell r="J477"/>
          <cell r="K477"/>
          <cell r="L477"/>
          <cell r="M477"/>
          <cell r="N477"/>
          <cell r="O477"/>
          <cell r="P477"/>
          <cell r="Q477"/>
          <cell r="R477"/>
          <cell r="S477"/>
          <cell r="T477"/>
          <cell r="U477"/>
          <cell r="V477"/>
          <cell r="W477"/>
          <cell r="X477"/>
          <cell r="Y477"/>
          <cell r="Z477"/>
          <cell r="AA477"/>
          <cell r="AB477"/>
          <cell r="AC477"/>
          <cell r="AD477"/>
          <cell r="AE477"/>
        </row>
        <row r="478">
          <cell r="G478"/>
          <cell r="H478"/>
          <cell r="I478"/>
          <cell r="J478"/>
          <cell r="K478"/>
          <cell r="L478"/>
          <cell r="M478"/>
          <cell r="N478"/>
          <cell r="O478"/>
          <cell r="P478"/>
          <cell r="Q478"/>
          <cell r="R478"/>
          <cell r="S478"/>
          <cell r="T478"/>
          <cell r="U478"/>
          <cell r="V478"/>
          <cell r="W478"/>
          <cell r="X478"/>
          <cell r="Y478"/>
          <cell r="Z478"/>
          <cell r="AA478"/>
          <cell r="AB478"/>
          <cell r="AC478"/>
          <cell r="AD478"/>
          <cell r="AE478"/>
        </row>
        <row r="479">
          <cell r="G479"/>
          <cell r="H479"/>
          <cell r="I479"/>
          <cell r="J479"/>
          <cell r="K479"/>
          <cell r="L479"/>
          <cell r="M479"/>
          <cell r="N479"/>
          <cell r="O479"/>
          <cell r="P479"/>
          <cell r="Q479"/>
          <cell r="R479"/>
          <cell r="S479"/>
          <cell r="T479"/>
          <cell r="U479"/>
          <cell r="V479"/>
          <cell r="W479"/>
          <cell r="X479"/>
          <cell r="Y479"/>
          <cell r="Z479"/>
          <cell r="AA479"/>
          <cell r="AB479"/>
          <cell r="AC479"/>
          <cell r="AD479"/>
          <cell r="AE479"/>
        </row>
        <row r="480">
          <cell r="G480"/>
          <cell r="H480"/>
          <cell r="I480"/>
          <cell r="J480"/>
          <cell r="K480"/>
          <cell r="L480"/>
          <cell r="M480"/>
          <cell r="N480"/>
          <cell r="O480"/>
          <cell r="P480"/>
          <cell r="Q480"/>
          <cell r="R480"/>
          <cell r="S480"/>
          <cell r="T480"/>
          <cell r="U480"/>
          <cell r="V480"/>
          <cell r="W480"/>
          <cell r="X480"/>
          <cell r="Y480"/>
          <cell r="Z480"/>
          <cell r="AA480"/>
          <cell r="AB480"/>
          <cell r="AC480"/>
          <cell r="AD480"/>
          <cell r="AE480"/>
        </row>
        <row r="481">
          <cell r="G481"/>
          <cell r="H481"/>
          <cell r="I481"/>
          <cell r="J481"/>
          <cell r="K481"/>
          <cell r="L481"/>
          <cell r="M481"/>
          <cell r="N481"/>
          <cell r="O481"/>
          <cell r="P481"/>
          <cell r="Q481"/>
          <cell r="R481"/>
          <cell r="S481"/>
          <cell r="T481"/>
          <cell r="U481"/>
          <cell r="V481"/>
          <cell r="W481"/>
          <cell r="X481"/>
          <cell r="Y481"/>
          <cell r="Z481"/>
          <cell r="AA481"/>
          <cell r="AB481"/>
          <cell r="AC481"/>
          <cell r="AD481"/>
          <cell r="AE481"/>
        </row>
        <row r="482">
          <cell r="G482"/>
          <cell r="H482"/>
          <cell r="I482"/>
          <cell r="J482"/>
          <cell r="K482"/>
          <cell r="L482"/>
          <cell r="M482"/>
          <cell r="N482"/>
          <cell r="O482"/>
          <cell r="P482"/>
          <cell r="Q482"/>
          <cell r="R482"/>
          <cell r="S482"/>
          <cell r="T482"/>
          <cell r="U482"/>
          <cell r="V482"/>
          <cell r="W482"/>
          <cell r="X482"/>
          <cell r="Y482"/>
          <cell r="Z482"/>
          <cell r="AA482"/>
          <cell r="AB482"/>
          <cell r="AC482"/>
          <cell r="AD482"/>
          <cell r="AE482"/>
        </row>
        <row r="483">
          <cell r="G483"/>
          <cell r="H483"/>
          <cell r="I483"/>
          <cell r="J483"/>
          <cell r="K483"/>
          <cell r="L483"/>
          <cell r="M483"/>
          <cell r="N483"/>
          <cell r="O483"/>
          <cell r="P483"/>
          <cell r="Q483"/>
          <cell r="R483"/>
          <cell r="S483"/>
          <cell r="T483"/>
          <cell r="U483"/>
          <cell r="V483"/>
          <cell r="W483"/>
          <cell r="X483"/>
          <cell r="Y483"/>
          <cell r="Z483"/>
          <cell r="AA483"/>
          <cell r="AB483"/>
          <cell r="AC483"/>
          <cell r="AD483"/>
          <cell r="AE483"/>
        </row>
        <row r="484">
          <cell r="G484"/>
          <cell r="H484"/>
          <cell r="I484"/>
          <cell r="J484"/>
          <cell r="K484"/>
          <cell r="L484"/>
          <cell r="M484"/>
          <cell r="N484"/>
          <cell r="O484"/>
          <cell r="P484"/>
          <cell r="Q484"/>
          <cell r="R484"/>
          <cell r="S484"/>
          <cell r="T484"/>
          <cell r="U484"/>
          <cell r="V484"/>
          <cell r="W484"/>
          <cell r="X484"/>
          <cell r="Y484"/>
          <cell r="Z484"/>
          <cell r="AA484"/>
          <cell r="AB484"/>
          <cell r="AC484"/>
          <cell r="AD484"/>
          <cell r="AE484"/>
        </row>
        <row r="485">
          <cell r="G485"/>
          <cell r="H485"/>
          <cell r="I485"/>
          <cell r="J485"/>
          <cell r="K485"/>
          <cell r="L485"/>
          <cell r="M485"/>
          <cell r="N485"/>
          <cell r="O485"/>
          <cell r="P485"/>
          <cell r="Q485"/>
          <cell r="R485"/>
          <cell r="S485"/>
          <cell r="T485"/>
          <cell r="U485"/>
          <cell r="V485"/>
          <cell r="W485"/>
          <cell r="X485"/>
          <cell r="Y485"/>
          <cell r="Z485"/>
          <cell r="AA485"/>
          <cell r="AB485"/>
          <cell r="AC485"/>
          <cell r="AD485"/>
          <cell r="AE485"/>
        </row>
        <row r="486">
          <cell r="G486"/>
          <cell r="H486"/>
          <cell r="I486"/>
          <cell r="J486"/>
          <cell r="K486"/>
          <cell r="L486"/>
          <cell r="M486"/>
          <cell r="N486"/>
          <cell r="O486"/>
          <cell r="P486"/>
          <cell r="Q486"/>
          <cell r="R486"/>
          <cell r="S486"/>
          <cell r="T486"/>
          <cell r="U486"/>
          <cell r="V486"/>
          <cell r="W486"/>
          <cell r="X486"/>
          <cell r="Y486"/>
          <cell r="Z486"/>
          <cell r="AA486"/>
          <cell r="AB486"/>
          <cell r="AC486"/>
          <cell r="AD486"/>
          <cell r="AE486"/>
        </row>
        <row r="487">
          <cell r="G487"/>
          <cell r="H487"/>
          <cell r="I487"/>
          <cell r="J487"/>
          <cell r="K487"/>
          <cell r="L487"/>
          <cell r="M487"/>
          <cell r="N487"/>
          <cell r="O487"/>
          <cell r="P487"/>
          <cell r="Q487"/>
          <cell r="R487"/>
          <cell r="S487"/>
          <cell r="T487"/>
          <cell r="U487"/>
          <cell r="V487"/>
          <cell r="W487"/>
          <cell r="X487"/>
          <cell r="Y487"/>
          <cell r="Z487"/>
          <cell r="AA487"/>
          <cell r="AB487"/>
          <cell r="AC487"/>
          <cell r="AD487"/>
          <cell r="AE487"/>
        </row>
        <row r="488">
          <cell r="G488"/>
          <cell r="H488"/>
          <cell r="I488"/>
          <cell r="J488"/>
          <cell r="K488"/>
          <cell r="L488"/>
          <cell r="M488"/>
          <cell r="N488"/>
          <cell r="O488"/>
          <cell r="P488"/>
          <cell r="Q488"/>
          <cell r="R488"/>
          <cell r="S488"/>
          <cell r="T488"/>
          <cell r="U488"/>
          <cell r="V488"/>
          <cell r="W488"/>
          <cell r="X488"/>
          <cell r="Y488"/>
          <cell r="Z488"/>
          <cell r="AA488"/>
          <cell r="AB488"/>
          <cell r="AC488"/>
          <cell r="AD488"/>
          <cell r="AE488"/>
        </row>
        <row r="489">
          <cell r="G489"/>
          <cell r="H489"/>
          <cell r="I489"/>
          <cell r="J489"/>
          <cell r="K489"/>
          <cell r="L489"/>
          <cell r="M489"/>
          <cell r="N489"/>
          <cell r="O489"/>
          <cell r="P489"/>
          <cell r="Q489"/>
          <cell r="R489"/>
          <cell r="S489"/>
          <cell r="T489"/>
          <cell r="U489"/>
          <cell r="V489"/>
          <cell r="W489"/>
          <cell r="X489"/>
          <cell r="Y489"/>
          <cell r="Z489"/>
          <cell r="AA489"/>
          <cell r="AB489"/>
          <cell r="AC489"/>
          <cell r="AD489"/>
          <cell r="AE489"/>
        </row>
        <row r="490">
          <cell r="G490"/>
          <cell r="H490"/>
          <cell r="I490"/>
          <cell r="J490"/>
          <cell r="K490"/>
          <cell r="L490"/>
          <cell r="M490"/>
          <cell r="N490"/>
          <cell r="O490"/>
          <cell r="P490"/>
          <cell r="Q490"/>
          <cell r="R490"/>
          <cell r="S490"/>
          <cell r="T490"/>
          <cell r="U490"/>
          <cell r="V490"/>
          <cell r="W490"/>
          <cell r="X490"/>
          <cell r="Y490"/>
          <cell r="Z490"/>
          <cell r="AA490"/>
          <cell r="AB490"/>
          <cell r="AC490"/>
          <cell r="AD490"/>
          <cell r="AE490"/>
        </row>
        <row r="491">
          <cell r="G491"/>
          <cell r="H491"/>
          <cell r="I491"/>
          <cell r="J491"/>
          <cell r="K491"/>
          <cell r="L491"/>
          <cell r="M491"/>
          <cell r="N491"/>
          <cell r="O491"/>
          <cell r="P491"/>
          <cell r="Q491"/>
          <cell r="R491"/>
          <cell r="S491"/>
          <cell r="T491"/>
          <cell r="U491"/>
          <cell r="V491"/>
          <cell r="W491"/>
          <cell r="X491"/>
          <cell r="Y491"/>
          <cell r="Z491"/>
          <cell r="AA491"/>
          <cell r="AB491"/>
          <cell r="AC491"/>
          <cell r="AD491"/>
          <cell r="AE491"/>
        </row>
        <row r="492">
          <cell r="G492"/>
          <cell r="H492"/>
          <cell r="I492"/>
          <cell r="J492"/>
          <cell r="K492"/>
          <cell r="L492"/>
          <cell r="M492"/>
          <cell r="N492"/>
          <cell r="O492"/>
          <cell r="P492"/>
          <cell r="Q492"/>
          <cell r="R492"/>
          <cell r="S492"/>
          <cell r="T492"/>
          <cell r="U492"/>
          <cell r="V492"/>
          <cell r="W492"/>
          <cell r="X492"/>
          <cell r="Y492"/>
          <cell r="Z492"/>
          <cell r="AA492"/>
          <cell r="AB492"/>
          <cell r="AC492"/>
          <cell r="AD492"/>
          <cell r="AE492"/>
        </row>
        <row r="493">
          <cell r="G493"/>
          <cell r="H493"/>
          <cell r="I493"/>
          <cell r="J493"/>
          <cell r="K493"/>
          <cell r="L493"/>
          <cell r="M493"/>
          <cell r="N493"/>
          <cell r="O493"/>
          <cell r="P493"/>
          <cell r="Q493"/>
          <cell r="R493"/>
          <cell r="S493"/>
          <cell r="T493"/>
          <cell r="U493"/>
          <cell r="V493"/>
          <cell r="W493"/>
          <cell r="X493"/>
          <cell r="Y493"/>
          <cell r="Z493"/>
          <cell r="AA493"/>
          <cell r="AB493"/>
          <cell r="AC493"/>
          <cell r="AD493"/>
          <cell r="AE493"/>
        </row>
        <row r="494">
          <cell r="G494"/>
          <cell r="H494"/>
          <cell r="I494"/>
          <cell r="J494"/>
          <cell r="K494"/>
          <cell r="L494"/>
          <cell r="M494"/>
          <cell r="N494"/>
          <cell r="O494"/>
          <cell r="P494"/>
          <cell r="Q494"/>
          <cell r="R494"/>
          <cell r="S494"/>
          <cell r="T494"/>
          <cell r="U494"/>
          <cell r="V494"/>
          <cell r="W494"/>
          <cell r="X494"/>
          <cell r="Y494"/>
          <cell r="Z494"/>
          <cell r="AA494"/>
          <cell r="AB494"/>
          <cell r="AC494"/>
          <cell r="AD494"/>
          <cell r="AE494"/>
        </row>
        <row r="495">
          <cell r="G495"/>
          <cell r="H495"/>
          <cell r="I495"/>
          <cell r="J495"/>
          <cell r="K495"/>
          <cell r="L495"/>
          <cell r="M495"/>
          <cell r="N495"/>
          <cell r="O495"/>
          <cell r="P495"/>
          <cell r="Q495"/>
          <cell r="R495"/>
          <cell r="S495"/>
          <cell r="T495"/>
          <cell r="U495"/>
          <cell r="V495"/>
          <cell r="W495"/>
          <cell r="X495"/>
          <cell r="Y495"/>
          <cell r="Z495"/>
          <cell r="AA495"/>
          <cell r="AB495"/>
          <cell r="AC495"/>
          <cell r="AD495"/>
          <cell r="AE495"/>
        </row>
        <row r="496">
          <cell r="G496"/>
          <cell r="H496"/>
          <cell r="I496"/>
          <cell r="J496"/>
          <cell r="K496"/>
          <cell r="L496"/>
          <cell r="M496"/>
          <cell r="N496"/>
          <cell r="O496"/>
          <cell r="P496"/>
          <cell r="Q496"/>
          <cell r="R496"/>
          <cell r="S496"/>
          <cell r="T496"/>
          <cell r="U496"/>
          <cell r="V496"/>
          <cell r="W496"/>
          <cell r="X496"/>
          <cell r="Y496"/>
          <cell r="Z496"/>
          <cell r="AA496"/>
          <cell r="AB496"/>
          <cell r="AC496"/>
          <cell r="AD496"/>
          <cell r="AE496"/>
        </row>
        <row r="497">
          <cell r="G497"/>
          <cell r="H497"/>
          <cell r="I497"/>
          <cell r="J497"/>
          <cell r="K497"/>
          <cell r="L497"/>
          <cell r="M497"/>
          <cell r="N497"/>
          <cell r="O497"/>
          <cell r="P497"/>
          <cell r="Q497"/>
          <cell r="R497"/>
          <cell r="S497"/>
          <cell r="T497"/>
          <cell r="U497"/>
          <cell r="V497"/>
          <cell r="W497"/>
          <cell r="X497"/>
          <cell r="Y497"/>
          <cell r="Z497"/>
          <cell r="AA497"/>
          <cell r="AB497"/>
          <cell r="AC497"/>
          <cell r="AD497"/>
          <cell r="AE497"/>
        </row>
        <row r="498">
          <cell r="G498"/>
          <cell r="H498"/>
          <cell r="I498"/>
          <cell r="J498"/>
          <cell r="K498"/>
          <cell r="L498"/>
          <cell r="M498"/>
          <cell r="N498"/>
          <cell r="O498"/>
          <cell r="P498"/>
          <cell r="Q498"/>
          <cell r="R498"/>
          <cell r="S498"/>
          <cell r="T498"/>
          <cell r="U498"/>
          <cell r="V498"/>
          <cell r="W498"/>
          <cell r="X498"/>
          <cell r="Y498"/>
          <cell r="Z498"/>
          <cell r="AA498"/>
          <cell r="AB498"/>
          <cell r="AC498"/>
          <cell r="AD498"/>
          <cell r="AE498"/>
        </row>
        <row r="499">
          <cell r="G499"/>
          <cell r="H499"/>
          <cell r="I499"/>
          <cell r="J499"/>
          <cell r="K499"/>
          <cell r="L499"/>
          <cell r="M499"/>
          <cell r="N499"/>
          <cell r="O499"/>
          <cell r="P499"/>
          <cell r="Q499"/>
          <cell r="R499"/>
          <cell r="S499"/>
          <cell r="T499"/>
          <cell r="U499"/>
          <cell r="V499"/>
          <cell r="W499"/>
          <cell r="X499"/>
          <cell r="Y499"/>
          <cell r="Z499"/>
          <cell r="AA499"/>
          <cell r="AB499"/>
          <cell r="AC499"/>
          <cell r="AD499"/>
          <cell r="AE499"/>
        </row>
        <row r="500">
          <cell r="G500"/>
          <cell r="H500"/>
          <cell r="I500"/>
          <cell r="J500"/>
          <cell r="K500"/>
          <cell r="L500"/>
          <cell r="M500"/>
          <cell r="N500"/>
          <cell r="O500"/>
          <cell r="P500"/>
          <cell r="Q500"/>
          <cell r="R500"/>
          <cell r="S500"/>
          <cell r="T500"/>
          <cell r="U500"/>
          <cell r="V500"/>
          <cell r="W500"/>
          <cell r="X500"/>
          <cell r="Y500"/>
          <cell r="Z500"/>
          <cell r="AA500"/>
          <cell r="AB500"/>
          <cell r="AC500"/>
          <cell r="AD500"/>
          <cell r="AE500"/>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efreshError="1"/>
      <sheetData sheetId="32" refreshError="1"/>
      <sheetData sheetId="33" refreshError="1"/>
      <sheetData sheetId="34"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Efficacy"/>
      <sheetName val="Prices"/>
    </sheetNames>
    <sheetDataSet>
      <sheetData sheetId="0">
        <row r="8">
          <cell r="R8">
            <v>76</v>
          </cell>
          <cell r="U8">
            <v>90</v>
          </cell>
        </row>
        <row r="16">
          <cell r="R16">
            <v>62</v>
          </cell>
          <cell r="U16">
            <v>75</v>
          </cell>
        </row>
        <row r="25">
          <cell r="R25">
            <v>85</v>
          </cell>
          <cell r="U25">
            <v>98</v>
          </cell>
        </row>
      </sheetData>
      <sheetData sheetId="1">
        <row r="21">
          <cell r="U21">
            <v>0.81005788606478368</v>
          </cell>
        </row>
        <row r="22">
          <cell r="U22">
            <v>0.61169856272276224</v>
          </cell>
        </row>
      </sheetData>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Note"/>
      <sheetName val="Flyover"/>
      <sheetName val="LPDExist"/>
      <sheetName val="Pre_2014"/>
      <sheetName val="LPDNew"/>
      <sheetName val="Post 2014"/>
      <sheetName val="DOE2014 Sales Pen"/>
      <sheetName val="Applic"/>
      <sheetName val="ApplicNotes"/>
      <sheetName val="CBSA Tables"/>
      <sheetName val="CBSA Hrs_Plus"/>
      <sheetName val="CBSA LPD Dist t53"/>
      <sheetName val="LOG"/>
      <sheetName val="6PResults"/>
      <sheetName val="6P New"/>
    </sheetNames>
    <sheetDataSet>
      <sheetData sheetId="0"/>
      <sheetData sheetId="1"/>
      <sheetData sheetId="2"/>
      <sheetData sheetId="3"/>
      <sheetData sheetId="4"/>
      <sheetData sheetId="5"/>
      <sheetData sheetId="6">
        <row r="3">
          <cell r="AA3">
            <v>1</v>
          </cell>
          <cell r="AB3">
            <v>2</v>
          </cell>
          <cell r="AC3">
            <v>3</v>
          </cell>
          <cell r="AD3">
            <v>4</v>
          </cell>
          <cell r="AE3">
            <v>5</v>
          </cell>
          <cell r="AF3">
            <v>6</v>
          </cell>
          <cell r="AG3">
            <v>7</v>
          </cell>
          <cell r="AH3"/>
        </row>
        <row r="4">
          <cell r="AA4"/>
          <cell r="AF4"/>
          <cell r="AG4"/>
          <cell r="AH4"/>
        </row>
        <row r="5">
          <cell r="AA5" t="str">
            <v>Lookup Value</v>
          </cell>
          <cell r="AB5" t="str">
            <v>Type</v>
          </cell>
          <cell r="AC5" t="str">
            <v>Sub Type</v>
          </cell>
          <cell r="AD5" t="str">
            <v>DOE Forecast for 2015</v>
          </cell>
          <cell r="AE5" t="str">
            <v>DOE Forecast for 2016</v>
          </cell>
          <cell r="AF5" t="str">
            <v>BPA/Cadeo Estimates Forecast 2016</v>
          </cell>
          <cell r="AG5" t="str">
            <v>Council Forecast  Baseline 2016</v>
          </cell>
          <cell r="AH5" t="str">
            <v>Notes</v>
          </cell>
        </row>
        <row r="6">
          <cell r="AB6" t="str">
            <v>General Service</v>
          </cell>
          <cell r="AC6" t="str">
            <v>All</v>
          </cell>
          <cell r="AD6">
            <v>0.19</v>
          </cell>
          <cell r="AE6">
            <v>0.35333333333334066</v>
          </cell>
          <cell r="AF6">
            <v>0.1</v>
          </cell>
          <cell r="AG6">
            <v>0.12</v>
          </cell>
          <cell r="AH6" t="str">
            <v>revised downward</v>
          </cell>
        </row>
        <row r="7">
          <cell r="AB7" t="str">
            <v>Decorative</v>
          </cell>
          <cell r="AC7" t="str">
            <v>All</v>
          </cell>
          <cell r="AD7">
            <v>0.03</v>
          </cell>
          <cell r="AE7">
            <v>0.06</v>
          </cell>
          <cell r="AF7">
            <v>0.03</v>
          </cell>
          <cell r="AG7">
            <v>0.06</v>
          </cell>
          <cell r="AH7" t="str">
            <v>no change</v>
          </cell>
        </row>
        <row r="8">
          <cell r="AB8" t="str">
            <v>Directional</v>
          </cell>
          <cell r="AC8" t="str">
            <v>All</v>
          </cell>
          <cell r="AD8">
            <v>0.13</v>
          </cell>
          <cell r="AF8"/>
          <cell r="AG8">
            <v>0.15</v>
          </cell>
          <cell r="AH8" t="str">
            <v>revised downward</v>
          </cell>
        </row>
        <row r="9">
          <cell r="AB9" t="str">
            <v>Directional</v>
          </cell>
          <cell r="AC9" t="str">
            <v>PAR Lamp</v>
          </cell>
          <cell r="AD9">
            <v>0.25</v>
          </cell>
          <cell r="AE9">
            <v>0.4</v>
          </cell>
          <cell r="AF9">
            <v>0.25</v>
          </cell>
          <cell r="AG9">
            <v>0.3</v>
          </cell>
          <cell r="AH9" t="str">
            <v>revised downward</v>
          </cell>
        </row>
        <row r="10">
          <cell r="AB10" t="str">
            <v>Directional</v>
          </cell>
          <cell r="AC10" t="str">
            <v>MR Lamp</v>
          </cell>
          <cell r="AD10">
            <v>0.25</v>
          </cell>
          <cell r="AE10">
            <v>0.4</v>
          </cell>
          <cell r="AF10">
            <v>0.25</v>
          </cell>
          <cell r="AG10">
            <v>0.25</v>
          </cell>
          <cell r="AH10" t="str">
            <v>revised downward</v>
          </cell>
        </row>
        <row r="11">
          <cell r="AB11" t="str">
            <v>Directional</v>
          </cell>
          <cell r="AC11" t="str">
            <v>PAR Fixture</v>
          </cell>
          <cell r="AD11">
            <v>0.04</v>
          </cell>
          <cell r="AF11">
            <v>0.05</v>
          </cell>
          <cell r="AG11">
            <v>0.05</v>
          </cell>
          <cell r="AH11" t="str">
            <v>revised downward</v>
          </cell>
        </row>
        <row r="12">
          <cell r="AB12" t="str">
            <v>Directional</v>
          </cell>
          <cell r="AC12" t="str">
            <v>MR Fixture</v>
          </cell>
          <cell r="AD12">
            <v>0.04</v>
          </cell>
          <cell r="AF12">
            <v>0.05</v>
          </cell>
          <cell r="AG12">
            <v>0.05</v>
          </cell>
          <cell r="AH12" t="str">
            <v>revised downward</v>
          </cell>
        </row>
        <row r="13">
          <cell r="AB13" t="str">
            <v>Downlight</v>
          </cell>
          <cell r="AC13" t="str">
            <v>DL Lamp</v>
          </cell>
          <cell r="AD13">
            <v>0.05</v>
          </cell>
          <cell r="AE13">
            <v>0.08</v>
          </cell>
          <cell r="AF13">
            <v>0.05</v>
          </cell>
          <cell r="AG13">
            <v>0.06</v>
          </cell>
          <cell r="AH13" t="str">
            <v>revised downward</v>
          </cell>
        </row>
        <row r="14">
          <cell r="AB14" t="str">
            <v>Downlight</v>
          </cell>
          <cell r="AC14" t="str">
            <v>DL Luminaire</v>
          </cell>
          <cell r="AD14">
            <v>0.02</v>
          </cell>
          <cell r="AE14">
            <v>0.02</v>
          </cell>
          <cell r="AF14">
            <v>0.05</v>
          </cell>
          <cell r="AG14">
            <v>0.02</v>
          </cell>
          <cell r="AH14" t="str">
            <v>revised downward</v>
          </cell>
        </row>
        <row r="15">
          <cell r="AB15" t="str">
            <v>Linear Fluorescent Fixture</v>
          </cell>
          <cell r="AC15" t="str">
            <v>Commercial</v>
          </cell>
          <cell r="AD15">
            <v>0.08</v>
          </cell>
          <cell r="AE15">
            <v>0.16</v>
          </cell>
          <cell r="AF15">
            <v>0.05</v>
          </cell>
          <cell r="AG15">
            <v>0.06</v>
          </cell>
          <cell r="AH15" t="str">
            <v>revised downward</v>
          </cell>
        </row>
        <row r="16">
          <cell r="AB16" t="str">
            <v>Linear Fluorescent Fixture</v>
          </cell>
          <cell r="AC16" t="str">
            <v>Industrtial</v>
          </cell>
          <cell r="AD16">
            <v>0.05</v>
          </cell>
          <cell r="AF16">
            <v>0.05</v>
          </cell>
          <cell r="AG16">
            <v>0.06</v>
          </cell>
          <cell r="AH16" t="str">
            <v>revised downward</v>
          </cell>
        </row>
        <row r="17">
          <cell r="AB17" t="str">
            <v>Low/High Bay</v>
          </cell>
          <cell r="AC17" t="str">
            <v>Commercial</v>
          </cell>
          <cell r="AD17">
            <v>0.04</v>
          </cell>
          <cell r="AE17">
            <v>0.1</v>
          </cell>
          <cell r="AF17">
            <v>0.05</v>
          </cell>
          <cell r="AG17">
            <v>0.06</v>
          </cell>
          <cell r="AH17" t="str">
            <v>revised downward</v>
          </cell>
        </row>
        <row r="18">
          <cell r="AB18" t="str">
            <v>Low/High Bay</v>
          </cell>
          <cell r="AC18" t="str">
            <v>Industrtial</v>
          </cell>
          <cell r="AD18">
            <v>0.09</v>
          </cell>
          <cell r="AF18">
            <v>0.1</v>
          </cell>
          <cell r="AG18">
            <v>0.1</v>
          </cell>
          <cell r="AH18" t="str">
            <v>revised downward</v>
          </cell>
        </row>
        <row r="19">
          <cell r="AB19" t="str">
            <v>Street &amp; Roadway</v>
          </cell>
          <cell r="AC19" t="str">
            <v>All</v>
          </cell>
          <cell r="AD19">
            <v>0.31</v>
          </cell>
          <cell r="AE19">
            <v>0.4</v>
          </cell>
          <cell r="AF19">
            <v>0.5</v>
          </cell>
          <cell r="AG19">
            <v>0.4</v>
          </cell>
          <cell r="AH19" t="str">
            <v>revised downward</v>
          </cell>
        </row>
        <row r="20">
          <cell r="AB20" t="str">
            <v>Parking</v>
          </cell>
          <cell r="AC20" t="str">
            <v>Lot</v>
          </cell>
          <cell r="AD20">
            <v>0.2</v>
          </cell>
          <cell r="AE20">
            <v>0.27</v>
          </cell>
          <cell r="AF20">
            <v>0.25</v>
          </cell>
          <cell r="AG20">
            <v>0.25</v>
          </cell>
          <cell r="AH20" t="str">
            <v>revised downward</v>
          </cell>
        </row>
        <row r="21">
          <cell r="AB21" t="str">
            <v>Parking</v>
          </cell>
          <cell r="AC21" t="str">
            <v>Garage</v>
          </cell>
          <cell r="AD21">
            <v>0.13</v>
          </cell>
          <cell r="AE21">
            <v>0.18</v>
          </cell>
          <cell r="AF21">
            <v>0.2</v>
          </cell>
          <cell r="AG21">
            <v>0.18</v>
          </cell>
          <cell r="AH21" t="str">
            <v>revised downward</v>
          </cell>
        </row>
        <row r="22">
          <cell r="AB22" t="str">
            <v>Exterior</v>
          </cell>
          <cell r="AC22" t="str">
            <v>All</v>
          </cell>
          <cell r="AD22">
            <v>0.17</v>
          </cell>
          <cell r="AE22">
            <v>0.36</v>
          </cell>
          <cell r="AF22">
            <v>0.25</v>
          </cell>
          <cell r="AG22">
            <v>0.25</v>
          </cell>
          <cell r="AH22" t="str">
            <v>revised downward</v>
          </cell>
        </row>
      </sheetData>
      <sheetData sheetId="7"/>
      <sheetData sheetId="8"/>
      <sheetData sheetId="9"/>
      <sheetData sheetId="10"/>
      <sheetData sheetId="11"/>
      <sheetData sheetId="12"/>
      <sheetData sheetId="13"/>
      <sheetData sheetId="1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10.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11.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2.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3.bin"/></Relationships>
</file>

<file path=xl/worksheets/_rels/sheet13.xml.rels><?xml version="1.0" encoding="UTF-8" standalone="yes"?>
<Relationships xmlns="http://schemas.openxmlformats.org/package/2006/relationships"><Relationship Id="rId13" Type="http://schemas.openxmlformats.org/officeDocument/2006/relationships/hyperlink" Target="https://www.1000bulbs.com/product/88360/LEDF-71130.html" TargetMode="External"/><Relationship Id="rId18" Type="http://schemas.openxmlformats.org/officeDocument/2006/relationships/hyperlink" Target="https://www.platt.com/platt-electric-supply/Wallpacks-LED-Wallpack-LED/Lumark/XTOR3A/product.aspx?zpid=887100" TargetMode="External"/><Relationship Id="rId26" Type="http://schemas.openxmlformats.org/officeDocument/2006/relationships/hyperlink" Target="https://www.platt.com/platt-electric-supply/Wallpacks-H-I-D-CFL-Wallpack-High-Pressure-Sodium/Lumark/WPS15/product.aspx?zpid=842182" TargetMode="External"/><Relationship Id="rId39" Type="http://schemas.openxmlformats.org/officeDocument/2006/relationships/hyperlink" Target="http://www.nwcouncil.org/energy/powerplan/7/technical" TargetMode="External"/><Relationship Id="rId3" Type="http://schemas.openxmlformats.org/officeDocument/2006/relationships/hyperlink" Target="https://www.1000bulbs.com/product/64532/RAB-WP4CH400PSQ.html" TargetMode="External"/><Relationship Id="rId21" Type="http://schemas.openxmlformats.org/officeDocument/2006/relationships/hyperlink" Target="http://www.cesco.com/b2c/product/Cooper-Lighting-AL2050LPCGY-All-Pro-1-Light-LED/3228" TargetMode="External"/><Relationship Id="rId34" Type="http://schemas.openxmlformats.org/officeDocument/2006/relationships/hyperlink" Target="https://www.platt.com/platt-electric-supply/HID-Metal-Halide-Traditional/Philips-Lighting/MH400-U-E/product.aspx?zpid=882680" TargetMode="External"/><Relationship Id="rId42" Type="http://schemas.openxmlformats.org/officeDocument/2006/relationships/hyperlink" Target="http://www.nwcouncil.org/energy/powerplan/7/technical" TargetMode="External"/><Relationship Id="rId47" Type="http://schemas.openxmlformats.org/officeDocument/2006/relationships/hyperlink" Target="http://www.nwcouncil.org/energy/powerplan/7/technical" TargetMode="External"/><Relationship Id="rId50" Type="http://schemas.openxmlformats.org/officeDocument/2006/relationships/hyperlink" Target="http://rtf.nwcouncil.org/measures/res/ResLightingCFLandLEDLamps_v3_3.xlsm" TargetMode="External"/><Relationship Id="rId7" Type="http://schemas.openxmlformats.org/officeDocument/2006/relationships/hyperlink" Target="https://www.1000bulbs.com/product/64874/RAB-WP2SN150.html" TargetMode="External"/><Relationship Id="rId12" Type="http://schemas.openxmlformats.org/officeDocument/2006/relationships/hyperlink" Target="http://www.cesco.com/b2c/product/Cooper-Lighting-AL2050LPCGY-All-Pro-1-Light-LED/3228" TargetMode="External"/><Relationship Id="rId17" Type="http://schemas.openxmlformats.org/officeDocument/2006/relationships/hyperlink" Target="https://www.1000bulbs.com/product/96043/RAB-WPLEDC104.html" TargetMode="External"/><Relationship Id="rId25" Type="http://schemas.openxmlformats.org/officeDocument/2006/relationships/hyperlink" Target="https://www.1000bulbs.com/product/101092/LED-8033E57.html" TargetMode="External"/><Relationship Id="rId33" Type="http://schemas.openxmlformats.org/officeDocument/2006/relationships/hyperlink" Target="https://www.platt.com/platt-electric-supply/HID-Metal-Halide-Pulse-Start-Traditional/Philips-Lighting/MHC150-U-M-4K-ALTO/product.aspx?zpid=528210" TargetMode="External"/><Relationship Id="rId38" Type="http://schemas.openxmlformats.org/officeDocument/2006/relationships/hyperlink" Target="https://www.platt.com/platt-electric-supply/HID-Metal-Halide-Pulse-Start-Traditional/Philips-Lighting/MHC150-U-M-4K-ALTO/product.aspx?zpid=528210" TargetMode="External"/><Relationship Id="rId46" Type="http://schemas.openxmlformats.org/officeDocument/2006/relationships/hyperlink" Target="http://www.nwcouncil.org/energy/powerplan/7/technical" TargetMode="External"/><Relationship Id="rId2" Type="http://schemas.openxmlformats.org/officeDocument/2006/relationships/hyperlink" Target="https://www.platt.com/platt-electric-supply/Wallpacks-H-I-D-CFL-Wallpack-High-Pressure-Sodium/Lithonia-Lighting/TWH-400S-TB-LPI/product.aspx?zpid=25999" TargetMode="External"/><Relationship Id="rId16" Type="http://schemas.openxmlformats.org/officeDocument/2006/relationships/hyperlink" Target="http://www.cesco.com/b2c/product/Cooper-Lighting-XTOR9A-PC2-Lumark-Crosstour-Full/119370" TargetMode="External"/><Relationship Id="rId20" Type="http://schemas.openxmlformats.org/officeDocument/2006/relationships/hyperlink" Target="http://www.cesco.com/b2c/product/Cooper-Lighting-XTOR3A-Crosstour-Junction-Box/587235" TargetMode="External"/><Relationship Id="rId29" Type="http://schemas.openxmlformats.org/officeDocument/2006/relationships/hyperlink" Target="https://www.1000bulbs.com/product/112102/TF-DC150150MHMTLP.html" TargetMode="External"/><Relationship Id="rId41" Type="http://schemas.openxmlformats.org/officeDocument/2006/relationships/hyperlink" Target="http://www.nwcouncil.org/energy/powerplan/7/technical" TargetMode="External"/><Relationship Id="rId54" Type="http://schemas.openxmlformats.org/officeDocument/2006/relationships/comments" Target="../comments8.xml"/><Relationship Id="rId1" Type="http://schemas.openxmlformats.org/officeDocument/2006/relationships/hyperlink" Target="https://www.platt.com/platt-electric-supply/Wallpacks-H-I-D-CFL-Wallpack-Metal-Halide/Lumark/WPP40/product.aspx?zpid=819040" TargetMode="External"/><Relationship Id="rId6" Type="http://schemas.openxmlformats.org/officeDocument/2006/relationships/hyperlink" Target="https://www.platt.com/platt-electric-supply/Wallpacks-H-I-D-CFL-Wallpack-Metal-Halide/Lithonia-Lighting/TWR1-150M-TB/product.aspx?zpid=794785" TargetMode="External"/><Relationship Id="rId11" Type="http://schemas.openxmlformats.org/officeDocument/2006/relationships/hyperlink" Target="http://www.cesco.com/b2c/product/Cooper-Lighting-XTOR3A-Crosstour-Junction-Box/587235" TargetMode="External"/><Relationship Id="rId24" Type="http://schemas.openxmlformats.org/officeDocument/2006/relationships/hyperlink" Target="https://www.platt.com/platt-electric-supply/LED-Post-Top-Site-Wall-Pack-Lamps-Pack/Light-Efficient-Design/LED-8033E30/Product.aspx?zpid=70941" TargetMode="External"/><Relationship Id="rId32" Type="http://schemas.openxmlformats.org/officeDocument/2006/relationships/hyperlink" Target="https://www.platt.com/platt-electric-supply/HID-Metal-Halide-Traditional/Philips-Lighting/MH150-U-M/product.aspx?zpid=267260" TargetMode="External"/><Relationship Id="rId37" Type="http://schemas.openxmlformats.org/officeDocument/2006/relationships/hyperlink" Target="https://www.platt.com/platt-electric-supply/HID-Metal-Halide-Traditional/Philips-Lighting/MH150-U-M/product.aspx?zpid=267260" TargetMode="External"/><Relationship Id="rId40" Type="http://schemas.openxmlformats.org/officeDocument/2006/relationships/hyperlink" Target="http://www.nwcouncil.org/energy/powerplan/7/technical" TargetMode="External"/><Relationship Id="rId45" Type="http://schemas.openxmlformats.org/officeDocument/2006/relationships/hyperlink" Target="http://www.nwcouncil.org/energy/powerplan/7/technical" TargetMode="External"/><Relationship Id="rId53" Type="http://schemas.openxmlformats.org/officeDocument/2006/relationships/vmlDrawing" Target="../drawings/vmlDrawing8.vml"/><Relationship Id="rId5" Type="http://schemas.openxmlformats.org/officeDocument/2006/relationships/hyperlink" Target="https://www.platt.com/platt-electric-supply/Wallpacks-H-I-D-CFL-Wallpack-High-Pressure-Sodium/Lumark/WPS15/product.aspx?zpid=842182" TargetMode="External"/><Relationship Id="rId15" Type="http://schemas.openxmlformats.org/officeDocument/2006/relationships/hyperlink" Target="https://www.platt.com/platt-electric-supply/Wallpacks-LED-Wallpack-LED/Lithonia-Lighting/TWH-LED-30C-50K/product.aspx?zpid=21321" TargetMode="External"/><Relationship Id="rId23" Type="http://schemas.openxmlformats.org/officeDocument/2006/relationships/hyperlink" Target="http://lppenergy.com/led-flood/10-led-down-light-iris/32w-led-10-down-light-iris-120-277v-4431-nominal-lumens-75-175w-hid-replace-usa-made-fits-1-75-od-tube/" TargetMode="External"/><Relationship Id="rId28" Type="http://schemas.openxmlformats.org/officeDocument/2006/relationships/hyperlink" Target="https://www.1000bulbs.com/product/64874/RAB-WP2SN150.html" TargetMode="External"/><Relationship Id="rId36" Type="http://schemas.openxmlformats.org/officeDocument/2006/relationships/hyperlink" Target="https://www.platt.com/platt-electric-supply/HID-High-Pressure-Sodium-Lamps-Standard/Philips-Lighting/C150S55-M/product.aspx?zpid=48763" TargetMode="External"/><Relationship Id="rId49" Type="http://schemas.openxmlformats.org/officeDocument/2006/relationships/hyperlink" Target="http://rtf.nwcouncil.org/measures/support/files/RTFStandardInformationWorkbook_v2_0.xlsx" TargetMode="External"/><Relationship Id="rId10" Type="http://schemas.openxmlformats.org/officeDocument/2006/relationships/hyperlink" Target="https://www.platt.com/platt-electric-supply/Wallpacks-LED-Wallpack-LED/Cree-Lighting/BXSPWA03FG-UZ/product.aspx?zpid=119585" TargetMode="External"/><Relationship Id="rId19" Type="http://schemas.openxmlformats.org/officeDocument/2006/relationships/hyperlink" Target="https://www.platt.com/platt-electric-supply/Wallpacks-LED-Wallpack-LED/Cree-Lighting/BXSPWA03FG-UZ/product.aspx?zpid=119585" TargetMode="External"/><Relationship Id="rId31" Type="http://schemas.openxmlformats.org/officeDocument/2006/relationships/hyperlink" Target="https://www.platt.com/platt-electric-supply/HID-High-Pressure-Sodium-Lamps-Standard/Philips-Lighting/C150S55-M/product.aspx?zpid=48763" TargetMode="External"/><Relationship Id="rId44" Type="http://schemas.openxmlformats.org/officeDocument/2006/relationships/hyperlink" Target="http://www.nwcouncil.org/energy/powerplan/7/technical" TargetMode="External"/><Relationship Id="rId52" Type="http://schemas.openxmlformats.org/officeDocument/2006/relationships/hyperlink" Target="http://www.nwcouncil.org/energy/powerplan/7/technical" TargetMode="External"/><Relationship Id="rId4" Type="http://schemas.openxmlformats.org/officeDocument/2006/relationships/hyperlink" Target="https://www.1000bulbs.com/product/59402/PLT-79084.html" TargetMode="External"/><Relationship Id="rId9" Type="http://schemas.openxmlformats.org/officeDocument/2006/relationships/hyperlink" Target="https://www.platt.com/platt-electric-supply/Wallpacks-LED-Wallpack-LED/Lumark/XTOR3A/product.aspx?zpid=887100" TargetMode="External"/><Relationship Id="rId14" Type="http://schemas.openxmlformats.org/officeDocument/2006/relationships/hyperlink" Target="https://www.platt.com/platt-electric-supply/Wallpacks-LED-Wallpack-LED/Lumark/XTOR9ARL/product.aspx?zpid=17772" TargetMode="External"/><Relationship Id="rId22" Type="http://schemas.openxmlformats.org/officeDocument/2006/relationships/hyperlink" Target="https://www.1000bulbs.com/product/88360/LEDF-71130.html" TargetMode="External"/><Relationship Id="rId27" Type="http://schemas.openxmlformats.org/officeDocument/2006/relationships/hyperlink" Target="https://www.platt.com/platt-electric-supply/Wallpacks-H-I-D-CFL-Wallpack-Metal-Halide/Lithonia-Lighting/TWR1-150M-TB/product.aspx?zpid=794785" TargetMode="External"/><Relationship Id="rId30" Type="http://schemas.openxmlformats.org/officeDocument/2006/relationships/hyperlink" Target="http://www.cesco.com/b2c/product/Cooper-Lighting-WPS40-Lumark-WP-Series-High/86119" TargetMode="External"/><Relationship Id="rId35" Type="http://schemas.openxmlformats.org/officeDocument/2006/relationships/hyperlink" Target="https://www.platt.com/platt-electric-supply/HID-Metal-Halide-Pulse-Start-Traditional/Philips-Lighting/MS400-U-PS/product.aspx?zpid=786890" TargetMode="External"/><Relationship Id="rId43" Type="http://schemas.openxmlformats.org/officeDocument/2006/relationships/hyperlink" Target="http://www.nwcouncil.org/energy/powerplan/7/technical" TargetMode="External"/><Relationship Id="rId48" Type="http://schemas.openxmlformats.org/officeDocument/2006/relationships/hyperlink" Target="http://rtf.nwcouncil.org/measures/res/ResLightingCFLandLEDLamps_v3_3.xlsm" TargetMode="External"/><Relationship Id="rId8" Type="http://schemas.openxmlformats.org/officeDocument/2006/relationships/hyperlink" Target="https://www.1000bulbs.com/product/112102/TF-DC150150MHMTLP.html" TargetMode="External"/><Relationship Id="rId51" Type="http://schemas.openxmlformats.org/officeDocument/2006/relationships/hyperlink" Target="http://rtf.nwcouncil.org/measures/support/files/RTFStandardInformationWorkbook_v2_0.xlsx" TargetMode="Externa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16.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AppData/CG/Main/CBSA/CBSA%202013/Data%20and%20Reports/CBSA%20Raw%20Data%20CONFIDENTIAL/CBSA%20Oct%2031%202014/GRISTv3_CBSA%20Public%20Site%20Summary%20Table%202014-10-31.xlsx" TargetMode="External"/><Relationship Id="rId1" Type="http://schemas.openxmlformats.org/officeDocument/2006/relationships/hyperlink" Target="../../../../../AppData/CG/Main/CBSA/CBSA%202013/Data%20and%20Reports/CBSA%20Raw%20Data%20CONFIDENTIAL/CBSA%20Oct%2031%202014/GRISTv1_CBSA%20Public%20Detailed%20Lighting%20Table%202014-10-31.xlsx" TargetMode="External"/><Relationship Id="rId4" Type="http://schemas.openxmlformats.org/officeDocument/2006/relationships/drawing" Target="../drawings/drawing2.xml"/></Relationships>
</file>

<file path=xl/worksheets/_rels/sheet17.xml.rels><?xml version="1.0" encoding="UTF-8" standalone="yes"?>
<Relationships xmlns="http://schemas.openxmlformats.org/package/2006/relationships"><Relationship Id="rId3" Type="http://schemas.openxmlformats.org/officeDocument/2006/relationships/package" Target="../embeddings/Microsoft_Office_Word_Document1.docx"/><Relationship Id="rId2" Type="http://schemas.openxmlformats.org/officeDocument/2006/relationships/vmlDrawing" Target="../drawings/vmlDrawing9.vml"/><Relationship Id="rId1" Type="http://schemas.openxmlformats.org/officeDocument/2006/relationships/printerSettings" Target="../printerSettings/printerSettings6.bin"/></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4.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6.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8.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sheet1.xml><?xml version="1.0" encoding="utf-8"?>
<worksheet xmlns="http://schemas.openxmlformats.org/spreadsheetml/2006/main" xmlns:r="http://schemas.openxmlformats.org/officeDocument/2006/relationships">
  <dimension ref="A1:BD34"/>
  <sheetViews>
    <sheetView topLeftCell="AB1" workbookViewId="0">
      <selection activeCell="AE26" sqref="AE26"/>
    </sheetView>
  </sheetViews>
  <sheetFormatPr defaultRowHeight="12.75"/>
  <cols>
    <col min="1" max="1" width="14.42578125" customWidth="1"/>
    <col min="2" max="2" width="12" customWidth="1"/>
    <col min="3" max="3" width="29.85546875" customWidth="1"/>
    <col min="4" max="4" width="12.28515625" bestFit="1" customWidth="1"/>
    <col min="5" max="5" width="12.140625" customWidth="1"/>
    <col min="6" max="8" width="11.85546875" customWidth="1"/>
    <col min="9" max="9" width="42" customWidth="1"/>
  </cols>
  <sheetData>
    <row r="1" spans="1:56" ht="15.75" thickBot="1">
      <c r="A1" s="259" t="s">
        <v>988</v>
      </c>
      <c r="B1" s="259" t="s">
        <v>989</v>
      </c>
      <c r="C1" s="259" t="s">
        <v>990</v>
      </c>
      <c r="D1" s="259" t="s">
        <v>991</v>
      </c>
      <c r="E1" s="259" t="s">
        <v>992</v>
      </c>
      <c r="F1" s="259" t="s">
        <v>993</v>
      </c>
      <c r="G1" s="259" t="s">
        <v>994</v>
      </c>
      <c r="H1" s="259" t="s">
        <v>995</v>
      </c>
      <c r="I1" s="259" t="s">
        <v>706</v>
      </c>
      <c r="J1" s="259" t="s">
        <v>707</v>
      </c>
      <c r="K1" s="263">
        <v>2016</v>
      </c>
      <c r="L1" s="264">
        <v>2017</v>
      </c>
      <c r="M1" s="264">
        <v>2018</v>
      </c>
      <c r="N1" s="264">
        <v>2019</v>
      </c>
      <c r="O1" s="264">
        <v>2020</v>
      </c>
      <c r="P1" s="264">
        <v>2021</v>
      </c>
      <c r="Q1" s="264">
        <v>2022</v>
      </c>
      <c r="R1" s="264">
        <v>2023</v>
      </c>
      <c r="S1" s="264">
        <v>2024</v>
      </c>
      <c r="T1" s="264">
        <v>2025</v>
      </c>
      <c r="U1" s="264">
        <v>2026</v>
      </c>
      <c r="V1" s="264">
        <v>2027</v>
      </c>
      <c r="W1" s="264">
        <v>2028</v>
      </c>
      <c r="X1" s="264">
        <v>2029</v>
      </c>
      <c r="Y1" s="264">
        <v>2030</v>
      </c>
      <c r="Z1" s="264">
        <v>2031</v>
      </c>
      <c r="AA1" s="264">
        <v>2032</v>
      </c>
      <c r="AB1" s="264">
        <v>2033</v>
      </c>
      <c r="AC1" s="264">
        <v>2034</v>
      </c>
      <c r="AD1" s="264">
        <v>2035</v>
      </c>
      <c r="AE1" s="363" t="s">
        <v>996</v>
      </c>
      <c r="AF1" s="192" t="s">
        <v>385</v>
      </c>
      <c r="AG1" s="193"/>
      <c r="AH1" s="193"/>
      <c r="AI1" s="193"/>
      <c r="AJ1" s="193"/>
      <c r="AK1" s="193"/>
      <c r="AL1" s="193"/>
      <c r="AM1" s="193"/>
      <c r="AN1" s="193"/>
      <c r="AO1" s="193"/>
      <c r="AP1" s="193"/>
      <c r="AQ1" s="194"/>
      <c r="AR1" s="191"/>
      <c r="AS1" s="192" t="s">
        <v>386</v>
      </c>
      <c r="AT1" s="193"/>
      <c r="AU1" s="193"/>
      <c r="AV1" s="193"/>
      <c r="AW1" s="193"/>
      <c r="AX1" s="193"/>
      <c r="AY1" s="193"/>
      <c r="AZ1" s="193"/>
      <c r="BA1" s="193"/>
      <c r="BB1" s="193"/>
      <c r="BC1" s="193"/>
      <c r="BD1" s="194"/>
    </row>
    <row r="2" spans="1:56" ht="15">
      <c r="A2" s="259"/>
      <c r="B2" s="259"/>
      <c r="C2" s="259"/>
      <c r="D2" s="259"/>
      <c r="E2" s="259"/>
      <c r="F2" s="259" t="s">
        <v>400</v>
      </c>
      <c r="G2" s="259" t="s">
        <v>389</v>
      </c>
      <c r="H2" s="259" t="s">
        <v>705</v>
      </c>
      <c r="I2" s="259">
        <f>'SC-New'!D62</f>
        <v>1000</v>
      </c>
      <c r="J2" s="259"/>
      <c r="K2" s="265" t="str">
        <f t="shared" ref="K2:AD2" si="0">CONCATENATE("aMW_",K$1)</f>
        <v>aMW_2016</v>
      </c>
      <c r="L2" s="266" t="str">
        <f t="shared" si="0"/>
        <v>aMW_2017</v>
      </c>
      <c r="M2" s="266" t="str">
        <f t="shared" si="0"/>
        <v>aMW_2018</v>
      </c>
      <c r="N2" s="266" t="str">
        <f t="shared" si="0"/>
        <v>aMW_2019</v>
      </c>
      <c r="O2" s="266" t="str">
        <f t="shared" si="0"/>
        <v>aMW_2020</v>
      </c>
      <c r="P2" s="266" t="str">
        <f t="shared" si="0"/>
        <v>aMW_2021</v>
      </c>
      <c r="Q2" s="266" t="str">
        <f t="shared" si="0"/>
        <v>aMW_2022</v>
      </c>
      <c r="R2" s="266" t="str">
        <f t="shared" si="0"/>
        <v>aMW_2023</v>
      </c>
      <c r="S2" s="266" t="str">
        <f t="shared" si="0"/>
        <v>aMW_2024</v>
      </c>
      <c r="T2" s="266" t="str">
        <f t="shared" si="0"/>
        <v>aMW_2025</v>
      </c>
      <c r="U2" s="266" t="str">
        <f t="shared" si="0"/>
        <v>aMW_2026</v>
      </c>
      <c r="V2" s="266" t="str">
        <f t="shared" si="0"/>
        <v>aMW_2027</v>
      </c>
      <c r="W2" s="266" t="str">
        <f t="shared" si="0"/>
        <v>aMW_2028</v>
      </c>
      <c r="X2" s="266" t="str">
        <f t="shared" si="0"/>
        <v>aMW_2029</v>
      </c>
      <c r="Y2" s="266" t="str">
        <f t="shared" si="0"/>
        <v>aMW_2030</v>
      </c>
      <c r="Z2" s="266" t="str">
        <f t="shared" si="0"/>
        <v>aMW_2031</v>
      </c>
      <c r="AA2" s="266" t="str">
        <f t="shared" si="0"/>
        <v>aMW_2032</v>
      </c>
      <c r="AB2" s="266" t="str">
        <f t="shared" si="0"/>
        <v>aMW_2033</v>
      </c>
      <c r="AC2" s="266" t="str">
        <f t="shared" si="0"/>
        <v>aMW_2034</v>
      </c>
      <c r="AD2" s="266" t="str">
        <f t="shared" si="0"/>
        <v>aMW_2035</v>
      </c>
      <c r="AE2" s="364" t="s">
        <v>996</v>
      </c>
      <c r="AF2" s="197" t="s">
        <v>401</v>
      </c>
      <c r="AG2" s="197" t="s">
        <v>402</v>
      </c>
      <c r="AH2" s="197" t="s">
        <v>403</v>
      </c>
      <c r="AI2" s="197" t="s">
        <v>404</v>
      </c>
      <c r="AJ2" s="197" t="s">
        <v>405</v>
      </c>
      <c r="AK2" s="197" t="s">
        <v>406</v>
      </c>
      <c r="AL2" s="197" t="s">
        <v>407</v>
      </c>
      <c r="AM2" s="197" t="s">
        <v>408</v>
      </c>
      <c r="AN2" s="197" t="s">
        <v>409</v>
      </c>
      <c r="AO2" s="197" t="s">
        <v>410</v>
      </c>
      <c r="AP2" s="197" t="s">
        <v>411</v>
      </c>
      <c r="AQ2" s="197" t="s">
        <v>412</v>
      </c>
      <c r="AR2" s="197"/>
      <c r="AS2" s="197" t="s">
        <v>401</v>
      </c>
      <c r="AT2" s="197" t="s">
        <v>402</v>
      </c>
      <c r="AU2" s="197" t="s">
        <v>403</v>
      </c>
      <c r="AV2" s="197" t="s">
        <v>404</v>
      </c>
      <c r="AW2" s="197" t="s">
        <v>405</v>
      </c>
      <c r="AX2" s="197" t="s">
        <v>406</v>
      </c>
      <c r="AY2" s="197" t="s">
        <v>407</v>
      </c>
      <c r="AZ2" s="197" t="s">
        <v>408</v>
      </c>
      <c r="BA2" s="197" t="s">
        <v>409</v>
      </c>
      <c r="BB2" s="197" t="s">
        <v>410</v>
      </c>
      <c r="BC2" s="197" t="s">
        <v>411</v>
      </c>
      <c r="BD2" s="197" t="s">
        <v>412</v>
      </c>
    </row>
    <row r="3" spans="1:56" ht="15">
      <c r="A3" s="279" t="str">
        <f>VLOOKUP(CONCATENATE(C3,"-",B3),[1]!ACHIEV,2,FALSE)</f>
        <v>LO20Fast</v>
      </c>
      <c r="B3" s="279" t="str">
        <f>'SC-New'!$D$7</f>
        <v>New</v>
      </c>
      <c r="C3" s="279" t="str">
        <f>[1]MLIST!$B$66</f>
        <v>Exterior Building Lighting</v>
      </c>
      <c r="D3" s="279" t="s">
        <v>896</v>
      </c>
      <c r="E3" s="279" t="s">
        <v>997</v>
      </c>
      <c r="F3" s="365">
        <f>VLOOKUP(I3,M_Input_Out!$A$1:$AM$3999,14,FALSE)</f>
        <v>3.2580822604331608E-2</v>
      </c>
      <c r="G3" s="366">
        <f>VLOOKUP(I3,M_Input_Out!$A$1:$AM$3999,3,FALSE)</f>
        <v>139.58339165168746</v>
      </c>
      <c r="H3" s="366">
        <f>VLOOKUP(I3,M_Input_Out!$A$1:$AM$3999,11,FALSE)</f>
        <v>-2.1286144119562276</v>
      </c>
      <c r="I3" s="24" t="str">
        <f>'SC-New'!C64</f>
        <v>Exterior Lighting: Parking Lot - HPS 250W - New</v>
      </c>
      <c r="J3" s="24"/>
      <c r="K3" s="45">
        <f>'SC-New'!E64</f>
        <v>0.1283329718354824</v>
      </c>
      <c r="L3" s="45">
        <f>'SC-New'!F64</f>
        <v>0.18864306813656528</v>
      </c>
      <c r="M3" s="45">
        <f>'SC-New'!G64</f>
        <v>0.21065301311195578</v>
      </c>
      <c r="N3" s="45">
        <f>'SC-New'!H64</f>
        <v>0.24640894736905303</v>
      </c>
      <c r="O3" s="45">
        <f>'SC-New'!I64</f>
        <v>0.23782574344356747</v>
      </c>
      <c r="P3" s="45">
        <f>'SC-New'!J64</f>
        <v>0.23839745954394542</v>
      </c>
      <c r="Q3" s="45">
        <f>'SC-New'!K64</f>
        <v>0.28118512142914176</v>
      </c>
      <c r="R3" s="45">
        <f>'SC-New'!L64</f>
        <v>0.29663850789085422</v>
      </c>
      <c r="S3" s="45">
        <f>'SC-New'!M64</f>
        <v>0.33453137894025992</v>
      </c>
      <c r="T3" s="45">
        <f>'SC-New'!N64</f>
        <v>0.37114740248331368</v>
      </c>
      <c r="U3" s="45">
        <f>'SC-New'!O64</f>
        <v>0.406878599304137</v>
      </c>
      <c r="V3" s="45">
        <f>'SC-New'!P64</f>
        <v>0.46874874586279935</v>
      </c>
      <c r="W3" s="45">
        <f>'SC-New'!Q64</f>
        <v>0.51562058925431298</v>
      </c>
      <c r="X3" s="45">
        <f>'SC-New'!R64</f>
        <v>0.49895062676741442</v>
      </c>
      <c r="Y3" s="45">
        <f>'SC-New'!S64</f>
        <v>0.52915984058541499</v>
      </c>
      <c r="Z3" s="45">
        <f>'SC-New'!T64</f>
        <v>0.51538329257438276</v>
      </c>
      <c r="AA3" s="45">
        <f>'SC-New'!U64</f>
        <v>0.5067536322127959</v>
      </c>
      <c r="AB3" s="45">
        <f>'SC-New'!V64</f>
        <v>0.48238800892864275</v>
      </c>
      <c r="AC3" s="45">
        <f>'SC-New'!W64</f>
        <v>0.47315926880976228</v>
      </c>
      <c r="AD3" s="45">
        <f>'SC-New'!X64</f>
        <v>0.47896381043752861</v>
      </c>
      <c r="AE3" s="45">
        <f>'SC-New'!Y64</f>
        <v>7.4097700289213284</v>
      </c>
      <c r="AF3" s="367">
        <f>VLOOKUP($I3,M_Input_Out!$A$1:$AM$3999,15,FALSE)</f>
        <v>5.7169820332856913</v>
      </c>
      <c r="AG3" s="367">
        <f>VLOOKUP($I3,M_Input_Out!$A$1:$AM$3999,16,FALSE)</f>
        <v>4.2263503592504215</v>
      </c>
      <c r="AH3" s="367">
        <f>VLOOKUP($I3,M_Input_Out!$A$1:$AM$3999,17,FALSE)</f>
        <v>3.9370402903524311</v>
      </c>
      <c r="AI3" s="367">
        <f>VLOOKUP($I3,M_Input_Out!$A$1:$AM$3999,18,FALSE)</f>
        <v>2.2601508901986227</v>
      </c>
      <c r="AJ3" s="367">
        <f>VLOOKUP($I3,M_Input_Out!$A$1:$AM$3999,19,FALSE)</f>
        <v>1.8155541744611476</v>
      </c>
      <c r="AK3" s="367">
        <f>VLOOKUP($I3,M_Input_Out!$A$1:$AM$3999,20,FALSE)</f>
        <v>1.4083389788782386</v>
      </c>
      <c r="AL3" s="367">
        <f>VLOOKUP($I3,M_Input_Out!$A$1:$AM$3999,21,FALSE)</f>
        <v>1.4695907294503421</v>
      </c>
      <c r="AM3" s="367">
        <f>VLOOKUP($I3,M_Input_Out!$A$1:$AM$3999,22,FALSE)</f>
        <v>2.139037828346555</v>
      </c>
      <c r="AN3" s="367">
        <f>VLOOKUP($I3,M_Input_Out!$A$1:$AM$3999,23,FALSE)</f>
        <v>2.7025063942944967</v>
      </c>
      <c r="AO3" s="367">
        <f>VLOOKUP($I3,M_Input_Out!$A$1:$AM$3999,24,FALSE)</f>
        <v>4.4088340703471802</v>
      </c>
      <c r="AP3" s="367">
        <f>VLOOKUP($I3,M_Input_Out!$A$1:$AM$3999,25,FALSE)</f>
        <v>5.1055483486439233</v>
      </c>
      <c r="AQ3" s="367">
        <f>VLOOKUP($I3,M_Input_Out!$A$1:$AM$3999,26,FALSE)</f>
        <v>6.0142330026918467</v>
      </c>
      <c r="AR3" s="367"/>
      <c r="AS3" s="367">
        <f>VLOOKUP($I3,M_Input_Out!$A$1:$AM$3999,28,FALSE)</f>
        <v>9.4749988011865209</v>
      </c>
      <c r="AT3" s="367">
        <f>VLOOKUP($I3,M_Input_Out!$A$1:$AM$3999,29,FALSE)</f>
        <v>8.2187675176318251</v>
      </c>
      <c r="AU3" s="367">
        <f>VLOOKUP($I3,M_Input_Out!$A$1:$AM$3999,30,FALSE)</f>
        <v>8.2854069291328436</v>
      </c>
      <c r="AV3" s="367">
        <f>VLOOKUP($I3,M_Input_Out!$A$1:$AM$3999,31,FALSE)</f>
        <v>7.8897786270266392</v>
      </c>
      <c r="AW3" s="367">
        <f>VLOOKUP($I3,M_Input_Out!$A$1:$AM$3999,32,FALSE)</f>
        <v>7.2668877284860445</v>
      </c>
      <c r="AX3" s="367">
        <f>VLOOKUP($I3,M_Input_Out!$A$1:$AM$3999,33,FALSE)</f>
        <v>6.6026424318720771</v>
      </c>
      <c r="AY3" s="367">
        <f>VLOOKUP($I3,M_Input_Out!$A$1:$AM$3999,34,FALSE)</f>
        <v>7.2099151795019552</v>
      </c>
      <c r="AZ3" s="367">
        <f>VLOOKUP($I3,M_Input_Out!$A$1:$AM$3999,35,FALSE)</f>
        <v>7.7852918530242183</v>
      </c>
      <c r="BA3" s="367">
        <f>VLOOKUP($I3,M_Input_Out!$A$1:$AM$3999,36,FALSE)</f>
        <v>8.3917419830076643</v>
      </c>
      <c r="BB3" s="367">
        <f>VLOOKUP($I3,M_Input_Out!$A$1:$AM$3999,37,FALSE)</f>
        <v>8.6607531291871318</v>
      </c>
      <c r="BC3" s="367">
        <f>VLOOKUP($I3,M_Input_Out!$A$1:$AM$3999,38,FALSE)</f>
        <v>9.07888798132341</v>
      </c>
      <c r="BD3" s="367">
        <f>VLOOKUP($I3,M_Input_Out!$A$1:$AM$3999,39,FALSE)</f>
        <v>9.5141523901062683</v>
      </c>
    </row>
    <row r="4" spans="1:56" ht="15">
      <c r="A4" s="279" t="str">
        <f>VLOOKUP(CONCATENATE(C4,"-",B4),[1]!ACHIEV,2,FALSE)</f>
        <v>LO20Fast</v>
      </c>
      <c r="B4" s="279" t="str">
        <f>'SC-New'!$D$7</f>
        <v>New</v>
      </c>
      <c r="C4" s="279" t="str">
        <f>[1]MLIST!$B$66</f>
        <v>Exterior Building Lighting</v>
      </c>
      <c r="D4" s="279" t="s">
        <v>896</v>
      </c>
      <c r="E4" s="279" t="s">
        <v>997</v>
      </c>
      <c r="F4" s="365">
        <f>VLOOKUP(I4,M_Input_Out!$A$1:$AM$3999,14,FALSE)</f>
        <v>1.6711750705328442E-2</v>
      </c>
      <c r="G4" s="366">
        <f>VLOOKUP(I4,M_Input_Out!$A$1:$AM$3999,3,FALSE)</f>
        <v>71.596806262868725</v>
      </c>
      <c r="H4" s="366">
        <f>VLOOKUP(I4,M_Input_Out!$A$1:$AM$3999,11,FALSE)</f>
        <v>-17.998720942754002</v>
      </c>
      <c r="I4" s="24" t="str">
        <f>'SC-New'!C65</f>
        <v>Exterior Lighting: Walkway - HID 150W - New</v>
      </c>
      <c r="K4" s="45">
        <f>'SC-New'!E65</f>
        <v>5.6171609150804221E-2</v>
      </c>
      <c r="L4" s="45">
        <f>'SC-New'!F65</f>
        <v>8.2569463956307376E-2</v>
      </c>
      <c r="M4" s="45">
        <f>'SC-New'!G65</f>
        <v>9.2203262729184471E-2</v>
      </c>
      <c r="N4" s="45">
        <f>'SC-New'!H65</f>
        <v>0.10785370965007623</v>
      </c>
      <c r="O4" s="45">
        <f>'SC-New'!I65</f>
        <v>0.10409682340900879</v>
      </c>
      <c r="P4" s="45">
        <f>'SC-New'!J65</f>
        <v>0.10434706473729988</v>
      </c>
      <c r="Q4" s="45">
        <f>'SC-New'!K65</f>
        <v>0.12307531349143248</v>
      </c>
      <c r="R4" s="45">
        <f>'SC-New'!L65</f>
        <v>0.12983929294245336</v>
      </c>
      <c r="S4" s="45">
        <f>'SC-New'!M65</f>
        <v>0.14642508154959089</v>
      </c>
      <c r="T4" s="45">
        <f>'SC-New'!N65</f>
        <v>0.16245199134291949</v>
      </c>
      <c r="U4" s="45">
        <f>'SC-New'!O65</f>
        <v>0.17809161063641435</v>
      </c>
      <c r="V4" s="45">
        <f>'SC-New'!P65</f>
        <v>0.20517230268998427</v>
      </c>
      <c r="W4" s="45">
        <f>'SC-New'!Q65</f>
        <v>0.22568820619871807</v>
      </c>
      <c r="X4" s="45">
        <f>'SC-New'!R65</f>
        <v>0.21839172888676867</v>
      </c>
      <c r="Y4" s="45">
        <f>'SC-New'!S65</f>
        <v>0.23161436471501984</v>
      </c>
      <c r="Z4" s="45">
        <f>'SC-New'!T65</f>
        <v>0.22558434094751109</v>
      </c>
      <c r="AA4" s="45">
        <f>'SC-New'!U65</f>
        <v>0.22180712062757135</v>
      </c>
      <c r="AB4" s="45">
        <f>'SC-New'!V65</f>
        <v>0.21114223655095421</v>
      </c>
      <c r="AC4" s="45">
        <f>'SC-New'!W65</f>
        <v>0.20710279777307991</v>
      </c>
      <c r="AD4" s="45">
        <f>'SC-New'!X65</f>
        <v>0.20964345773716497</v>
      </c>
      <c r="AE4" s="45">
        <f>'SC-New'!Y65</f>
        <v>3.2432717797222641</v>
      </c>
      <c r="AF4" s="367">
        <f>VLOOKUP($I4,M_Input_Out!$A$1:$AM$3999,15,FALSE)</f>
        <v>2.9324237661945984</v>
      </c>
      <c r="AG4" s="367">
        <f>VLOOKUP($I4,M_Input_Out!$A$1:$AM$3999,16,FALSE)</f>
        <v>2.1678308879708323</v>
      </c>
      <c r="AH4" s="367">
        <f>VLOOKUP($I4,M_Input_Out!$A$1:$AM$3999,17,FALSE)</f>
        <v>2.0194344583692723</v>
      </c>
      <c r="AI4" s="367">
        <f>VLOOKUP($I4,M_Input_Out!$A$1:$AM$3999,18,FALSE)</f>
        <v>1.1593040081315777</v>
      </c>
      <c r="AJ4" s="367">
        <f>VLOOKUP($I4,M_Input_Out!$A$1:$AM$3999,19,FALSE)</f>
        <v>0.93125606815032491</v>
      </c>
      <c r="AK4" s="367">
        <f>VLOOKUP($I4,M_Input_Out!$A$1:$AM$3999,20,FALSE)</f>
        <v>0.72238231088986893</v>
      </c>
      <c r="AL4" s="367">
        <f>VLOOKUP($I4,M_Input_Out!$A$1:$AM$3999,21,FALSE)</f>
        <v>0.75380030172015144</v>
      </c>
      <c r="AM4" s="367">
        <f>VLOOKUP($I4,M_Input_Out!$A$1:$AM$3999,22,FALSE)</f>
        <v>1.0971812274574739</v>
      </c>
      <c r="AN4" s="367">
        <f>VLOOKUP($I4,M_Input_Out!$A$1:$AM$3999,23,FALSE)</f>
        <v>1.3862023586538053</v>
      </c>
      <c r="AO4" s="367">
        <f>VLOOKUP($I4,M_Input_Out!$A$1:$AM$3999,24,FALSE)</f>
        <v>2.2614326464244927</v>
      </c>
      <c r="AP4" s="367">
        <f>VLOOKUP($I4,M_Input_Out!$A$1:$AM$3999,25,FALSE)</f>
        <v>2.6187997845454936</v>
      </c>
      <c r="AQ4" s="367">
        <f>VLOOKUP($I4,M_Input_Out!$A$1:$AM$3999,26,FALSE)</f>
        <v>3.0848933388005535</v>
      </c>
      <c r="AR4" s="367"/>
      <c r="AS4" s="367">
        <f>VLOOKUP($I4,M_Input_Out!$A$1:$AM$3999,28,FALSE)</f>
        <v>4.8600313080389581</v>
      </c>
      <c r="AT4" s="367">
        <f>VLOOKUP($I4,M_Input_Out!$A$1:$AM$3999,29,FALSE)</f>
        <v>4.2156699211594963</v>
      </c>
      <c r="AU4" s="367">
        <f>VLOOKUP($I4,M_Input_Out!$A$1:$AM$3999,30,FALSE)</f>
        <v>4.2498514163807597</v>
      </c>
      <c r="AV4" s="367">
        <f>VLOOKUP($I4,M_Input_Out!$A$1:$AM$3999,31,FALSE)</f>
        <v>4.046920949060631</v>
      </c>
      <c r="AW4" s="367">
        <f>VLOOKUP($I4,M_Input_Out!$A$1:$AM$3999,32,FALSE)</f>
        <v>3.7274201942931775</v>
      </c>
      <c r="AX4" s="367">
        <f>VLOOKUP($I4,M_Input_Out!$A$1:$AM$3999,33,FALSE)</f>
        <v>3.3867074400754942</v>
      </c>
      <c r="AY4" s="367">
        <f>VLOOKUP($I4,M_Input_Out!$A$1:$AM$3999,34,FALSE)</f>
        <v>3.6981971434441596</v>
      </c>
      <c r="AZ4" s="367">
        <f>VLOOKUP($I4,M_Input_Out!$A$1:$AM$3999,35,FALSE)</f>
        <v>3.9933263256117955</v>
      </c>
      <c r="BA4" s="367">
        <f>VLOOKUP($I4,M_Input_Out!$A$1:$AM$3999,36,FALSE)</f>
        <v>4.3043940819596651</v>
      </c>
      <c r="BB4" s="367">
        <f>VLOOKUP($I4,M_Input_Out!$A$1:$AM$3999,37,FALSE)</f>
        <v>4.4423785419133628</v>
      </c>
      <c r="BC4" s="367">
        <f>VLOOKUP($I4,M_Input_Out!$A$1:$AM$3999,38,FALSE)</f>
        <v>4.6568533418584641</v>
      </c>
      <c r="BD4" s="367">
        <f>VLOOKUP($I4,M_Input_Out!$A$1:$AM$3999,39,FALSE)</f>
        <v>4.8801144417643396</v>
      </c>
    </row>
    <row r="5" spans="1:56" ht="15">
      <c r="A5" s="279" t="str">
        <f>VLOOKUP(CONCATENATE(C5,"-",B5),[1]!ACHIEV,2,FALSE)</f>
        <v>LO20Fast</v>
      </c>
      <c r="B5" s="279" t="str">
        <f>'SC-New'!$D$7</f>
        <v>New</v>
      </c>
      <c r="C5" s="279" t="str">
        <f>[1]MLIST!$B$66</f>
        <v>Exterior Building Lighting</v>
      </c>
      <c r="D5" s="279" t="s">
        <v>896</v>
      </c>
      <c r="E5" s="279" t="s">
        <v>997</v>
      </c>
      <c r="F5" s="365">
        <f>VLOOKUP(I5,M_Input_Out!$A$1:$AM$3999,14,FALSE)</f>
        <v>1.6750232268701249E-2</v>
      </c>
      <c r="G5" s="366">
        <f>VLOOKUP(I5,M_Input_Out!$A$1:$AM$3999,3,FALSE)</f>
        <v>71.761669722483219</v>
      </c>
      <c r="H5" s="366">
        <f>VLOOKUP(I5,M_Input_Out!$A$1:$AM$3999,11,FALSE)</f>
        <v>-18.257111921085425</v>
      </c>
      <c r="I5" s="24" t="str">
        <f>'SC-New'!C66</f>
        <v>Exterior Lighting: Façade - HID 150W - New</v>
      </c>
      <c r="K5" s="45">
        <f>'SC-New'!E66</f>
        <v>5.6300953548970724E-2</v>
      </c>
      <c r="L5" s="45">
        <f>'SC-New'!F66</f>
        <v>8.2759593770706782E-2</v>
      </c>
      <c r="M5" s="45">
        <f>'SC-New'!G66</f>
        <v>9.2415575954797741E-2</v>
      </c>
      <c r="N5" s="45">
        <f>'SC-New'!H66</f>
        <v>0.10810206061198765</v>
      </c>
      <c r="O5" s="45">
        <f>'SC-New'!I66</f>
        <v>0.10433652352047855</v>
      </c>
      <c r="P5" s="45">
        <f>'SC-New'!J66</f>
        <v>0.10458734107071686</v>
      </c>
      <c r="Q5" s="45">
        <f>'SC-New'!K66</f>
        <v>0.12335871470769398</v>
      </c>
      <c r="R5" s="45">
        <f>'SC-New'!L66</f>
        <v>0.13013826933743108</v>
      </c>
      <c r="S5" s="45">
        <f>'SC-New'!M66</f>
        <v>0.14676224945942706</v>
      </c>
      <c r="T5" s="45">
        <f>'SC-New'!N66</f>
        <v>0.16282606385693255</v>
      </c>
      <c r="U5" s="45">
        <f>'SC-New'!O66</f>
        <v>0.17850169595432697</v>
      </c>
      <c r="V5" s="45">
        <f>'SC-New'!P66</f>
        <v>0.20564474576955896</v>
      </c>
      <c r="W5" s="45">
        <f>'SC-New'!Q66</f>
        <v>0.2262078905311658</v>
      </c>
      <c r="X5" s="45">
        <f>'SC-New'!R66</f>
        <v>0.21889461187631534</v>
      </c>
      <c r="Y5" s="45">
        <f>'SC-New'!S66</f>
        <v>0.23214769500524446</v>
      </c>
      <c r="Z5" s="45">
        <f>'SC-New'!T66</f>
        <v>0.2261037861130806</v>
      </c>
      <c r="AA5" s="45">
        <f>'SC-New'!U66</f>
        <v>0.22231786812012755</v>
      </c>
      <c r="AB5" s="45">
        <f>'SC-New'!V66</f>
        <v>0.21162842638825963</v>
      </c>
      <c r="AC5" s="45">
        <f>'SC-New'!W66</f>
        <v>0.20757968613610767</v>
      </c>
      <c r="AD5" s="45">
        <f>'SC-New'!X66</f>
        <v>0.21012619638895899</v>
      </c>
      <c r="AE5" s="45">
        <f>'SC-New'!Y66</f>
        <v>3.2507399481222894</v>
      </c>
      <c r="AF5" s="367">
        <f>VLOOKUP($I5,M_Input_Out!$A$1:$AM$3999,15,FALSE)</f>
        <v>2.939176155754764</v>
      </c>
      <c r="AG5" s="367">
        <f>VLOOKUP($I5,M_Input_Out!$A$1:$AM$3999,16,FALSE)</f>
        <v>2.1728226762740399</v>
      </c>
      <c r="AH5" s="367">
        <f>VLOOKUP($I5,M_Input_Out!$A$1:$AM$3999,17,FALSE)</f>
        <v>2.0240845394084892</v>
      </c>
      <c r="AI5" s="367">
        <f>VLOOKUP($I5,M_Input_Out!$A$1:$AM$3999,18,FALSE)</f>
        <v>1.1619734968909476</v>
      </c>
      <c r="AJ5" s="367">
        <f>VLOOKUP($I5,M_Input_Out!$A$1:$AM$3999,19,FALSE)</f>
        <v>0.93340043890086588</v>
      </c>
      <c r="AK5" s="367">
        <f>VLOOKUP($I5,M_Input_Out!$A$1:$AM$3999,20,FALSE)</f>
        <v>0.72404571535096118</v>
      </c>
      <c r="AL5" s="367">
        <f>VLOOKUP($I5,M_Input_Out!$A$1:$AM$3999,21,FALSE)</f>
        <v>0.7555360512889765</v>
      </c>
      <c r="AM5" s="367">
        <f>VLOOKUP($I5,M_Input_Out!$A$1:$AM$3999,22,FALSE)</f>
        <v>1.0997076682643248</v>
      </c>
      <c r="AN5" s="367">
        <f>VLOOKUP($I5,M_Input_Out!$A$1:$AM$3999,23,FALSE)</f>
        <v>1.3893943183025967</v>
      </c>
      <c r="AO5" s="367">
        <f>VLOOKUP($I5,M_Input_Out!$A$1:$AM$3999,24,FALSE)</f>
        <v>2.2666399682204657</v>
      </c>
      <c r="AP5" s="367">
        <f>VLOOKUP($I5,M_Input_Out!$A$1:$AM$3999,25,FALSE)</f>
        <v>2.624830003141176</v>
      </c>
      <c r="AQ5" s="367">
        <f>VLOOKUP($I5,M_Input_Out!$A$1:$AM$3999,26,FALSE)</f>
        <v>3.0919968147085295</v>
      </c>
      <c r="AR5" s="367"/>
      <c r="AS5" s="367">
        <f>VLOOKUP($I5,M_Input_Out!$A$1:$AM$3999,28,FALSE)</f>
        <v>4.8712223320119579</v>
      </c>
      <c r="AT5" s="367">
        <f>VLOOKUP($I5,M_Input_Out!$A$1:$AM$3999,29,FALSE)</f>
        <v>4.2253771967220866</v>
      </c>
      <c r="AU5" s="367">
        <f>VLOOKUP($I5,M_Input_Out!$A$1:$AM$3999,30,FALSE)</f>
        <v>4.2596374004759108</v>
      </c>
      <c r="AV5" s="367">
        <f>VLOOKUP($I5,M_Input_Out!$A$1:$AM$3999,31,FALSE)</f>
        <v>4.0562396522720405</v>
      </c>
      <c r="AW5" s="367">
        <f>VLOOKUP($I5,M_Input_Out!$A$1:$AM$3999,32,FALSE)</f>
        <v>3.7360031943003547</v>
      </c>
      <c r="AX5" s="367">
        <f>VLOOKUP($I5,M_Input_Out!$A$1:$AM$3999,33,FALSE)</f>
        <v>3.3945058927498075</v>
      </c>
      <c r="AY5" s="367">
        <f>VLOOKUP($I5,M_Input_Out!$A$1:$AM$3999,34,FALSE)</f>
        <v>3.7067128525550674</v>
      </c>
      <c r="AZ5" s="367">
        <f>VLOOKUP($I5,M_Input_Out!$A$1:$AM$3999,35,FALSE)</f>
        <v>4.0025216183598102</v>
      </c>
      <c r="BA5" s="367">
        <f>VLOOKUP($I5,M_Input_Out!$A$1:$AM$3999,36,FALSE)</f>
        <v>4.3143056595416391</v>
      </c>
      <c r="BB5" s="367">
        <f>VLOOKUP($I5,M_Input_Out!$A$1:$AM$3999,37,FALSE)</f>
        <v>4.4526078514812788</v>
      </c>
      <c r="BC5" s="367">
        <f>VLOOKUP($I5,M_Input_Out!$A$1:$AM$3999,38,FALSE)</f>
        <v>4.6675765150407607</v>
      </c>
      <c r="BD5" s="367">
        <f>VLOOKUP($I5,M_Input_Out!$A$1:$AM$3999,39,FALSE)</f>
        <v>4.8913517104663811</v>
      </c>
    </row>
    <row r="6" spans="1:56" ht="15">
      <c r="A6" s="279" t="str">
        <f>VLOOKUP(CONCATENATE(C6,"-",B6),[1]!ACHIEV,2,FALSE)</f>
        <v>LO20Fast</v>
      </c>
      <c r="B6" s="279" t="str">
        <f>'SC-New'!$D$7</f>
        <v>New</v>
      </c>
      <c r="C6" s="279" t="str">
        <f>[1]MLIST!$B$66</f>
        <v>Exterior Building Lighting</v>
      </c>
      <c r="D6" s="279" t="s">
        <v>896</v>
      </c>
      <c r="E6" s="279" t="s">
        <v>997</v>
      </c>
      <c r="F6" s="365">
        <f>VLOOKUP(I6,M_Input_Out!$A$1:$AM$3999,14,FALSE)</f>
        <v>4.2932521119786187E-4</v>
      </c>
      <c r="G6" s="366">
        <f>VLOOKUP(I6,M_Input_Out!$A$1:$AM$3999,3,FALSE)</f>
        <v>1.8393233905827586</v>
      </c>
      <c r="H6" s="366">
        <f>VLOOKUP(I6,M_Input_Out!$A$1:$AM$3999,11,FALSE)</f>
        <v>-127.85722269419684</v>
      </c>
      <c r="I6" s="24" t="str">
        <f>'SC-New'!C67</f>
        <v>Exterior Lighting: Walkway - INC 75W - New</v>
      </c>
      <c r="K6" s="45">
        <f>'SC-New'!E67</f>
        <v>1.443049767030307E-3</v>
      </c>
      <c r="L6" s="45">
        <f>'SC-New'!F67</f>
        <v>2.1212111870621162E-3</v>
      </c>
      <c r="M6" s="45">
        <f>'SC-New'!G67</f>
        <v>2.3687036709874793E-3</v>
      </c>
      <c r="N6" s="45">
        <f>'SC-New'!H67</f>
        <v>2.770763966651801E-3</v>
      </c>
      <c r="O6" s="45">
        <f>'SC-New'!I67</f>
        <v>2.6742494836791485E-3</v>
      </c>
      <c r="P6" s="45">
        <f>'SC-New'!J67</f>
        <v>2.6806781884278824E-3</v>
      </c>
      <c r="Q6" s="45">
        <f>'SC-New'!K67</f>
        <v>3.1618072749915308E-3</v>
      </c>
      <c r="R6" s="45">
        <f>'SC-New'!L67</f>
        <v>3.335574042911401E-3</v>
      </c>
      <c r="S6" s="45">
        <f>'SC-New'!M67</f>
        <v>3.7616632852773731E-3</v>
      </c>
      <c r="T6" s="45">
        <f>'SC-New'!N67</f>
        <v>4.1733949196941077E-3</v>
      </c>
      <c r="U6" s="45">
        <f>'SC-New'!O67</f>
        <v>4.5751770533931802E-3</v>
      </c>
      <c r="V6" s="45">
        <f>'SC-New'!P67</f>
        <v>5.2708805760394431E-3</v>
      </c>
      <c r="W6" s="45">
        <f>'SC-New'!Q67</f>
        <v>5.7979345491455461E-3</v>
      </c>
      <c r="X6" s="45">
        <f>'SC-New'!R67</f>
        <v>5.6104879004856747E-3</v>
      </c>
      <c r="Y6" s="45">
        <f>'SC-New'!S67</f>
        <v>5.9501776804287386E-3</v>
      </c>
      <c r="Z6" s="45">
        <f>'SC-New'!T67</f>
        <v>5.7952662487563873E-3</v>
      </c>
      <c r="AA6" s="45">
        <f>'SC-New'!U67</f>
        <v>5.6982293828891925E-3</v>
      </c>
      <c r="AB6" s="45">
        <f>'SC-New'!V67</f>
        <v>5.4242482968061834E-3</v>
      </c>
      <c r="AC6" s="45">
        <f>'SC-New'!W67</f>
        <v>5.3204750334892078E-3</v>
      </c>
      <c r="AD6" s="45">
        <f>'SC-New'!X67</f>
        <v>5.3857446389839201E-3</v>
      </c>
      <c r="AE6" s="45">
        <f>'SC-New'!Y67</f>
        <v>8.3319717147130615E-2</v>
      </c>
      <c r="AF6" s="367">
        <f>VLOOKUP($I6,M_Input_Out!$A$1:$AM$3999,15,FALSE)</f>
        <v>7.5334025437664806E-2</v>
      </c>
      <c r="AG6" s="367">
        <f>VLOOKUP($I6,M_Input_Out!$A$1:$AM$3999,16,FALSE)</f>
        <v>5.5691619042795827E-2</v>
      </c>
      <c r="AH6" s="367">
        <f>VLOOKUP($I6,M_Input_Out!$A$1:$AM$3999,17,FALSE)</f>
        <v>5.1879311786477984E-2</v>
      </c>
      <c r="AI6" s="367">
        <f>VLOOKUP($I6,M_Input_Out!$A$1:$AM$3999,18,FALSE)</f>
        <v>2.9782543248142328E-2</v>
      </c>
      <c r="AJ6" s="367">
        <f>VLOOKUP($I6,M_Input_Out!$A$1:$AM$3999,19,FALSE)</f>
        <v>2.392398709073916E-2</v>
      </c>
      <c r="AK6" s="367">
        <f>VLOOKUP($I6,M_Input_Out!$A$1:$AM$3999,20,FALSE)</f>
        <v>1.8558016072457759E-2</v>
      </c>
      <c r="AL6" s="367">
        <f>VLOOKUP($I6,M_Input_Out!$A$1:$AM$3999,21,FALSE)</f>
        <v>1.9365144887772291E-2</v>
      </c>
      <c r="AM6" s="367">
        <f>VLOOKUP($I6,M_Input_Out!$A$1:$AM$3999,22,FALSE)</f>
        <v>2.8186607765176785E-2</v>
      </c>
      <c r="AN6" s="367">
        <f>VLOOKUP($I6,M_Input_Out!$A$1:$AM$3999,23,FALSE)</f>
        <v>3.5611566429258966E-2</v>
      </c>
      <c r="AO6" s="367">
        <f>VLOOKUP($I6,M_Input_Out!$A$1:$AM$3999,24,FALSE)</f>
        <v>5.8096250097027395E-2</v>
      </c>
      <c r="AP6" s="367">
        <f>VLOOKUP($I6,M_Input_Out!$A$1:$AM$3999,25,FALSE)</f>
        <v>6.7277019051416767E-2</v>
      </c>
      <c r="AQ6" s="367">
        <f>VLOOKUP($I6,M_Input_Out!$A$1:$AM$3999,26,FALSE)</f>
        <v>7.9250971819555718E-2</v>
      </c>
      <c r="AR6" s="367"/>
      <c r="AS6" s="367">
        <f>VLOOKUP($I6,M_Input_Out!$A$1:$AM$3999,28,FALSE)</f>
        <v>0.12485430189470022</v>
      </c>
      <c r="AT6" s="367">
        <f>VLOOKUP($I6,M_Input_Out!$A$1:$AM$3999,29,FALSE)</f>
        <v>0.10830064492675807</v>
      </c>
      <c r="AU6" s="367">
        <f>VLOOKUP($I6,M_Input_Out!$A$1:$AM$3999,30,FALSE)</f>
        <v>0.10917876822536908</v>
      </c>
      <c r="AV6" s="367">
        <f>VLOOKUP($I6,M_Input_Out!$A$1:$AM$3999,31,FALSE)</f>
        <v>0.10396548044499808</v>
      </c>
      <c r="AW6" s="367">
        <f>VLOOKUP($I6,M_Input_Out!$A$1:$AM$3999,32,FALSE)</f>
        <v>9.5757499639331944E-2</v>
      </c>
      <c r="AX6" s="367">
        <f>VLOOKUP($I6,M_Input_Out!$A$1:$AM$3999,33,FALSE)</f>
        <v>8.7004582141844825E-2</v>
      </c>
      <c r="AY6" s="367">
        <f>VLOOKUP($I6,M_Input_Out!$A$1:$AM$3999,34,FALSE)</f>
        <v>9.5006758876211295E-2</v>
      </c>
      <c r="AZ6" s="367">
        <f>VLOOKUP($I6,M_Input_Out!$A$1:$AM$3999,35,FALSE)</f>
        <v>0.10258863349239815</v>
      </c>
      <c r="BA6" s="367">
        <f>VLOOKUP($I6,M_Input_Out!$A$1:$AM$3999,36,FALSE)</f>
        <v>0.11057997039932753</v>
      </c>
      <c r="BB6" s="367">
        <f>VLOOKUP($I6,M_Input_Out!$A$1:$AM$3999,37,FALSE)</f>
        <v>0.11412479394631568</v>
      </c>
      <c r="BC6" s="367">
        <f>VLOOKUP($I6,M_Input_Out!$A$1:$AM$3999,38,FALSE)</f>
        <v>0.11963465586363657</v>
      </c>
      <c r="BD6" s="367">
        <f>VLOOKUP($I6,M_Input_Out!$A$1:$AM$3999,39,FALSE)</f>
        <v>0.12537023800338182</v>
      </c>
    </row>
    <row r="7" spans="1:56" ht="15">
      <c r="A7" s="279" t="str">
        <f>VLOOKUP(CONCATENATE(C7,"-",B7),[1]!ACHIEV,2,FALSE)</f>
        <v>LO20Fast</v>
      </c>
      <c r="B7" s="279" t="str">
        <f>'SC-New'!$D$7</f>
        <v>New</v>
      </c>
      <c r="C7" s="279" t="str">
        <f>[1]MLIST!$B$66</f>
        <v>Exterior Building Lighting</v>
      </c>
      <c r="D7" s="279" t="s">
        <v>896</v>
      </c>
      <c r="E7" s="279" t="s">
        <v>997</v>
      </c>
      <c r="F7" s="365">
        <f>VLOOKUP(I7,M_Input_Out!$A$1:$AM$3999,14,FALSE)</f>
        <v>7.2272768831756675E-3</v>
      </c>
      <c r="G7" s="366">
        <f>VLOOKUP(I7,M_Input_Out!$A$1:$AM$3999,3,FALSE)</f>
        <v>30.963239695039977</v>
      </c>
      <c r="H7" s="366">
        <f>VLOOKUP(I7,M_Input_Out!$A$1:$AM$3999,11,FALSE)</f>
        <v>-14.593583923608218</v>
      </c>
      <c r="I7" s="24" t="str">
        <f>'SC-New'!C68</f>
        <v>Exterior Lighting: Façade - HID 400W - New</v>
      </c>
      <c r="K7" s="45">
        <f>'SC-New'!E68</f>
        <v>2.4292354491438514E-2</v>
      </c>
      <c r="L7" s="45">
        <f>'SC-New'!F68</f>
        <v>3.570854954875289E-2</v>
      </c>
      <c r="M7" s="45">
        <f>'SC-New'!G68</f>
        <v>3.9874847406833128E-2</v>
      </c>
      <c r="N7" s="45">
        <f>'SC-New'!H68</f>
        <v>4.6643145668167553E-2</v>
      </c>
      <c r="O7" s="45">
        <f>'SC-New'!I68</f>
        <v>4.5018417202458083E-2</v>
      </c>
      <c r="P7" s="45">
        <f>'SC-New'!J68</f>
        <v>4.5126638261942686E-2</v>
      </c>
      <c r="Q7" s="45">
        <f>'SC-New'!K68</f>
        <v>5.3225983547170598E-2</v>
      </c>
      <c r="R7" s="45">
        <f>'SC-New'!L68</f>
        <v>5.6151179906702917E-2</v>
      </c>
      <c r="S7" s="45">
        <f>'SC-New'!M68</f>
        <v>6.3323982367870763E-2</v>
      </c>
      <c r="T7" s="45">
        <f>'SC-New'!N68</f>
        <v>7.0255088312452224E-2</v>
      </c>
      <c r="U7" s="45">
        <f>'SC-New'!O68</f>
        <v>7.7018703984717149E-2</v>
      </c>
      <c r="V7" s="45">
        <f>'SC-New'!P68</f>
        <v>8.8730203462552254E-2</v>
      </c>
      <c r="W7" s="45">
        <f>'SC-New'!Q68</f>
        <v>9.760265002907853E-2</v>
      </c>
      <c r="X7" s="45">
        <f>'SC-New'!R68</f>
        <v>9.4447166038496178E-2</v>
      </c>
      <c r="Y7" s="45">
        <f>'SC-New'!S68</f>
        <v>0.10016551667340004</v>
      </c>
      <c r="Z7" s="45">
        <f>'SC-New'!T68</f>
        <v>9.75577317591588E-2</v>
      </c>
      <c r="AA7" s="45">
        <f>'SC-New'!U68</f>
        <v>9.59242094799964E-2</v>
      </c>
      <c r="AB7" s="45">
        <f>'SC-New'!V68</f>
        <v>9.1312001488878664E-2</v>
      </c>
      <c r="AC7" s="45">
        <f>'SC-New'!W68</f>
        <v>8.9565078439636084E-2</v>
      </c>
      <c r="AD7" s="45">
        <f>'SC-New'!X68</f>
        <v>9.0663829453231995E-2</v>
      </c>
      <c r="AE7" s="45">
        <f>'SC-New'!Y68</f>
        <v>1.4026072775229352</v>
      </c>
      <c r="AF7" s="367">
        <f>VLOOKUP($I7,M_Input_Out!$A$1:$AM$3999,15,FALSE)</f>
        <v>1.2681758405081849</v>
      </c>
      <c r="AG7" s="367">
        <f>VLOOKUP($I7,M_Input_Out!$A$1:$AM$3999,16,FALSE)</f>
        <v>0.9375148265148715</v>
      </c>
      <c r="AH7" s="367">
        <f>VLOOKUP($I7,M_Input_Out!$A$1:$AM$3999,17,FALSE)</f>
        <v>0.8733383016183387</v>
      </c>
      <c r="AI7" s="367">
        <f>VLOOKUP($I7,M_Input_Out!$A$1:$AM$3999,18,FALSE)</f>
        <v>0.50136046224473518</v>
      </c>
      <c r="AJ7" s="367">
        <f>VLOOKUP($I7,M_Input_Out!$A$1:$AM$3999,19,FALSE)</f>
        <v>0.40273730576377881</v>
      </c>
      <c r="AK7" s="367">
        <f>VLOOKUP($I7,M_Input_Out!$A$1:$AM$3999,20,FALSE)</f>
        <v>0.31240634619117003</v>
      </c>
      <c r="AL7" s="367">
        <f>VLOOKUP($I7,M_Input_Out!$A$1:$AM$3999,21,FALSE)</f>
        <v>0.32599358327047423</v>
      </c>
      <c r="AM7" s="367">
        <f>VLOOKUP($I7,M_Input_Out!$A$1:$AM$3999,22,FALSE)</f>
        <v>0.47449442381457907</v>
      </c>
      <c r="AN7" s="367">
        <f>VLOOKUP($I7,M_Input_Out!$A$1:$AM$3999,23,FALSE)</f>
        <v>0.59948645948314094</v>
      </c>
      <c r="AO7" s="367">
        <f>VLOOKUP($I7,M_Input_Out!$A$1:$AM$3999,24,FALSE)</f>
        <v>0.97799447685342278</v>
      </c>
      <c r="AP7" s="367">
        <f>VLOOKUP($I7,M_Input_Out!$A$1:$AM$3999,25,FALSE)</f>
        <v>1.1325438895205855</v>
      </c>
      <c r="AQ7" s="367">
        <f>VLOOKUP($I7,M_Input_Out!$A$1:$AM$3999,26,FALSE)</f>
        <v>1.3341138644120087</v>
      </c>
      <c r="AR7" s="367"/>
      <c r="AS7" s="367">
        <f>VLOOKUP($I7,M_Input_Out!$A$1:$AM$3999,28,FALSE)</f>
        <v>2.1018020519478329</v>
      </c>
      <c r="AT7" s="367">
        <f>VLOOKUP($I7,M_Input_Out!$A$1:$AM$3999,29,FALSE)</f>
        <v>1.8231371629173796</v>
      </c>
      <c r="AU7" s="367">
        <f>VLOOKUP($I7,M_Input_Out!$A$1:$AM$3999,30,FALSE)</f>
        <v>1.8379195238202533</v>
      </c>
      <c r="AV7" s="367">
        <f>VLOOKUP($I7,M_Input_Out!$A$1:$AM$3999,31,FALSE)</f>
        <v>1.7501588396636152</v>
      </c>
      <c r="AW7" s="367">
        <f>VLOOKUP($I7,M_Input_Out!$A$1:$AM$3999,32,FALSE)</f>
        <v>1.6119853795753345</v>
      </c>
      <c r="AX7" s="367">
        <f>VLOOKUP($I7,M_Input_Out!$A$1:$AM$3999,33,FALSE)</f>
        <v>1.4646384345556578</v>
      </c>
      <c r="AY7" s="367">
        <f>VLOOKUP($I7,M_Input_Out!$A$1:$AM$3999,34,FALSE)</f>
        <v>1.5993473811046159</v>
      </c>
      <c r="AZ7" s="367">
        <f>VLOOKUP($I7,M_Input_Out!$A$1:$AM$3999,35,FALSE)</f>
        <v>1.7269809458603782</v>
      </c>
      <c r="BA7" s="367">
        <f>VLOOKUP($I7,M_Input_Out!$A$1:$AM$3999,36,FALSE)</f>
        <v>1.8615074143432682</v>
      </c>
      <c r="BB7" s="367">
        <f>VLOOKUP($I7,M_Input_Out!$A$1:$AM$3999,37,FALSE)</f>
        <v>1.9211811083352965</v>
      </c>
      <c r="BC7" s="367">
        <f>VLOOKUP($I7,M_Input_Out!$A$1:$AM$3999,38,FALSE)</f>
        <v>2.0139343327579615</v>
      </c>
      <c r="BD7" s="367">
        <f>VLOOKUP($I7,M_Input_Out!$A$1:$AM$3999,39,FALSE)</f>
        <v>2.110487339963103</v>
      </c>
    </row>
    <row r="8" spans="1:56" ht="15">
      <c r="A8" s="279" t="str">
        <f>VLOOKUP(CONCATENATE(C8,"-",B8),[1]!ACHIEV,2,FALSE)</f>
        <v>LO20Fast</v>
      </c>
      <c r="B8" s="279" t="str">
        <f>'SC-New'!$D$7</f>
        <v>New</v>
      </c>
      <c r="C8" s="279" t="str">
        <f>[1]MLIST!$B$66</f>
        <v>Exterior Building Lighting</v>
      </c>
      <c r="D8" s="279" t="s">
        <v>896</v>
      </c>
      <c r="E8" s="279" t="s">
        <v>997</v>
      </c>
      <c r="F8" s="365">
        <f>VLOOKUP(I8,M_Input_Out!$A$1:$AM$3999,14,FALSE)</f>
        <v>5.7836987152376843E-4</v>
      </c>
      <c r="G8" s="366">
        <f>VLOOKUP(I8,M_Input_Out!$A$1:$AM$3999,3,FALSE)</f>
        <v>2.4778634129914572</v>
      </c>
      <c r="H8" s="366">
        <f>VLOOKUP(I8,M_Input_Out!$A$1:$AM$3999,11,FALSE)</f>
        <v>-40.758354707123942</v>
      </c>
      <c r="I8" s="24" t="str">
        <f>'SC-New'!C69</f>
        <v>Exterior Lighting: Walkway - CFL 26W - New</v>
      </c>
      <c r="K8" s="45">
        <f>'SC-New'!E69</f>
        <v>1.9440193275187727E-3</v>
      </c>
      <c r="L8" s="45">
        <f>'SC-New'!F69</f>
        <v>2.8576114556908335E-3</v>
      </c>
      <c r="M8" s="45">
        <f>'SC-New'!G69</f>
        <v>3.1910234995156739E-3</v>
      </c>
      <c r="N8" s="45">
        <f>'SC-New'!H69</f>
        <v>3.7326631598080954E-3</v>
      </c>
      <c r="O8" s="45">
        <f>'SC-New'!I69</f>
        <v>3.6026426819485975E-3</v>
      </c>
      <c r="P8" s="45">
        <f>'SC-New'!J69</f>
        <v>3.6113031776348753E-3</v>
      </c>
      <c r="Q8" s="45">
        <f>'SC-New'!K69</f>
        <v>4.2594611723768133E-3</v>
      </c>
      <c r="R8" s="45">
        <f>'SC-New'!L69</f>
        <v>4.4935528600196289E-3</v>
      </c>
      <c r="S8" s="45">
        <f>'SC-New'!M69</f>
        <v>5.0675633628673002E-3</v>
      </c>
      <c r="T8" s="45">
        <f>'SC-New'!N69</f>
        <v>5.6222318665767887E-3</v>
      </c>
      <c r="U8" s="45">
        <f>'SC-New'!O69</f>
        <v>6.1634967981183519E-3</v>
      </c>
      <c r="V8" s="45">
        <f>'SC-New'!P69</f>
        <v>7.1007209501519281E-3</v>
      </c>
      <c r="W8" s="45">
        <f>'SC-New'!Q69</f>
        <v>7.8107471278854824E-3</v>
      </c>
      <c r="X8" s="45">
        <f>'SC-New'!R69</f>
        <v>7.55822644828112E-3</v>
      </c>
      <c r="Y8" s="45">
        <f>'SC-New'!S69</f>
        <v>8.0158430271804696E-3</v>
      </c>
      <c r="Z8" s="45">
        <f>'SC-New'!T69</f>
        <v>7.8071524995873718E-3</v>
      </c>
      <c r="AA8" s="45">
        <f>'SC-New'!U69</f>
        <v>7.6764282882416423E-3</v>
      </c>
      <c r="AB8" s="45">
        <f>'SC-New'!V69</f>
        <v>7.3073318517299221E-3</v>
      </c>
      <c r="AC8" s="45">
        <f>'SC-New'!W69</f>
        <v>7.167532633312765E-3</v>
      </c>
      <c r="AD8" s="45">
        <f>'SC-New'!X69</f>
        <v>7.2554612532954067E-3</v>
      </c>
      <c r="AE8" s="45">
        <f>'SC-New'!Y69</f>
        <v>0.11224501344174183</v>
      </c>
      <c r="AF8" s="367">
        <f>VLOOKUP($I8,M_Input_Out!$A$1:$AM$3999,15,FALSE)</f>
        <v>0.10148700676622992</v>
      </c>
      <c r="AG8" s="367">
        <f>VLOOKUP($I8,M_Input_Out!$A$1:$AM$3999,16,FALSE)</f>
        <v>7.5025537076805357E-2</v>
      </c>
      <c r="AH8" s="367">
        <f>VLOOKUP($I8,M_Input_Out!$A$1:$AM$3999,17,FALSE)</f>
        <v>6.9889748167755006E-2</v>
      </c>
      <c r="AI8" s="367">
        <f>VLOOKUP($I8,M_Input_Out!$A$1:$AM$3999,18,FALSE)</f>
        <v>4.0121859287086149E-2</v>
      </c>
      <c r="AJ8" s="367">
        <f>VLOOKUP($I8,M_Input_Out!$A$1:$AM$3999,19,FALSE)</f>
        <v>3.2229445136475167E-2</v>
      </c>
      <c r="AK8" s="367">
        <f>VLOOKUP($I8,M_Input_Out!$A$1:$AM$3999,20,FALSE)</f>
        <v>2.5000622119572553E-2</v>
      </c>
      <c r="AL8" s="367">
        <f>VLOOKUP($I8,M_Input_Out!$A$1:$AM$3999,21,FALSE)</f>
        <v>2.6087954000023093E-2</v>
      </c>
      <c r="AM8" s="367">
        <f>VLOOKUP($I8,M_Input_Out!$A$1:$AM$3999,22,FALSE)</f>
        <v>3.7971878395752924E-2</v>
      </c>
      <c r="AN8" s="367">
        <f>VLOOKUP($I8,M_Input_Out!$A$1:$AM$3999,23,FALSE)</f>
        <v>4.7974487785107808E-2</v>
      </c>
      <c r="AO8" s="367">
        <f>VLOOKUP($I8,M_Input_Out!$A$1:$AM$3999,24,FALSE)</f>
        <v>7.8264960519974683E-2</v>
      </c>
      <c r="AP8" s="367">
        <f>VLOOKUP($I8,M_Input_Out!$A$1:$AM$3999,25,FALSE)</f>
        <v>9.063292779080992E-2</v>
      </c>
      <c r="AQ8" s="367">
        <f>VLOOKUP($I8,M_Input_Out!$A$1:$AM$3999,26,FALSE)</f>
        <v>0.10676376134893639</v>
      </c>
      <c r="AR8" s="367"/>
      <c r="AS8" s="367">
        <f>VLOOKUP($I8,M_Input_Out!$A$1:$AM$3999,28,FALSE)</f>
        <v>0.16819875624016742</v>
      </c>
      <c r="AT8" s="367">
        <f>VLOOKUP($I8,M_Input_Out!$A$1:$AM$3999,29,FALSE)</f>
        <v>0.14589832709209946</v>
      </c>
      <c r="AU8" s="367">
        <f>VLOOKUP($I8,M_Input_Out!$A$1:$AM$3999,30,FALSE)</f>
        <v>0.1470812999205123</v>
      </c>
      <c r="AV8" s="367">
        <f>VLOOKUP($I8,M_Input_Out!$A$1:$AM$3999,31,FALSE)</f>
        <v>0.14005816569707161</v>
      </c>
      <c r="AW8" s="367">
        <f>VLOOKUP($I8,M_Input_Out!$A$1:$AM$3999,32,FALSE)</f>
        <v>0.12900069998058744</v>
      </c>
      <c r="AX8" s="367">
        <f>VLOOKUP($I8,M_Input_Out!$A$1:$AM$3999,33,FALSE)</f>
        <v>0.11720911719802715</v>
      </c>
      <c r="AY8" s="367">
        <f>VLOOKUP($I8,M_Input_Out!$A$1:$AM$3999,34,FALSE)</f>
        <v>0.1279893318442922</v>
      </c>
      <c r="AZ8" s="367">
        <f>VLOOKUP($I8,M_Input_Out!$A$1:$AM$3999,35,FALSE)</f>
        <v>0.13820333217154609</v>
      </c>
      <c r="BA8" s="367">
        <f>VLOOKUP($I8,M_Input_Out!$A$1:$AM$3999,36,FALSE)</f>
        <v>0.148968943832851</v>
      </c>
      <c r="BB8" s="367">
        <f>VLOOKUP($I8,M_Input_Out!$A$1:$AM$3999,37,FALSE)</f>
        <v>0.15374438931327281</v>
      </c>
      <c r="BC8" s="367">
        <f>VLOOKUP($I8,M_Input_Out!$A$1:$AM$3999,38,FALSE)</f>
        <v>0.16116705643394633</v>
      </c>
      <c r="BD8" s="367">
        <f>VLOOKUP($I8,M_Input_Out!$A$1:$AM$3999,39,FALSE)</f>
        <v>0.16889380487255518</v>
      </c>
    </row>
    <row r="9" spans="1:56" ht="15">
      <c r="A9" s="279" t="str">
        <f>VLOOKUP(CONCATENATE(C9,"-",B9),[1]!ACHIEV,2,FALSE)</f>
        <v>LO20Fast</v>
      </c>
      <c r="B9" s="279" t="str">
        <f>'SC-New'!$D$7</f>
        <v>New</v>
      </c>
      <c r="C9" s="279" t="str">
        <f>[1]MLIST!$B$66</f>
        <v>Exterior Building Lighting</v>
      </c>
      <c r="D9" s="279" t="s">
        <v>896</v>
      </c>
      <c r="E9" s="279" t="s">
        <v>997</v>
      </c>
      <c r="F9" s="365">
        <f>VLOOKUP(I9,M_Input_Out!$A$1:$AM$3999,14,FALSE)</f>
        <v>1.2863283886728799E-2</v>
      </c>
      <c r="G9" s="366">
        <f>VLOOKUP(I9,M_Input_Out!$A$1:$AM$3999,3,FALSE)</f>
        <v>55.109130131336691</v>
      </c>
      <c r="H9" s="366">
        <f>VLOOKUP(I9,M_Input_Out!$A$1:$AM$3999,11,FALSE)</f>
        <v>-3.3936670549990122</v>
      </c>
      <c r="I9" s="24" t="str">
        <f>'SC-New'!C70</f>
        <v>Exterior Lighting: Parking Lot - MH 400W - New</v>
      </c>
      <c r="K9" s="45">
        <f>'SC-New'!E70</f>
        <v>4.9316205925603804E-2</v>
      </c>
      <c r="L9" s="45">
        <f>'SC-New'!F70</f>
        <v>7.2492363120732761E-2</v>
      </c>
      <c r="M9" s="45">
        <f>'SC-New'!G70</f>
        <v>8.0950415352306321E-2</v>
      </c>
      <c r="N9" s="45">
        <f>'SC-New'!H70</f>
        <v>9.4690820422531727E-2</v>
      </c>
      <c r="O9" s="45">
        <f>'SC-New'!I70</f>
        <v>9.1392439295401459E-2</v>
      </c>
      <c r="P9" s="45">
        <f>'SC-New'!J70</f>
        <v>9.161214019170244E-2</v>
      </c>
      <c r="Q9" s="45">
        <f>'SC-New'!K70</f>
        <v>0.10805472010258103</v>
      </c>
      <c r="R9" s="45">
        <f>'SC-New'!L70</f>
        <v>0.11399319700445416</v>
      </c>
      <c r="S9" s="45">
        <f>'SC-New'!M70</f>
        <v>0.12855479099746547</v>
      </c>
      <c r="T9" s="45">
        <f>'SC-New'!N70</f>
        <v>0.14262571393643472</v>
      </c>
      <c r="U9" s="45">
        <f>'SC-New'!O70</f>
        <v>0.15635661282532654</v>
      </c>
      <c r="V9" s="45">
        <f>'SC-New'!P70</f>
        <v>0.18013227113584854</v>
      </c>
      <c r="W9" s="45">
        <f>'SC-New'!Q70</f>
        <v>0.1981443334121889</v>
      </c>
      <c r="X9" s="45">
        <f>'SC-New'!R70</f>
        <v>0.19173834677432097</v>
      </c>
      <c r="Y9" s="45">
        <f>'SC-New'!S70</f>
        <v>0.20334724032826265</v>
      </c>
      <c r="Z9" s="45">
        <f>'SC-New'!T70</f>
        <v>0.19805314428311685</v>
      </c>
      <c r="AA9" s="45">
        <f>'SC-New'!U70</f>
        <v>0.19473691072775584</v>
      </c>
      <c r="AB9" s="45">
        <f>'SC-New'!V70</f>
        <v>0.18537361088204338</v>
      </c>
      <c r="AC9" s="45">
        <f>'SC-New'!W70</f>
        <v>0.1818271610365583</v>
      </c>
      <c r="AD9" s="45">
        <f>'SC-New'!X70</f>
        <v>0.18405774890594573</v>
      </c>
      <c r="AE9" s="45">
        <f>'SC-New'!Y70</f>
        <v>2.8474501866605819</v>
      </c>
      <c r="AF9" s="367">
        <f>VLOOKUP($I9,M_Input_Out!$A$1:$AM$3999,15,FALSE)</f>
        <v>2.2571303297819401</v>
      </c>
      <c r="AG9" s="367">
        <f>VLOOKUP($I9,M_Input_Out!$A$1:$AM$3999,16,FALSE)</f>
        <v>1.6686117823369091</v>
      </c>
      <c r="AH9" s="367">
        <f>VLOOKUP($I9,M_Input_Out!$A$1:$AM$3999,17,FALSE)</f>
        <v>1.554388836135755</v>
      </c>
      <c r="AI9" s="367">
        <f>VLOOKUP($I9,M_Input_Out!$A$1:$AM$3999,18,FALSE)</f>
        <v>0.89233359392228662</v>
      </c>
      <c r="AJ9" s="367">
        <f>VLOOKUP($I9,M_Input_Out!$A$1:$AM$3999,19,FALSE)</f>
        <v>0.71680169164066421</v>
      </c>
      <c r="AK9" s="367">
        <f>VLOOKUP($I9,M_Input_Out!$A$1:$AM$3999,20,FALSE)</f>
        <v>0.55602844391191164</v>
      </c>
      <c r="AL9" s="367">
        <f>VLOOKUP($I9,M_Input_Out!$A$1:$AM$3999,21,FALSE)</f>
        <v>0.58021134026589494</v>
      </c>
      <c r="AM9" s="367">
        <f>VLOOKUP($I9,M_Input_Out!$A$1:$AM$3999,22,FALSE)</f>
        <v>0.84451676265581743</v>
      </c>
      <c r="AN9" s="367">
        <f>VLOOKUP($I9,M_Input_Out!$A$1:$AM$3999,23,FALSE)</f>
        <v>1.0669806400433919</v>
      </c>
      <c r="AO9" s="367">
        <f>VLOOKUP($I9,M_Input_Out!$A$1:$AM$3999,24,FALSE)</f>
        <v>1.740658452522251</v>
      </c>
      <c r="AP9" s="367">
        <f>VLOOKUP($I9,M_Input_Out!$A$1:$AM$3999,25,FALSE)</f>
        <v>2.0157292712828823</v>
      </c>
      <c r="AQ9" s="367">
        <f>VLOOKUP($I9,M_Input_Out!$A$1:$AM$3999,26,FALSE)</f>
        <v>2.374488434932065</v>
      </c>
      <c r="AR9" s="367"/>
      <c r="AS9" s="367">
        <f>VLOOKUP($I9,M_Input_Out!$A$1:$AM$3999,28,FALSE)</f>
        <v>3.740838618048687</v>
      </c>
      <c r="AT9" s="367">
        <f>VLOOKUP($I9,M_Input_Out!$A$1:$AM$3999,29,FALSE)</f>
        <v>3.2448640435575755</v>
      </c>
      <c r="AU9" s="367">
        <f>VLOOKUP($I9,M_Input_Out!$A$1:$AM$3999,30,FALSE)</f>
        <v>3.2711740504776636</v>
      </c>
      <c r="AV9" s="367">
        <f>VLOOKUP($I9,M_Input_Out!$A$1:$AM$3999,31,FALSE)</f>
        <v>3.1149754417003637</v>
      </c>
      <c r="AW9" s="367">
        <f>VLOOKUP($I9,M_Input_Out!$A$1:$AM$3999,32,FALSE)</f>
        <v>2.8690509432402784</v>
      </c>
      <c r="AX9" s="367">
        <f>VLOOKUP($I9,M_Input_Out!$A$1:$AM$3999,33,FALSE)</f>
        <v>2.6067992522828543</v>
      </c>
      <c r="AY9" s="367">
        <f>VLOOKUP($I9,M_Input_Out!$A$1:$AM$3999,34,FALSE)</f>
        <v>2.8465575249422561</v>
      </c>
      <c r="AZ9" s="367">
        <f>VLOOKUP($I9,M_Input_Out!$A$1:$AM$3999,35,FALSE)</f>
        <v>3.0737228603053524</v>
      </c>
      <c r="BA9" s="367">
        <f>VLOOKUP($I9,M_Input_Out!$A$1:$AM$3999,36,FALSE)</f>
        <v>3.3131563540466531</v>
      </c>
      <c r="BB9" s="367">
        <f>VLOOKUP($I9,M_Input_Out!$A$1:$AM$3999,37,FALSE)</f>
        <v>3.4193650518448702</v>
      </c>
      <c r="BC9" s="367">
        <f>VLOOKUP($I9,M_Input_Out!$A$1:$AM$3999,38,FALSE)</f>
        <v>3.584449505705444</v>
      </c>
      <c r="BD9" s="367">
        <f>VLOOKUP($I9,M_Input_Out!$A$1:$AM$3999,39,FALSE)</f>
        <v>3.7562969057529396</v>
      </c>
    </row>
    <row r="10" spans="1:56" ht="15">
      <c r="A10" s="279" t="str">
        <f>VLOOKUP(CONCATENATE(C10,"-",B10),[1]!ACHIEV,2,FALSE)</f>
        <v>LO20Fast</v>
      </c>
      <c r="B10" s="279" t="str">
        <f>'SC-New'!$D$7</f>
        <v>New</v>
      </c>
      <c r="C10" s="279" t="str">
        <f>[1]MLIST!$B$66</f>
        <v>Exterior Building Lighting</v>
      </c>
      <c r="D10" s="279" t="s">
        <v>896</v>
      </c>
      <c r="E10" s="279" t="s">
        <v>997</v>
      </c>
      <c r="F10" s="365">
        <f>VLOOKUP(I10,M_Input_Out!$A$1:$AM$3999,14,FALSE)</f>
        <v>1.5644870207817637E-3</v>
      </c>
      <c r="G10" s="366">
        <f>VLOOKUP(I10,M_Input_Out!$A$1:$AM$3999,3,FALSE)</f>
        <v>6.702605615817987</v>
      </c>
      <c r="H10" s="366">
        <f>VLOOKUP(I10,M_Input_Out!$A$1:$AM$3999,11,FALSE)</f>
        <v>6.5790829489429443</v>
      </c>
      <c r="I10" s="24" t="str">
        <f>'SC-New'!C71</f>
        <v>Exterior Lighting: Parking Lot - MH 1000W - New</v>
      </c>
      <c r="K10" s="45">
        <f>'SC-New'!E71</f>
        <v>5.9980456595853521E-3</v>
      </c>
      <c r="L10" s="45">
        <f>'SC-New'!F71</f>
        <v>8.8168279738578201E-3</v>
      </c>
      <c r="M10" s="45">
        <f>'SC-New'!G71</f>
        <v>9.8455320788059485E-3</v>
      </c>
      <c r="N10" s="45">
        <f>'SC-New'!H71</f>
        <v>1.1516698289700974E-2</v>
      </c>
      <c r="O10" s="45">
        <f>'SC-New'!I71</f>
        <v>1.1115535219024227E-2</v>
      </c>
      <c r="P10" s="45">
        <f>'SC-New'!J71</f>
        <v>1.114225617175634E-2</v>
      </c>
      <c r="Q10" s="45">
        <f>'SC-New'!K71</f>
        <v>1.314207232175801E-2</v>
      </c>
      <c r="R10" s="45">
        <f>'SC-New'!L71</f>
        <v>1.3864335012840972E-2</v>
      </c>
      <c r="S10" s="45">
        <f>'SC-New'!M71</f>
        <v>1.5635377695609069E-2</v>
      </c>
      <c r="T10" s="45">
        <f>'SC-New'!N71</f>
        <v>1.7346742888376811E-2</v>
      </c>
      <c r="U10" s="45">
        <f>'SC-New'!O71</f>
        <v>1.9016752917270056E-2</v>
      </c>
      <c r="V10" s="45">
        <f>'SC-New'!P71</f>
        <v>2.1908449094148345E-2</v>
      </c>
      <c r="W10" s="45">
        <f>'SC-New'!Q71</f>
        <v>2.4099152331128186E-2</v>
      </c>
      <c r="X10" s="45">
        <f>'SC-New'!R71</f>
        <v>2.3320029127559171E-2</v>
      </c>
      <c r="Y10" s="45">
        <f>'SC-New'!S71</f>
        <v>2.4731951887774134E-2</v>
      </c>
      <c r="Z10" s="45">
        <f>'SC-New'!T71</f>
        <v>2.4088061523358881E-2</v>
      </c>
      <c r="AA10" s="45">
        <f>'SC-New'!U71</f>
        <v>2.3684727164813318E-2</v>
      </c>
      <c r="AB10" s="45">
        <f>'SC-New'!V71</f>
        <v>2.2545923014232586E-2</v>
      </c>
      <c r="AC10" s="45">
        <f>'SC-New'!W71</f>
        <v>2.2114588776259398E-2</v>
      </c>
      <c r="AD10" s="45">
        <f>'SC-New'!X71</f>
        <v>2.2385882312272416E-2</v>
      </c>
      <c r="AE10" s="45">
        <f>'SC-New'!Y71</f>
        <v>0.34631894146013198</v>
      </c>
      <c r="AF10" s="367">
        <f>VLOOKUP($I10,M_Input_Out!$A$1:$AM$3999,15,FALSE)</f>
        <v>0.27452174236782106</v>
      </c>
      <c r="AG10" s="367">
        <f>VLOOKUP($I10,M_Input_Out!$A$1:$AM$3999,16,FALSE)</f>
        <v>0.20294362615155573</v>
      </c>
      <c r="AH10" s="367">
        <f>VLOOKUP($I10,M_Input_Out!$A$1:$AM$3999,17,FALSE)</f>
        <v>0.18905134806916599</v>
      </c>
      <c r="AI10" s="367">
        <f>VLOOKUP($I10,M_Input_Out!$A$1:$AM$3999,18,FALSE)</f>
        <v>0.1085293878446761</v>
      </c>
      <c r="AJ10" s="367">
        <f>VLOOKUP($I10,M_Input_Out!$A$1:$AM$3999,19,FALSE)</f>
        <v>8.7180455078288421E-2</v>
      </c>
      <c r="AK10" s="367">
        <f>VLOOKUP($I10,M_Input_Out!$A$1:$AM$3999,20,FALSE)</f>
        <v>6.7626532333874084E-2</v>
      </c>
      <c r="AL10" s="367">
        <f>VLOOKUP($I10,M_Input_Out!$A$1:$AM$3999,21,FALSE)</f>
        <v>7.0567758524936477E-2</v>
      </c>
      <c r="AM10" s="367">
        <f>VLOOKUP($I10,M_Input_Out!$A$1:$AM$3999,22,FALSE)</f>
        <v>0.1027137024761456</v>
      </c>
      <c r="AN10" s="367">
        <f>VLOOKUP($I10,M_Input_Out!$A$1:$AM$3999,23,FALSE)</f>
        <v>0.12977070066031263</v>
      </c>
      <c r="AO10" s="367">
        <f>VLOOKUP($I10,M_Input_Out!$A$1:$AM$3999,24,FALSE)</f>
        <v>0.21170624706454064</v>
      </c>
      <c r="AP10" s="367">
        <f>VLOOKUP($I10,M_Input_Out!$A$1:$AM$3999,25,FALSE)</f>
        <v>0.24516152407905265</v>
      </c>
      <c r="AQ10" s="367">
        <f>VLOOKUP($I10,M_Input_Out!$A$1:$AM$3999,26,FALSE)</f>
        <v>0.2887953317488608</v>
      </c>
      <c r="AR10" s="367"/>
      <c r="AS10" s="367">
        <f>VLOOKUP($I10,M_Input_Out!$A$1:$AM$3999,28,FALSE)</f>
        <v>0.4549766231012321</v>
      </c>
      <c r="AT10" s="367">
        <f>VLOOKUP($I10,M_Input_Out!$A$1:$AM$3999,29,FALSE)</f>
        <v>0.39465409650056721</v>
      </c>
      <c r="AU10" s="367">
        <f>VLOOKUP($I10,M_Input_Out!$A$1:$AM$3999,30,FALSE)</f>
        <v>0.39785403088012511</v>
      </c>
      <c r="AV10" s="367">
        <f>VLOOKUP($I10,M_Input_Out!$A$1:$AM$3999,31,FALSE)</f>
        <v>0.37885649508381303</v>
      </c>
      <c r="AW10" s="367">
        <f>VLOOKUP($I10,M_Input_Out!$A$1:$AM$3999,32,FALSE)</f>
        <v>0.34894611688482025</v>
      </c>
      <c r="AX10" s="367">
        <f>VLOOKUP($I10,M_Input_Out!$A$1:$AM$3999,33,FALSE)</f>
        <v>0.31704995644135364</v>
      </c>
      <c r="AY10" s="367">
        <f>VLOOKUP($I10,M_Input_Out!$A$1:$AM$3999,34,FALSE)</f>
        <v>0.34621037216440886</v>
      </c>
      <c r="AZ10" s="367">
        <f>VLOOKUP($I10,M_Input_Out!$A$1:$AM$3999,35,FALSE)</f>
        <v>0.37383918156305462</v>
      </c>
      <c r="BA10" s="367">
        <f>VLOOKUP($I10,M_Input_Out!$A$1:$AM$3999,36,FALSE)</f>
        <v>0.4029600962997002</v>
      </c>
      <c r="BB10" s="367">
        <f>VLOOKUP($I10,M_Input_Out!$A$1:$AM$3999,37,FALSE)</f>
        <v>0.41587764757685697</v>
      </c>
      <c r="BC10" s="367">
        <f>VLOOKUP($I10,M_Input_Out!$A$1:$AM$3999,38,FALSE)</f>
        <v>0.43595591745506251</v>
      </c>
      <c r="BD10" s="367">
        <f>VLOOKUP($I10,M_Input_Out!$A$1:$AM$3999,39,FALSE)</f>
        <v>0.45685672546776424</v>
      </c>
    </row>
    <row r="11" spans="1:56" ht="15">
      <c r="A11" s="279" t="str">
        <f>VLOOKUP(CONCATENATE(C11,"-",B11),[1]!ACHIEV,2,FALSE)</f>
        <v>LO20Fast</v>
      </c>
      <c r="B11" s="279" t="str">
        <f>'SC-NR'!$C$7</f>
        <v>NR</v>
      </c>
      <c r="C11" s="279" t="str">
        <f>[1]MLIST!$B$66</f>
        <v>Exterior Building Lighting</v>
      </c>
      <c r="D11" s="279" t="s">
        <v>896</v>
      </c>
      <c r="E11" s="279" t="s">
        <v>997</v>
      </c>
      <c r="F11" s="365">
        <f>VLOOKUP(I11,M_Input_Out!$A$1:$AM$3999,14,FALSE)</f>
        <v>3.2580822604331608E-2</v>
      </c>
      <c r="G11" s="366">
        <f>VLOOKUP(I11,M_Input_Out!$A$1:$AM$3999,3,FALSE)</f>
        <v>139.58339165168746</v>
      </c>
      <c r="H11" s="366">
        <f>VLOOKUP(I11,M_Input_Out!$A$1:$AM$3999,11,FALSE)</f>
        <v>27.876513737276195</v>
      </c>
      <c r="I11" s="24" t="str">
        <f>'SC-NR'!D90</f>
        <v>Exterior Lighting: Parking Lot - HPS 250W - NR</v>
      </c>
      <c r="K11" s="45">
        <f ca="1">'SC-NR'!E118</f>
        <v>1.320919036761848</v>
      </c>
      <c r="L11" s="45">
        <f ca="1">'SC-NR'!F118</f>
        <v>2.2371119644930815</v>
      </c>
      <c r="M11" s="45">
        <f ca="1">'SC-NR'!G118</f>
        <v>2.8629361287944604</v>
      </c>
      <c r="N11" s="45">
        <f ca="1">'SC-NR'!H118</f>
        <v>3.3433952478539335</v>
      </c>
      <c r="O11" s="45">
        <f ca="1">'SC-NR'!I118</f>
        <v>3.7589220159065864</v>
      </c>
      <c r="P11" s="45">
        <f ca="1">'SC-NR'!J118</f>
        <v>4.1710104460515538</v>
      </c>
      <c r="Q11" s="45">
        <f ca="1">'SC-NR'!K118</f>
        <v>4.4566019343211716</v>
      </c>
      <c r="R11" s="45">
        <f ca="1">'SC-NR'!L118</f>
        <v>4.6958905433798099</v>
      </c>
      <c r="S11" s="45">
        <f ca="1">'SC-NR'!M118</f>
        <v>4.8975979399462108</v>
      </c>
      <c r="T11" s="45">
        <f ca="1">'SC-NR'!N118</f>
        <v>5.0570834135062395</v>
      </c>
      <c r="U11" s="45">
        <f ca="1">'SC-NR'!O118</f>
        <v>5.1869867240477365</v>
      </c>
      <c r="V11" s="45">
        <f ca="1">'SC-NR'!P118</f>
        <v>5.285592587746935</v>
      </c>
      <c r="W11" s="45">
        <f ca="1">'SC-NR'!Q118</f>
        <v>5.3547268026185062</v>
      </c>
      <c r="X11" s="45">
        <f ca="1">'SC-NR'!R118</f>
        <v>5.404200339575052</v>
      </c>
      <c r="Y11" s="45">
        <f ca="1">'SC-NR'!S118</f>
        <v>5.4371256404362409</v>
      </c>
      <c r="Z11" s="45">
        <f ca="1">'SC-NR'!T118</f>
        <v>5.4573097463925189</v>
      </c>
      <c r="AA11" s="45">
        <f ca="1">'SC-NR'!U118</f>
        <v>5.4688693817238274</v>
      </c>
      <c r="AB11" s="45">
        <f ca="1">'SC-NR'!V118</f>
        <v>5.4722734392506069</v>
      </c>
      <c r="AC11" s="45">
        <f ca="1">'SC-NR'!W118</f>
        <v>5.4677384250131889</v>
      </c>
      <c r="AD11" s="45">
        <f ca="1">'SC-NR'!X118</f>
        <v>5.4605183027327433</v>
      </c>
      <c r="AE11" s="45">
        <f ca="1">'SC-NR'!Y118</f>
        <v>45.545076575389174</v>
      </c>
      <c r="AF11" s="367">
        <f>VLOOKUP($I11,M_Input_Out!$A$1:$AM$3999,15,FALSE)</f>
        <v>5.7169820332856913</v>
      </c>
      <c r="AG11" s="367">
        <f>VLOOKUP($I11,M_Input_Out!$A$1:$AM$3999,16,FALSE)</f>
        <v>4.2263503592504215</v>
      </c>
      <c r="AH11" s="367">
        <f>VLOOKUP($I11,M_Input_Out!$A$1:$AM$3999,17,FALSE)</f>
        <v>3.9370402903524311</v>
      </c>
      <c r="AI11" s="367">
        <f>VLOOKUP($I11,M_Input_Out!$A$1:$AM$3999,18,FALSE)</f>
        <v>2.2601508901986227</v>
      </c>
      <c r="AJ11" s="367">
        <f>VLOOKUP($I11,M_Input_Out!$A$1:$AM$3999,19,FALSE)</f>
        <v>1.8155541744611476</v>
      </c>
      <c r="AK11" s="367">
        <f>VLOOKUP($I11,M_Input_Out!$A$1:$AM$3999,20,FALSE)</f>
        <v>1.4083389788782386</v>
      </c>
      <c r="AL11" s="367">
        <f>VLOOKUP($I11,M_Input_Out!$A$1:$AM$3999,21,FALSE)</f>
        <v>1.4695907294503421</v>
      </c>
      <c r="AM11" s="367">
        <f>VLOOKUP($I11,M_Input_Out!$A$1:$AM$3999,22,FALSE)</f>
        <v>2.139037828346555</v>
      </c>
      <c r="AN11" s="367">
        <f>VLOOKUP($I11,M_Input_Out!$A$1:$AM$3999,23,FALSE)</f>
        <v>2.7025063942944967</v>
      </c>
      <c r="AO11" s="367">
        <f>VLOOKUP($I11,M_Input_Out!$A$1:$AM$3999,24,FALSE)</f>
        <v>4.4088340703471802</v>
      </c>
      <c r="AP11" s="367">
        <f>VLOOKUP($I11,M_Input_Out!$A$1:$AM$3999,25,FALSE)</f>
        <v>5.1055483486439233</v>
      </c>
      <c r="AQ11" s="367">
        <f>VLOOKUP($I11,M_Input_Out!$A$1:$AM$3999,26,FALSE)</f>
        <v>6.0142330026918467</v>
      </c>
      <c r="AR11" s="367"/>
      <c r="AS11" s="367">
        <f>VLOOKUP($I11,M_Input_Out!$A$1:$AM$3999,28,FALSE)</f>
        <v>9.4749988011865209</v>
      </c>
      <c r="AT11" s="367">
        <f>VLOOKUP($I11,M_Input_Out!$A$1:$AM$3999,29,FALSE)</f>
        <v>8.2187675176318251</v>
      </c>
      <c r="AU11" s="367">
        <f>VLOOKUP($I11,M_Input_Out!$A$1:$AM$3999,30,FALSE)</f>
        <v>8.2854069291328436</v>
      </c>
      <c r="AV11" s="367">
        <f>VLOOKUP($I11,M_Input_Out!$A$1:$AM$3999,31,FALSE)</f>
        <v>7.8897786270266392</v>
      </c>
      <c r="AW11" s="367">
        <f>VLOOKUP($I11,M_Input_Out!$A$1:$AM$3999,32,FALSE)</f>
        <v>7.2668877284860445</v>
      </c>
      <c r="AX11" s="367">
        <f>VLOOKUP($I11,M_Input_Out!$A$1:$AM$3999,33,FALSE)</f>
        <v>6.6026424318720771</v>
      </c>
      <c r="AY11" s="367">
        <f>VLOOKUP($I11,M_Input_Out!$A$1:$AM$3999,34,FALSE)</f>
        <v>7.2099151795019552</v>
      </c>
      <c r="AZ11" s="367">
        <f>VLOOKUP($I11,M_Input_Out!$A$1:$AM$3999,35,FALSE)</f>
        <v>7.7852918530242183</v>
      </c>
      <c r="BA11" s="367">
        <f>VLOOKUP($I11,M_Input_Out!$A$1:$AM$3999,36,FALSE)</f>
        <v>8.3917419830076643</v>
      </c>
      <c r="BB11" s="367">
        <f>VLOOKUP($I11,M_Input_Out!$A$1:$AM$3999,37,FALSE)</f>
        <v>8.6607531291871318</v>
      </c>
      <c r="BC11" s="367">
        <f>VLOOKUP($I11,M_Input_Out!$A$1:$AM$3999,38,FALSE)</f>
        <v>9.07888798132341</v>
      </c>
      <c r="BD11" s="367">
        <f>VLOOKUP($I11,M_Input_Out!$A$1:$AM$3999,39,FALSE)</f>
        <v>9.5141523901062683</v>
      </c>
    </row>
    <row r="12" spans="1:56" ht="15">
      <c r="A12" s="279" t="str">
        <f>VLOOKUP(CONCATENATE(C12,"-",B12),[1]!ACHIEV,2,FALSE)</f>
        <v>LO20Fast</v>
      </c>
      <c r="B12" s="279" t="str">
        <f>'SC-NR'!$C$7</f>
        <v>NR</v>
      </c>
      <c r="C12" s="279" t="str">
        <f>[1]MLIST!$B$66</f>
        <v>Exterior Building Lighting</v>
      </c>
      <c r="D12" s="279" t="s">
        <v>896</v>
      </c>
      <c r="E12" s="279" t="s">
        <v>997</v>
      </c>
      <c r="F12" s="365">
        <f>VLOOKUP(I12,M_Input_Out!$A$1:$AM$3999,14,FALSE)</f>
        <v>1.6512929294568948E-2</v>
      </c>
      <c r="G12" s="366">
        <f>VLOOKUP(I12,M_Input_Out!$A$1:$AM$3999,3,FALSE)</f>
        <v>70.745011721527277</v>
      </c>
      <c r="H12" s="366">
        <f>VLOOKUP(I12,M_Input_Out!$A$1:$AM$3999,11,FALSE)</f>
        <v>7.5069814065752967</v>
      </c>
      <c r="I12" s="24" t="str">
        <f>'SC-NR'!D91</f>
        <v>Exterior Lighting: Walkway - HID 150W - NR</v>
      </c>
      <c r="K12" s="45">
        <f ca="1">'SC-NR'!E119</f>
        <v>0.88041340860884498</v>
      </c>
      <c r="L12" s="45">
        <f ca="1">'SC-NR'!F119</f>
        <v>1.4910704708498221</v>
      </c>
      <c r="M12" s="45">
        <f ca="1">'SC-NR'!G119</f>
        <v>1.9081921644193707</v>
      </c>
      <c r="N12" s="45">
        <f ca="1">'SC-NR'!H119</f>
        <v>2.228425758557977</v>
      </c>
      <c r="O12" s="45">
        <f ca="1">'SC-NR'!I119</f>
        <v>2.5053809148151518</v>
      </c>
      <c r="P12" s="45">
        <f ca="1">'SC-NR'!J119</f>
        <v>2.7800443645308901</v>
      </c>
      <c r="Q12" s="45">
        <f ca="1">'SC-NR'!K119</f>
        <v>2.9703956038267623</v>
      </c>
      <c r="R12" s="45">
        <f ca="1">'SC-NR'!L119</f>
        <v>3.129885242539999</v>
      </c>
      <c r="S12" s="45">
        <f ca="1">'SC-NR'!M119</f>
        <v>3.2643264093415483</v>
      </c>
      <c r="T12" s="45">
        <f ca="1">'SC-NR'!N119</f>
        <v>3.3706259973502086</v>
      </c>
      <c r="U12" s="45">
        <f ca="1">'SC-NR'!O119</f>
        <v>3.4572086063069096</v>
      </c>
      <c r="V12" s="45">
        <f ca="1">'SC-NR'!P119</f>
        <v>3.5229309724415132</v>
      </c>
      <c r="W12" s="45">
        <f ca="1">'SC-NR'!Q119</f>
        <v>3.5690100189785272</v>
      </c>
      <c r="X12" s="45">
        <f ca="1">'SC-NR'!R119</f>
        <v>3.6019849130451793</v>
      </c>
      <c r="Y12" s="45">
        <f ca="1">'SC-NR'!S119</f>
        <v>3.6239301462910674</v>
      </c>
      <c r="Z12" s="45">
        <f ca="1">'SC-NR'!T119</f>
        <v>3.6373831718211185</v>
      </c>
      <c r="AA12" s="45">
        <f ca="1">'SC-NR'!U119</f>
        <v>3.6450878514124283</v>
      </c>
      <c r="AB12" s="45">
        <f ca="1">'SC-NR'!V119</f>
        <v>3.6473567095383586</v>
      </c>
      <c r="AC12" s="45">
        <f ca="1">'SC-NR'!W119</f>
        <v>3.644334050895599</v>
      </c>
      <c r="AD12" s="45">
        <f ca="1">'SC-NR'!X119</f>
        <v>3.6395217253172776</v>
      </c>
      <c r="AE12" s="45">
        <f ca="1">'SC-NR'!Y119</f>
        <v>23.083598543185364</v>
      </c>
      <c r="AF12" s="367">
        <f>VLOOKUP($I12,M_Input_Out!$A$1:$AM$3999,15,FALSE)</f>
        <v>2.8975364201337466</v>
      </c>
      <c r="AG12" s="367">
        <f>VLOOKUP($I12,M_Input_Out!$A$1:$AM$3999,16,FALSE)</f>
        <v>2.1420399817375948</v>
      </c>
      <c r="AH12" s="367">
        <f>VLOOKUP($I12,M_Input_Out!$A$1:$AM$3999,17,FALSE)</f>
        <v>1.9954090396666526</v>
      </c>
      <c r="AI12" s="367">
        <f>VLOOKUP($I12,M_Input_Out!$A$1:$AM$3999,18,FALSE)</f>
        <v>1.145511649541501</v>
      </c>
      <c r="AJ12" s="367">
        <f>VLOOKUP($I12,M_Input_Out!$A$1:$AM$3999,19,FALSE)</f>
        <v>0.9201768192725307</v>
      </c>
      <c r="AK12" s="367">
        <f>VLOOKUP($I12,M_Input_Out!$A$1:$AM$3999,20,FALSE)</f>
        <v>0.71378805450755978</v>
      </c>
      <c r="AL12" s="367">
        <f>VLOOKUP($I12,M_Input_Out!$A$1:$AM$3999,21,FALSE)</f>
        <v>0.74483226228122257</v>
      </c>
      <c r="AM12" s="367">
        <f>VLOOKUP($I12,M_Input_Out!$A$1:$AM$3999,22,FALSE)</f>
        <v>1.0841279499554122</v>
      </c>
      <c r="AN12" s="367">
        <f>VLOOKUP($I12,M_Input_Out!$A$1:$AM$3999,23,FALSE)</f>
        <v>1.3697105671350498</v>
      </c>
      <c r="AO12" s="367">
        <f>VLOOKUP($I12,M_Input_Out!$A$1:$AM$3999,24,FALSE)</f>
        <v>2.234528150478635</v>
      </c>
      <c r="AP12" s="367">
        <f>VLOOKUP($I12,M_Input_Out!$A$1:$AM$3999,25,FALSE)</f>
        <v>2.5876436551344688</v>
      </c>
      <c r="AQ12" s="367">
        <f>VLOOKUP($I12,M_Input_Out!$A$1:$AM$3999,26,FALSE)</f>
        <v>3.0481920466093446</v>
      </c>
      <c r="AR12" s="367"/>
      <c r="AS12" s="367">
        <f>VLOOKUP($I12,M_Input_Out!$A$1:$AM$3999,28,FALSE)</f>
        <v>4.8022110175117945</v>
      </c>
      <c r="AT12" s="367">
        <f>VLOOKUP($I12,M_Input_Out!$A$1:$AM$3999,29,FALSE)</f>
        <v>4.1655156640861151</v>
      </c>
      <c r="AU12" s="367">
        <f>VLOOKUP($I12,M_Input_Out!$A$1:$AM$3999,30,FALSE)</f>
        <v>4.1992904985558157</v>
      </c>
      <c r="AV12" s="367">
        <f>VLOOKUP($I12,M_Input_Out!$A$1:$AM$3999,31,FALSE)</f>
        <v>3.9987743158016844</v>
      </c>
      <c r="AW12" s="367">
        <f>VLOOKUP($I12,M_Input_Out!$A$1:$AM$3999,32,FALSE)</f>
        <v>3.6830746942560983</v>
      </c>
      <c r="AX12" s="367">
        <f>VLOOKUP($I12,M_Input_Out!$A$1:$AM$3999,33,FALSE)</f>
        <v>3.3464154345915449</v>
      </c>
      <c r="AY12" s="367">
        <f>VLOOKUP($I12,M_Input_Out!$A$1:$AM$3999,34,FALSE)</f>
        <v>3.6541993130378061</v>
      </c>
      <c r="AZ12" s="367">
        <f>VLOOKUP($I12,M_Input_Out!$A$1:$AM$3999,35,FALSE)</f>
        <v>3.9458173130803904</v>
      </c>
      <c r="BA12" s="367">
        <f>VLOOKUP($I12,M_Input_Out!$A$1:$AM$3999,36,FALSE)</f>
        <v>4.2531842644528028</v>
      </c>
      <c r="BB12" s="367">
        <f>VLOOKUP($I12,M_Input_Out!$A$1:$AM$3999,37,FALSE)</f>
        <v>4.3895271091458001</v>
      </c>
      <c r="BC12" s="367">
        <f>VLOOKUP($I12,M_Input_Out!$A$1:$AM$3999,38,FALSE)</f>
        <v>4.6014502804166035</v>
      </c>
      <c r="BD12" s="367">
        <f>VLOOKUP($I12,M_Input_Out!$A$1:$AM$3999,39,FALSE)</f>
        <v>4.8220552201371278</v>
      </c>
    </row>
    <row r="13" spans="1:56" ht="15">
      <c r="A13" s="279" t="str">
        <f>VLOOKUP(CONCATENATE(C13,"-",B13),[1]!ACHIEV,2,FALSE)</f>
        <v>LO20Fast</v>
      </c>
      <c r="B13" s="279" t="str">
        <f>'SC-NR'!$C$7</f>
        <v>NR</v>
      </c>
      <c r="C13" s="279" t="str">
        <f>[1]MLIST!$B$66</f>
        <v>Exterior Building Lighting</v>
      </c>
      <c r="D13" s="279" t="s">
        <v>896</v>
      </c>
      <c r="E13" s="279" t="s">
        <v>997</v>
      </c>
      <c r="F13" s="365">
        <f>VLOOKUP(I13,M_Input_Out!$A$1:$AM$3999,14,FALSE)</f>
        <v>1.6750232268701249E-2</v>
      </c>
      <c r="G13" s="366">
        <f>VLOOKUP(I13,M_Input_Out!$A$1:$AM$3999,3,FALSE)</f>
        <v>71.761669722483219</v>
      </c>
      <c r="H13" s="366">
        <f>VLOOKUP(I13,M_Input_Out!$A$1:$AM$3999,11,FALSE)</f>
        <v>9.22053043459732</v>
      </c>
      <c r="I13" s="24" t="str">
        <f>'SC-NR'!D92</f>
        <v>Exterior Lighting: Façade - HID 150W - NR</v>
      </c>
      <c r="K13" s="45">
        <f ca="1">'SC-NR'!E120</f>
        <v>0.89306559869589119</v>
      </c>
      <c r="L13" s="45">
        <f ca="1">'SC-NR'!F120</f>
        <v>1.5124982533505258</v>
      </c>
      <c r="M13" s="45">
        <f ca="1">'SC-NR'!G120</f>
        <v>1.9356142933315079</v>
      </c>
      <c r="N13" s="45">
        <f ca="1">'SC-NR'!H120</f>
        <v>2.2604498804266981</v>
      </c>
      <c r="O13" s="45">
        <f ca="1">'SC-NR'!I120</f>
        <v>2.5413850865653145</v>
      </c>
      <c r="P13" s="45">
        <f ca="1">'SC-NR'!J120</f>
        <v>2.8199956526490992</v>
      </c>
      <c r="Q13" s="45">
        <f ca="1">'SC-NR'!K120</f>
        <v>3.0130823796594099</v>
      </c>
      <c r="R13" s="45">
        <f ca="1">'SC-NR'!L120</f>
        <v>3.1748640021227601</v>
      </c>
      <c r="S13" s="45">
        <f ca="1">'SC-NR'!M120</f>
        <v>3.3112371876569471</v>
      </c>
      <c r="T13" s="45">
        <f ca="1">'SC-NR'!N120</f>
        <v>3.4190643791533666</v>
      </c>
      <c r="U13" s="45">
        <f ca="1">'SC-NR'!O120</f>
        <v>3.5068912440653275</v>
      </c>
      <c r="V13" s="45">
        <f ca="1">'SC-NR'!P120</f>
        <v>3.5735580890790288</v>
      </c>
      <c r="W13" s="45">
        <f ca="1">'SC-NR'!Q120</f>
        <v>3.6202993255033333</v>
      </c>
      <c r="X13" s="45">
        <f ca="1">'SC-NR'!R120</f>
        <v>3.6537480931204702</v>
      </c>
      <c r="Y13" s="45">
        <f ca="1">'SC-NR'!S120</f>
        <v>3.6760086955552147</v>
      </c>
      <c r="Z13" s="45">
        <f ca="1">'SC-NR'!T120</f>
        <v>3.6896550509852739</v>
      </c>
      <c r="AA13" s="45">
        <f ca="1">'SC-NR'!U120</f>
        <v>3.6974704525053914</v>
      </c>
      <c r="AB13" s="45">
        <f ca="1">'SC-NR'!V120</f>
        <v>3.6997719157961328</v>
      </c>
      <c r="AC13" s="45">
        <f ca="1">'SC-NR'!W120</f>
        <v>3.6967058193191211</v>
      </c>
      <c r="AD13" s="45">
        <f ca="1">'SC-NR'!X120</f>
        <v>3.6918243370726009</v>
      </c>
      <c r="AE13" s="45">
        <f ca="1">'SC-NR'!Y120</f>
        <v>23.415326881038517</v>
      </c>
      <c r="AF13" s="367">
        <f>VLOOKUP($I13,M_Input_Out!$A$1:$AM$3999,15,FALSE)</f>
        <v>2.939176155754764</v>
      </c>
      <c r="AG13" s="367">
        <f>VLOOKUP($I13,M_Input_Out!$A$1:$AM$3999,16,FALSE)</f>
        <v>2.1728226762740399</v>
      </c>
      <c r="AH13" s="367">
        <f>VLOOKUP($I13,M_Input_Out!$A$1:$AM$3999,17,FALSE)</f>
        <v>2.0240845394084892</v>
      </c>
      <c r="AI13" s="367">
        <f>VLOOKUP($I13,M_Input_Out!$A$1:$AM$3999,18,FALSE)</f>
        <v>1.1619734968909476</v>
      </c>
      <c r="AJ13" s="367">
        <f>VLOOKUP($I13,M_Input_Out!$A$1:$AM$3999,19,FALSE)</f>
        <v>0.93340043890086588</v>
      </c>
      <c r="AK13" s="367">
        <f>VLOOKUP($I13,M_Input_Out!$A$1:$AM$3999,20,FALSE)</f>
        <v>0.72404571535096118</v>
      </c>
      <c r="AL13" s="367">
        <f>VLOOKUP($I13,M_Input_Out!$A$1:$AM$3999,21,FALSE)</f>
        <v>0.7555360512889765</v>
      </c>
      <c r="AM13" s="367">
        <f>VLOOKUP($I13,M_Input_Out!$A$1:$AM$3999,22,FALSE)</f>
        <v>1.0997076682643248</v>
      </c>
      <c r="AN13" s="367">
        <f>VLOOKUP($I13,M_Input_Out!$A$1:$AM$3999,23,FALSE)</f>
        <v>1.3893943183025967</v>
      </c>
      <c r="AO13" s="367">
        <f>VLOOKUP($I13,M_Input_Out!$A$1:$AM$3999,24,FALSE)</f>
        <v>2.2666399682204657</v>
      </c>
      <c r="AP13" s="367">
        <f>VLOOKUP($I13,M_Input_Out!$A$1:$AM$3999,25,FALSE)</f>
        <v>2.624830003141176</v>
      </c>
      <c r="AQ13" s="367">
        <f>VLOOKUP($I13,M_Input_Out!$A$1:$AM$3999,26,FALSE)</f>
        <v>3.0919968147085295</v>
      </c>
      <c r="AR13" s="367"/>
      <c r="AS13" s="367">
        <f>VLOOKUP($I13,M_Input_Out!$A$1:$AM$3999,28,FALSE)</f>
        <v>4.8712223320119579</v>
      </c>
      <c r="AT13" s="367">
        <f>VLOOKUP($I13,M_Input_Out!$A$1:$AM$3999,29,FALSE)</f>
        <v>4.2253771967220866</v>
      </c>
      <c r="AU13" s="367">
        <f>VLOOKUP($I13,M_Input_Out!$A$1:$AM$3999,30,FALSE)</f>
        <v>4.2596374004759108</v>
      </c>
      <c r="AV13" s="367">
        <f>VLOOKUP($I13,M_Input_Out!$A$1:$AM$3999,31,FALSE)</f>
        <v>4.0562396522720405</v>
      </c>
      <c r="AW13" s="367">
        <f>VLOOKUP($I13,M_Input_Out!$A$1:$AM$3999,32,FALSE)</f>
        <v>3.7360031943003547</v>
      </c>
      <c r="AX13" s="367">
        <f>VLOOKUP($I13,M_Input_Out!$A$1:$AM$3999,33,FALSE)</f>
        <v>3.3945058927498075</v>
      </c>
      <c r="AY13" s="367">
        <f>VLOOKUP($I13,M_Input_Out!$A$1:$AM$3999,34,FALSE)</f>
        <v>3.7067128525550674</v>
      </c>
      <c r="AZ13" s="367">
        <f>VLOOKUP($I13,M_Input_Out!$A$1:$AM$3999,35,FALSE)</f>
        <v>4.0025216183598102</v>
      </c>
      <c r="BA13" s="367">
        <f>VLOOKUP($I13,M_Input_Out!$A$1:$AM$3999,36,FALSE)</f>
        <v>4.3143056595416391</v>
      </c>
      <c r="BB13" s="367">
        <f>VLOOKUP($I13,M_Input_Out!$A$1:$AM$3999,37,FALSE)</f>
        <v>4.4526078514812788</v>
      </c>
      <c r="BC13" s="367">
        <f>VLOOKUP($I13,M_Input_Out!$A$1:$AM$3999,38,FALSE)</f>
        <v>4.6675765150407607</v>
      </c>
      <c r="BD13" s="367">
        <f>VLOOKUP($I13,M_Input_Out!$A$1:$AM$3999,39,FALSE)</f>
        <v>4.8913517104663811</v>
      </c>
    </row>
    <row r="14" spans="1:56" ht="15">
      <c r="A14" s="279" t="str">
        <f>VLOOKUP(CONCATENATE(C14,"-",B14),[1]!ACHIEV,2,FALSE)</f>
        <v>LO20Fast</v>
      </c>
      <c r="B14" s="279" t="str">
        <f>'SC-NR'!$C$7</f>
        <v>NR</v>
      </c>
      <c r="C14" s="279" t="str">
        <f>[1]MLIST!$B$66</f>
        <v>Exterior Building Lighting</v>
      </c>
      <c r="D14" s="279" t="s">
        <v>896</v>
      </c>
      <c r="E14" s="279" t="s">
        <v>997</v>
      </c>
      <c r="F14" s="365">
        <f>VLOOKUP(I14,M_Input_Out!$A$1:$AM$3999,14,FALSE)</f>
        <v>4.2932521119786187E-4</v>
      </c>
      <c r="G14" s="366">
        <f>VLOOKUP(I14,M_Input_Out!$A$1:$AM$3999,3,FALSE)</f>
        <v>1.8393233905827586</v>
      </c>
      <c r="H14" s="366">
        <f>VLOOKUP(I14,M_Input_Out!$A$1:$AM$3999,11,FALSE)</f>
        <v>-127.85722269419684</v>
      </c>
      <c r="I14" s="24" t="str">
        <f>'SC-NR'!D93</f>
        <v>Exterior Lighting: Walkway - INC 75W - NR</v>
      </c>
      <c r="K14" s="45">
        <f ca="1">'SC-NR'!E121</f>
        <v>1.5260109854917932E-2</v>
      </c>
      <c r="L14" s="45">
        <f ca="1">'SC-NR'!F121</f>
        <v>2.5844562297780409E-2</v>
      </c>
      <c r="M14" s="45">
        <f ca="1">'SC-NR'!G121</f>
        <v>3.3074487244969343E-2</v>
      </c>
      <c r="N14" s="45">
        <f ca="1">'SC-NR'!H121</f>
        <v>3.8625061302572643E-2</v>
      </c>
      <c r="O14" s="45">
        <f ca="1">'SC-NR'!I121</f>
        <v>4.3425494903474492E-2</v>
      </c>
      <c r="P14" s="45">
        <f ca="1">'SC-NR'!J121</f>
        <v>4.8186206604146777E-2</v>
      </c>
      <c r="Q14" s="45">
        <f ca="1">'SC-NR'!K121</f>
        <v>5.1485543931669611E-2</v>
      </c>
      <c r="R14" s="45">
        <f ca="1">'SC-NR'!L121</f>
        <v>5.4249960492897244E-2</v>
      </c>
      <c r="S14" s="45">
        <f ca="1">'SC-NR'!M121</f>
        <v>5.6580214614829268E-2</v>
      </c>
      <c r="T14" s="45">
        <f ca="1">'SC-NR'!N121</f>
        <v>5.8422693812309745E-2</v>
      </c>
      <c r="U14" s="45">
        <f ca="1">'SC-NR'!O121</f>
        <v>5.9923420756362561E-2</v>
      </c>
      <c r="V14" s="45">
        <f ca="1">'SC-NR'!P121</f>
        <v>6.106257938040479E-2</v>
      </c>
      <c r="W14" s="45">
        <f ca="1">'SC-NR'!Q121</f>
        <v>6.1861262482330516E-2</v>
      </c>
      <c r="X14" s="45">
        <f ca="1">'SC-NR'!R121</f>
        <v>6.2432812734735811E-2</v>
      </c>
      <c r="Y14" s="45">
        <f ca="1">'SC-NR'!S121</f>
        <v>6.2813187075754992E-2</v>
      </c>
      <c r="Z14" s="45">
        <f ca="1">'SC-NR'!T121</f>
        <v>6.3046366904074488E-2</v>
      </c>
      <c r="AA14" s="45">
        <f ca="1">'SC-NR'!U121</f>
        <v>6.3179911277445766E-2</v>
      </c>
      <c r="AB14" s="45">
        <f ca="1">'SC-NR'!V121</f>
        <v>6.321923714857447E-2</v>
      </c>
      <c r="AC14" s="45">
        <f ca="1">'SC-NR'!W121</f>
        <v>6.3166845735073238E-2</v>
      </c>
      <c r="AD14" s="45">
        <f ca="1">'SC-NR'!X121</f>
        <v>6.3083434219227671E-2</v>
      </c>
      <c r="AE14" s="45">
        <f ca="1">'SC-NR'!Y121</f>
        <v>0.6001582543576448</v>
      </c>
      <c r="AF14" s="367">
        <f>VLOOKUP($I14,M_Input_Out!$A$1:$AM$3999,15,FALSE)</f>
        <v>7.5334025437664806E-2</v>
      </c>
      <c r="AG14" s="367">
        <f>VLOOKUP($I14,M_Input_Out!$A$1:$AM$3999,16,FALSE)</f>
        <v>5.5691619042795827E-2</v>
      </c>
      <c r="AH14" s="367">
        <f>VLOOKUP($I14,M_Input_Out!$A$1:$AM$3999,17,FALSE)</f>
        <v>5.1879311786477984E-2</v>
      </c>
      <c r="AI14" s="367">
        <f>VLOOKUP($I14,M_Input_Out!$A$1:$AM$3999,18,FALSE)</f>
        <v>2.9782543248142328E-2</v>
      </c>
      <c r="AJ14" s="367">
        <f>VLOOKUP($I14,M_Input_Out!$A$1:$AM$3999,19,FALSE)</f>
        <v>2.392398709073916E-2</v>
      </c>
      <c r="AK14" s="367">
        <f>VLOOKUP($I14,M_Input_Out!$A$1:$AM$3999,20,FALSE)</f>
        <v>1.8558016072457759E-2</v>
      </c>
      <c r="AL14" s="367">
        <f>VLOOKUP($I14,M_Input_Out!$A$1:$AM$3999,21,FALSE)</f>
        <v>1.9365144887772291E-2</v>
      </c>
      <c r="AM14" s="367">
        <f>VLOOKUP($I14,M_Input_Out!$A$1:$AM$3999,22,FALSE)</f>
        <v>2.8186607765176785E-2</v>
      </c>
      <c r="AN14" s="367">
        <f>VLOOKUP($I14,M_Input_Out!$A$1:$AM$3999,23,FALSE)</f>
        <v>3.5611566429258966E-2</v>
      </c>
      <c r="AO14" s="367">
        <f>VLOOKUP($I14,M_Input_Out!$A$1:$AM$3999,24,FALSE)</f>
        <v>5.8096250097027395E-2</v>
      </c>
      <c r="AP14" s="367">
        <f>VLOOKUP($I14,M_Input_Out!$A$1:$AM$3999,25,FALSE)</f>
        <v>6.7277019051416767E-2</v>
      </c>
      <c r="AQ14" s="367">
        <f>VLOOKUP($I14,M_Input_Out!$A$1:$AM$3999,26,FALSE)</f>
        <v>7.9250971819555718E-2</v>
      </c>
      <c r="AR14" s="367"/>
      <c r="AS14" s="367">
        <f>VLOOKUP($I14,M_Input_Out!$A$1:$AM$3999,28,FALSE)</f>
        <v>0.12485430189470022</v>
      </c>
      <c r="AT14" s="367">
        <f>VLOOKUP($I14,M_Input_Out!$A$1:$AM$3999,29,FALSE)</f>
        <v>0.10830064492675807</v>
      </c>
      <c r="AU14" s="367">
        <f>VLOOKUP($I14,M_Input_Out!$A$1:$AM$3999,30,FALSE)</f>
        <v>0.10917876822536908</v>
      </c>
      <c r="AV14" s="367">
        <f>VLOOKUP($I14,M_Input_Out!$A$1:$AM$3999,31,FALSE)</f>
        <v>0.10396548044499808</v>
      </c>
      <c r="AW14" s="367">
        <f>VLOOKUP($I14,M_Input_Out!$A$1:$AM$3999,32,FALSE)</f>
        <v>9.5757499639331944E-2</v>
      </c>
      <c r="AX14" s="367">
        <f>VLOOKUP($I14,M_Input_Out!$A$1:$AM$3999,33,FALSE)</f>
        <v>8.7004582141844825E-2</v>
      </c>
      <c r="AY14" s="367">
        <f>VLOOKUP($I14,M_Input_Out!$A$1:$AM$3999,34,FALSE)</f>
        <v>9.5006758876211295E-2</v>
      </c>
      <c r="AZ14" s="367">
        <f>VLOOKUP($I14,M_Input_Out!$A$1:$AM$3999,35,FALSE)</f>
        <v>0.10258863349239815</v>
      </c>
      <c r="BA14" s="367">
        <f>VLOOKUP($I14,M_Input_Out!$A$1:$AM$3999,36,FALSE)</f>
        <v>0.11057997039932753</v>
      </c>
      <c r="BB14" s="367">
        <f>VLOOKUP($I14,M_Input_Out!$A$1:$AM$3999,37,FALSE)</f>
        <v>0.11412479394631568</v>
      </c>
      <c r="BC14" s="367">
        <f>VLOOKUP($I14,M_Input_Out!$A$1:$AM$3999,38,FALSE)</f>
        <v>0.11963465586363657</v>
      </c>
      <c r="BD14" s="367">
        <f>VLOOKUP($I14,M_Input_Out!$A$1:$AM$3999,39,FALSE)</f>
        <v>0.12537023800338182</v>
      </c>
    </row>
    <row r="15" spans="1:56" ht="15">
      <c r="A15" s="279" t="str">
        <f>VLOOKUP(CONCATENATE(C15,"-",B15),[1]!ACHIEV,2,FALSE)</f>
        <v>LO20Fast</v>
      </c>
      <c r="B15" s="279" t="str">
        <f>'SC-NR'!$C$7</f>
        <v>NR</v>
      </c>
      <c r="C15" s="279" t="str">
        <f>[1]MLIST!$B$66</f>
        <v>Exterior Building Lighting</v>
      </c>
      <c r="D15" s="279" t="s">
        <v>896</v>
      </c>
      <c r="E15" s="279" t="s">
        <v>997</v>
      </c>
      <c r="F15" s="365">
        <f>VLOOKUP(I15,M_Input_Out!$A$1:$AM$3999,14,FALSE)</f>
        <v>7.2272768831756675E-3</v>
      </c>
      <c r="G15" s="366">
        <f>VLOOKUP(I15,M_Input_Out!$A$1:$AM$3999,3,FALSE)</f>
        <v>30.963239695039977</v>
      </c>
      <c r="H15" s="366">
        <f>VLOOKUP(I15,M_Input_Out!$A$1:$AM$3999,11,FALSE)</f>
        <v>2.7380662328742003</v>
      </c>
      <c r="I15" s="24" t="str">
        <f>'SC-NR'!D94</f>
        <v>Exterior Lighting: Façade - HID 400W - NR</v>
      </c>
      <c r="K15" s="45">
        <f ca="1">'SC-NR'!E122</f>
        <v>0.38533390182742239</v>
      </c>
      <c r="L15" s="45">
        <f ca="1">'SC-NR'!F122</f>
        <v>0.65260251242661693</v>
      </c>
      <c r="M15" s="45">
        <f ca="1">'SC-NR'!G122</f>
        <v>0.83516575845212937</v>
      </c>
      <c r="N15" s="45">
        <f ca="1">'SC-NR'!H122</f>
        <v>0.97532361965579939</v>
      </c>
      <c r="O15" s="45">
        <f ca="1">'SC-NR'!I122</f>
        <v>1.0965396415249242</v>
      </c>
      <c r="P15" s="45">
        <f ca="1">'SC-NR'!J122</f>
        <v>1.2167526434322671</v>
      </c>
      <c r="Q15" s="45">
        <f ca="1">'SC-NR'!K122</f>
        <v>1.3000643979311719</v>
      </c>
      <c r="R15" s="45">
        <f ca="1">'SC-NR'!L122</f>
        <v>1.3698688377380646</v>
      </c>
      <c r="S15" s="45">
        <f ca="1">'SC-NR'!M122</f>
        <v>1.4287102170983923</v>
      </c>
      <c r="T15" s="45">
        <f ca="1">'SC-NR'!N122</f>
        <v>1.4752347641004053</v>
      </c>
      <c r="U15" s="45">
        <f ca="1">'SC-NR'!O122</f>
        <v>1.5131297055148041</v>
      </c>
      <c r="V15" s="45">
        <f ca="1">'SC-NR'!P122</f>
        <v>1.5418946647173155</v>
      </c>
      <c r="W15" s="45">
        <f ca="1">'SC-NR'!Q122</f>
        <v>1.5620622571471618</v>
      </c>
      <c r="X15" s="45">
        <f ca="1">'SC-NR'!R122</f>
        <v>1.5764945050761505</v>
      </c>
      <c r="Y15" s="45">
        <f ca="1">'SC-NR'!S122</f>
        <v>1.5860993591940733</v>
      </c>
      <c r="Z15" s="45">
        <f ca="1">'SC-NR'!T122</f>
        <v>1.5919873963004931</v>
      </c>
      <c r="AA15" s="45">
        <f ca="1">'SC-NR'!U122</f>
        <v>1.5953595328674961</v>
      </c>
      <c r="AB15" s="45">
        <f ca="1">'SC-NR'!V122</f>
        <v>1.5963525526759279</v>
      </c>
      <c r="AC15" s="45">
        <f ca="1">'SC-NR'!W122</f>
        <v>1.5950296141139773</v>
      </c>
      <c r="AD15" s="45">
        <f ca="1">'SC-NR'!X122</f>
        <v>1.5929233851835383</v>
      </c>
      <c r="AE15" s="45">
        <f ca="1">'SC-NR'!Y122</f>
        <v>10.103086808864463</v>
      </c>
      <c r="AF15" s="367">
        <f>VLOOKUP($I15,M_Input_Out!$A$1:$AM$3999,15,FALSE)</f>
        <v>1.2681758405081849</v>
      </c>
      <c r="AG15" s="367">
        <f>VLOOKUP($I15,M_Input_Out!$A$1:$AM$3999,16,FALSE)</f>
        <v>0.9375148265148715</v>
      </c>
      <c r="AH15" s="367">
        <f>VLOOKUP($I15,M_Input_Out!$A$1:$AM$3999,17,FALSE)</f>
        <v>0.8733383016183387</v>
      </c>
      <c r="AI15" s="367">
        <f>VLOOKUP($I15,M_Input_Out!$A$1:$AM$3999,18,FALSE)</f>
        <v>0.50136046224473518</v>
      </c>
      <c r="AJ15" s="367">
        <f>VLOOKUP($I15,M_Input_Out!$A$1:$AM$3999,19,FALSE)</f>
        <v>0.40273730576377881</v>
      </c>
      <c r="AK15" s="367">
        <f>VLOOKUP($I15,M_Input_Out!$A$1:$AM$3999,20,FALSE)</f>
        <v>0.31240634619117003</v>
      </c>
      <c r="AL15" s="367">
        <f>VLOOKUP($I15,M_Input_Out!$A$1:$AM$3999,21,FALSE)</f>
        <v>0.32599358327047423</v>
      </c>
      <c r="AM15" s="367">
        <f>VLOOKUP($I15,M_Input_Out!$A$1:$AM$3999,22,FALSE)</f>
        <v>0.47449442381457907</v>
      </c>
      <c r="AN15" s="367">
        <f>VLOOKUP($I15,M_Input_Out!$A$1:$AM$3999,23,FALSE)</f>
        <v>0.59948645948314094</v>
      </c>
      <c r="AO15" s="367">
        <f>VLOOKUP($I15,M_Input_Out!$A$1:$AM$3999,24,FALSE)</f>
        <v>0.97799447685342278</v>
      </c>
      <c r="AP15" s="367">
        <f>VLOOKUP($I15,M_Input_Out!$A$1:$AM$3999,25,FALSE)</f>
        <v>1.1325438895205855</v>
      </c>
      <c r="AQ15" s="367">
        <f>VLOOKUP($I15,M_Input_Out!$A$1:$AM$3999,26,FALSE)</f>
        <v>1.3341138644120087</v>
      </c>
      <c r="AR15" s="367"/>
      <c r="AS15" s="367">
        <f>VLOOKUP($I15,M_Input_Out!$A$1:$AM$3999,28,FALSE)</f>
        <v>2.1018020519478329</v>
      </c>
      <c r="AT15" s="367">
        <f>VLOOKUP($I15,M_Input_Out!$A$1:$AM$3999,29,FALSE)</f>
        <v>1.8231371629173796</v>
      </c>
      <c r="AU15" s="367">
        <f>VLOOKUP($I15,M_Input_Out!$A$1:$AM$3999,30,FALSE)</f>
        <v>1.8379195238202533</v>
      </c>
      <c r="AV15" s="367">
        <f>VLOOKUP($I15,M_Input_Out!$A$1:$AM$3999,31,FALSE)</f>
        <v>1.7501588396636152</v>
      </c>
      <c r="AW15" s="367">
        <f>VLOOKUP($I15,M_Input_Out!$A$1:$AM$3999,32,FALSE)</f>
        <v>1.6119853795753345</v>
      </c>
      <c r="AX15" s="367">
        <f>VLOOKUP($I15,M_Input_Out!$A$1:$AM$3999,33,FALSE)</f>
        <v>1.4646384345556578</v>
      </c>
      <c r="AY15" s="367">
        <f>VLOOKUP($I15,M_Input_Out!$A$1:$AM$3999,34,FALSE)</f>
        <v>1.5993473811046159</v>
      </c>
      <c r="AZ15" s="367">
        <f>VLOOKUP($I15,M_Input_Out!$A$1:$AM$3999,35,FALSE)</f>
        <v>1.7269809458603782</v>
      </c>
      <c r="BA15" s="367">
        <f>VLOOKUP($I15,M_Input_Out!$A$1:$AM$3999,36,FALSE)</f>
        <v>1.8615074143432682</v>
      </c>
      <c r="BB15" s="367">
        <f>VLOOKUP($I15,M_Input_Out!$A$1:$AM$3999,37,FALSE)</f>
        <v>1.9211811083352965</v>
      </c>
      <c r="BC15" s="367">
        <f>VLOOKUP($I15,M_Input_Out!$A$1:$AM$3999,38,FALSE)</f>
        <v>2.0139343327579615</v>
      </c>
      <c r="BD15" s="367">
        <f>VLOOKUP($I15,M_Input_Out!$A$1:$AM$3999,39,FALSE)</f>
        <v>2.110487339963103</v>
      </c>
    </row>
    <row r="16" spans="1:56" ht="15">
      <c r="A16" s="279" t="str">
        <f>VLOOKUP(CONCATENATE(C16,"-",B16),[1]!ACHIEV,2,FALSE)</f>
        <v>LO20Fast</v>
      </c>
      <c r="B16" s="279" t="str">
        <f>'SC-NR'!$C$7</f>
        <v>NR</v>
      </c>
      <c r="C16" s="279" t="str">
        <f>[1]MLIST!$B$66</f>
        <v>Exterior Building Lighting</v>
      </c>
      <c r="D16" s="279" t="s">
        <v>896</v>
      </c>
      <c r="E16" s="279" t="s">
        <v>997</v>
      </c>
      <c r="F16" s="365">
        <f>VLOOKUP(I16,M_Input_Out!$A$1:$AM$3999,14,FALSE)</f>
        <v>5.7836987152376843E-4</v>
      </c>
      <c r="G16" s="366">
        <f>VLOOKUP(I16,M_Input_Out!$A$1:$AM$3999,3,FALSE)</f>
        <v>2.4778634129914572</v>
      </c>
      <c r="H16" s="366">
        <f>VLOOKUP(I16,M_Input_Out!$A$1:$AM$3999,11,FALSE)</f>
        <v>-40.758354707123942</v>
      </c>
      <c r="I16" s="24" t="str">
        <f>'SC-NR'!D95</f>
        <v>Exterior Lighting: Walkway - CFL 26W - NR</v>
      </c>
      <c r="K16" s="45">
        <f ca="1">'SC-NR'!E123</f>
        <v>2.0557813857709533E-2</v>
      </c>
      <c r="L16" s="45">
        <f ca="1">'SC-NR'!F123</f>
        <v>3.481676776923863E-2</v>
      </c>
      <c r="M16" s="45">
        <f ca="1">'SC-NR'!G123</f>
        <v>4.455663548202711E-2</v>
      </c>
      <c r="N16" s="45">
        <f ca="1">'SC-NR'!H123</f>
        <v>5.2034148380983483E-2</v>
      </c>
      <c r="O16" s="45">
        <f ca="1">'SC-NR'!I123</f>
        <v>5.8501101852608109E-2</v>
      </c>
      <c r="P16" s="45">
        <f ca="1">'SC-NR'!J123</f>
        <v>6.4914543558016249E-2</v>
      </c>
      <c r="Q16" s="45">
        <f ca="1">'SC-NR'!K123</f>
        <v>6.9359279754404007E-2</v>
      </c>
      <c r="R16" s="45">
        <f ca="1">'SC-NR'!L123</f>
        <v>7.3083391941746637E-2</v>
      </c>
      <c r="S16" s="45">
        <f ca="1">'SC-NR'!M123</f>
        <v>7.6222617736009218E-2</v>
      </c>
      <c r="T16" s="45">
        <f ca="1">'SC-NR'!N123</f>
        <v>7.8704732526703125E-2</v>
      </c>
      <c r="U16" s="45">
        <f ca="1">'SC-NR'!O123</f>
        <v>8.072645225614164E-2</v>
      </c>
      <c r="V16" s="45">
        <f ca="1">'SC-NR'!P123</f>
        <v>8.2261081506527917E-2</v>
      </c>
      <c r="W16" s="45">
        <f ca="1">'SC-NR'!Q123</f>
        <v>8.3337035657368816E-2</v>
      </c>
      <c r="X16" s="45">
        <f ca="1">'SC-NR'!R123</f>
        <v>8.4107005455160824E-2</v>
      </c>
      <c r="Y16" s="45">
        <f ca="1">'SC-NR'!S123</f>
        <v>8.4619430658731773E-2</v>
      </c>
      <c r="Z16" s="45">
        <f ca="1">'SC-NR'!T123</f>
        <v>8.4933561261429882E-2</v>
      </c>
      <c r="AA16" s="45">
        <f ca="1">'SC-NR'!U123</f>
        <v>8.511346693678952E-2</v>
      </c>
      <c r="AB16" s="45">
        <f ca="1">'SC-NR'!V123</f>
        <v>8.5166445188331746E-2</v>
      </c>
      <c r="AC16" s="45">
        <f ca="1">'SC-NR'!W123</f>
        <v>8.509586555707481E-2</v>
      </c>
      <c r="AD16" s="45">
        <f ca="1">'SC-NR'!X123</f>
        <v>8.4983496876072845E-2</v>
      </c>
      <c r="AE16" s="45">
        <f ca="1">'SC-NR'!Y123</f>
        <v>0.80850936169874021</v>
      </c>
      <c r="AF16" s="367">
        <f>VLOOKUP($I16,M_Input_Out!$A$1:$AM$3999,15,FALSE)</f>
        <v>0.10148700676622992</v>
      </c>
      <c r="AG16" s="367">
        <f>VLOOKUP($I16,M_Input_Out!$A$1:$AM$3999,16,FALSE)</f>
        <v>7.5025537076805357E-2</v>
      </c>
      <c r="AH16" s="367">
        <f>VLOOKUP($I16,M_Input_Out!$A$1:$AM$3999,17,FALSE)</f>
        <v>6.9889748167755006E-2</v>
      </c>
      <c r="AI16" s="367">
        <f>VLOOKUP($I16,M_Input_Out!$A$1:$AM$3999,18,FALSE)</f>
        <v>4.0121859287086149E-2</v>
      </c>
      <c r="AJ16" s="367">
        <f>VLOOKUP($I16,M_Input_Out!$A$1:$AM$3999,19,FALSE)</f>
        <v>3.2229445136475167E-2</v>
      </c>
      <c r="AK16" s="367">
        <f>VLOOKUP($I16,M_Input_Out!$A$1:$AM$3999,20,FALSE)</f>
        <v>2.5000622119572553E-2</v>
      </c>
      <c r="AL16" s="367">
        <f>VLOOKUP($I16,M_Input_Out!$A$1:$AM$3999,21,FALSE)</f>
        <v>2.6087954000023093E-2</v>
      </c>
      <c r="AM16" s="367">
        <f>VLOOKUP($I16,M_Input_Out!$A$1:$AM$3999,22,FALSE)</f>
        <v>3.7971878395752924E-2</v>
      </c>
      <c r="AN16" s="367">
        <f>VLOOKUP($I16,M_Input_Out!$A$1:$AM$3999,23,FALSE)</f>
        <v>4.7974487785107808E-2</v>
      </c>
      <c r="AO16" s="367">
        <f>VLOOKUP($I16,M_Input_Out!$A$1:$AM$3999,24,FALSE)</f>
        <v>7.8264960519974683E-2</v>
      </c>
      <c r="AP16" s="367">
        <f>VLOOKUP($I16,M_Input_Out!$A$1:$AM$3999,25,FALSE)</f>
        <v>9.063292779080992E-2</v>
      </c>
      <c r="AQ16" s="367">
        <f>VLOOKUP($I16,M_Input_Out!$A$1:$AM$3999,26,FALSE)</f>
        <v>0.10676376134893639</v>
      </c>
      <c r="AR16" s="367"/>
      <c r="AS16" s="367">
        <f>VLOOKUP($I16,M_Input_Out!$A$1:$AM$3999,28,FALSE)</f>
        <v>0.16819875624016742</v>
      </c>
      <c r="AT16" s="367">
        <f>VLOOKUP($I16,M_Input_Out!$A$1:$AM$3999,29,FALSE)</f>
        <v>0.14589832709209946</v>
      </c>
      <c r="AU16" s="367">
        <f>VLOOKUP($I16,M_Input_Out!$A$1:$AM$3999,30,FALSE)</f>
        <v>0.1470812999205123</v>
      </c>
      <c r="AV16" s="367">
        <f>VLOOKUP($I16,M_Input_Out!$A$1:$AM$3999,31,FALSE)</f>
        <v>0.14005816569707161</v>
      </c>
      <c r="AW16" s="367">
        <f>VLOOKUP($I16,M_Input_Out!$A$1:$AM$3999,32,FALSE)</f>
        <v>0.12900069998058744</v>
      </c>
      <c r="AX16" s="367">
        <f>VLOOKUP($I16,M_Input_Out!$A$1:$AM$3999,33,FALSE)</f>
        <v>0.11720911719802715</v>
      </c>
      <c r="AY16" s="367">
        <f>VLOOKUP($I16,M_Input_Out!$A$1:$AM$3999,34,FALSE)</f>
        <v>0.1279893318442922</v>
      </c>
      <c r="AZ16" s="367">
        <f>VLOOKUP($I16,M_Input_Out!$A$1:$AM$3999,35,FALSE)</f>
        <v>0.13820333217154609</v>
      </c>
      <c r="BA16" s="367">
        <f>VLOOKUP($I16,M_Input_Out!$A$1:$AM$3999,36,FALSE)</f>
        <v>0.148968943832851</v>
      </c>
      <c r="BB16" s="367">
        <f>VLOOKUP($I16,M_Input_Out!$A$1:$AM$3999,37,FALSE)</f>
        <v>0.15374438931327281</v>
      </c>
      <c r="BC16" s="367">
        <f>VLOOKUP($I16,M_Input_Out!$A$1:$AM$3999,38,FALSE)</f>
        <v>0.16116705643394633</v>
      </c>
      <c r="BD16" s="367">
        <f>VLOOKUP($I16,M_Input_Out!$A$1:$AM$3999,39,FALSE)</f>
        <v>0.16889380487255518</v>
      </c>
    </row>
    <row r="17" spans="1:56" ht="15">
      <c r="A17" s="279" t="str">
        <f>VLOOKUP(CONCATENATE(C17,"-",B17),[1]!ACHIEV,2,FALSE)</f>
        <v>LO20Fast</v>
      </c>
      <c r="B17" s="279" t="str">
        <f>'SC-NR'!$C$7</f>
        <v>NR</v>
      </c>
      <c r="C17" s="279" t="str">
        <f>[1]MLIST!$B$66</f>
        <v>Exterior Building Lighting</v>
      </c>
      <c r="D17" s="279" t="s">
        <v>896</v>
      </c>
      <c r="E17" s="279" t="s">
        <v>997</v>
      </c>
      <c r="F17" s="365">
        <f>VLOOKUP(I17,M_Input_Out!$A$1:$AM$3999,14,FALSE)</f>
        <v>1.2863283886728799E-2</v>
      </c>
      <c r="G17" s="366">
        <f>VLOOKUP(I17,M_Input_Out!$A$1:$AM$3999,3,FALSE)</f>
        <v>55.109130131336691</v>
      </c>
      <c r="H17" s="366">
        <f>VLOOKUP(I17,M_Input_Out!$A$1:$AM$3999,11,FALSE)</f>
        <v>16.413183473026312</v>
      </c>
      <c r="I17" s="24" t="str">
        <f>'SC-NR'!D96</f>
        <v>Exterior Lighting: Parking Lot - MH 400W - NR</v>
      </c>
      <c r="K17" s="45">
        <f ca="1">'SC-NR'!E124</f>
        <v>0.52151404424616987</v>
      </c>
      <c r="L17" s="45">
        <f ca="1">'SC-NR'!F124</f>
        <v>0.88323756079277826</v>
      </c>
      <c r="M17" s="45">
        <f ca="1">'SC-NR'!G124</f>
        <v>1.1303201463476678</v>
      </c>
      <c r="N17" s="45">
        <f ca="1">'SC-NR'!H124</f>
        <v>1.3200109383661593</v>
      </c>
      <c r="O17" s="45">
        <f ca="1">'SC-NR'!I124</f>
        <v>1.4840656906020824</v>
      </c>
      <c r="P17" s="45">
        <f ca="1">'SC-NR'!J124</f>
        <v>1.6467629474444063</v>
      </c>
      <c r="Q17" s="45">
        <f ca="1">'SC-NR'!K124</f>
        <v>1.7595177551992316</v>
      </c>
      <c r="R17" s="45">
        <f ca="1">'SC-NR'!L124</f>
        <v>1.8539916531287608</v>
      </c>
      <c r="S17" s="45">
        <f ca="1">'SC-NR'!M124</f>
        <v>1.9336280556713308</v>
      </c>
      <c r="T17" s="45">
        <f ca="1">'SC-NR'!N124</f>
        <v>1.9965947568846782</v>
      </c>
      <c r="U17" s="45">
        <f ca="1">'SC-NR'!O124</f>
        <v>2.0478820795411359</v>
      </c>
      <c r="V17" s="45">
        <f ca="1">'SC-NR'!P124</f>
        <v>2.0868128098379897</v>
      </c>
      <c r="W17" s="45">
        <f ca="1">'SC-NR'!Q124</f>
        <v>2.1141077938529391</v>
      </c>
      <c r="X17" s="45">
        <f ca="1">'SC-NR'!R124</f>
        <v>2.1336405158618668</v>
      </c>
      <c r="Y17" s="45">
        <f ca="1">'SC-NR'!S124</f>
        <v>2.1466398037305878</v>
      </c>
      <c r="Z17" s="45">
        <f ca="1">'SC-NR'!T124</f>
        <v>2.1546087211538358</v>
      </c>
      <c r="AA17" s="45">
        <f ca="1">'SC-NR'!U124</f>
        <v>2.1591725982756467</v>
      </c>
      <c r="AB17" s="45">
        <f ca="1">'SC-NR'!V124</f>
        <v>2.1605165593801741</v>
      </c>
      <c r="AC17" s="45">
        <f ca="1">'SC-NR'!W124</f>
        <v>2.158726083544904</v>
      </c>
      <c r="AD17" s="45">
        <f ca="1">'SC-NR'!X124</f>
        <v>2.1558754961389885</v>
      </c>
      <c r="AE17" s="45">
        <f ca="1">'SC-NR'!Y124</f>
        <v>17.981720619728708</v>
      </c>
      <c r="AF17" s="367">
        <f>VLOOKUP($I17,M_Input_Out!$A$1:$AM$3999,15,FALSE)</f>
        <v>2.2571303297819401</v>
      </c>
      <c r="AG17" s="367">
        <f>VLOOKUP($I17,M_Input_Out!$A$1:$AM$3999,16,FALSE)</f>
        <v>1.6686117823369091</v>
      </c>
      <c r="AH17" s="367">
        <f>VLOOKUP($I17,M_Input_Out!$A$1:$AM$3999,17,FALSE)</f>
        <v>1.554388836135755</v>
      </c>
      <c r="AI17" s="367">
        <f>VLOOKUP($I17,M_Input_Out!$A$1:$AM$3999,18,FALSE)</f>
        <v>0.89233359392228662</v>
      </c>
      <c r="AJ17" s="367">
        <f>VLOOKUP($I17,M_Input_Out!$A$1:$AM$3999,19,FALSE)</f>
        <v>0.71680169164066421</v>
      </c>
      <c r="AK17" s="367">
        <f>VLOOKUP($I17,M_Input_Out!$A$1:$AM$3999,20,FALSE)</f>
        <v>0.55602844391191164</v>
      </c>
      <c r="AL17" s="367">
        <f>VLOOKUP($I17,M_Input_Out!$A$1:$AM$3999,21,FALSE)</f>
        <v>0.58021134026589494</v>
      </c>
      <c r="AM17" s="367">
        <f>VLOOKUP($I17,M_Input_Out!$A$1:$AM$3999,22,FALSE)</f>
        <v>0.84451676265581743</v>
      </c>
      <c r="AN17" s="367">
        <f>VLOOKUP($I17,M_Input_Out!$A$1:$AM$3999,23,FALSE)</f>
        <v>1.0669806400433919</v>
      </c>
      <c r="AO17" s="367">
        <f>VLOOKUP($I17,M_Input_Out!$A$1:$AM$3999,24,FALSE)</f>
        <v>1.740658452522251</v>
      </c>
      <c r="AP17" s="367">
        <f>VLOOKUP($I17,M_Input_Out!$A$1:$AM$3999,25,FALSE)</f>
        <v>2.0157292712828823</v>
      </c>
      <c r="AQ17" s="367">
        <f>VLOOKUP($I17,M_Input_Out!$A$1:$AM$3999,26,FALSE)</f>
        <v>2.374488434932065</v>
      </c>
      <c r="AR17" s="367"/>
      <c r="AS17" s="367">
        <f>VLOOKUP($I17,M_Input_Out!$A$1:$AM$3999,28,FALSE)</f>
        <v>3.740838618048687</v>
      </c>
      <c r="AT17" s="367">
        <f>VLOOKUP($I17,M_Input_Out!$A$1:$AM$3999,29,FALSE)</f>
        <v>3.2448640435575755</v>
      </c>
      <c r="AU17" s="367">
        <f>VLOOKUP($I17,M_Input_Out!$A$1:$AM$3999,30,FALSE)</f>
        <v>3.2711740504776636</v>
      </c>
      <c r="AV17" s="367">
        <f>VLOOKUP($I17,M_Input_Out!$A$1:$AM$3999,31,FALSE)</f>
        <v>3.1149754417003637</v>
      </c>
      <c r="AW17" s="367">
        <f>VLOOKUP($I17,M_Input_Out!$A$1:$AM$3999,32,FALSE)</f>
        <v>2.8690509432402784</v>
      </c>
      <c r="AX17" s="367">
        <f>VLOOKUP($I17,M_Input_Out!$A$1:$AM$3999,33,FALSE)</f>
        <v>2.6067992522828543</v>
      </c>
      <c r="AY17" s="367">
        <f>VLOOKUP($I17,M_Input_Out!$A$1:$AM$3999,34,FALSE)</f>
        <v>2.8465575249422561</v>
      </c>
      <c r="AZ17" s="367">
        <f>VLOOKUP($I17,M_Input_Out!$A$1:$AM$3999,35,FALSE)</f>
        <v>3.0737228603053524</v>
      </c>
      <c r="BA17" s="367">
        <f>VLOOKUP($I17,M_Input_Out!$A$1:$AM$3999,36,FALSE)</f>
        <v>3.3131563540466531</v>
      </c>
      <c r="BB17" s="367">
        <f>VLOOKUP($I17,M_Input_Out!$A$1:$AM$3999,37,FALSE)</f>
        <v>3.4193650518448702</v>
      </c>
      <c r="BC17" s="367">
        <f>VLOOKUP($I17,M_Input_Out!$A$1:$AM$3999,38,FALSE)</f>
        <v>3.584449505705444</v>
      </c>
      <c r="BD17" s="367">
        <f>VLOOKUP($I17,M_Input_Out!$A$1:$AM$3999,39,FALSE)</f>
        <v>3.7562969057529396</v>
      </c>
    </row>
    <row r="18" spans="1:56" ht="15">
      <c r="A18" s="279" t="str">
        <f>VLOOKUP(CONCATENATE(C18,"-",B18),[1]!ACHIEV,2,FALSE)</f>
        <v>LO20Fast</v>
      </c>
      <c r="B18" s="279" t="str">
        <f>'SC-NR'!$C$7</f>
        <v>NR</v>
      </c>
      <c r="C18" s="279" t="str">
        <f>[1]MLIST!$B$66</f>
        <v>Exterior Building Lighting</v>
      </c>
      <c r="D18" s="279" t="s">
        <v>896</v>
      </c>
      <c r="E18" s="279" t="s">
        <v>997</v>
      </c>
      <c r="F18" s="365">
        <f>VLOOKUP(I18,M_Input_Out!$A$1:$AM$3999,14,FALSE)</f>
        <v>1.5644870207817637E-3</v>
      </c>
      <c r="G18" s="366">
        <f>VLOOKUP(I18,M_Input_Out!$A$1:$AM$3999,3,FALSE)</f>
        <v>6.702605615817987</v>
      </c>
      <c r="H18" s="366">
        <f>VLOOKUP(I18,M_Input_Out!$A$1:$AM$3999,11,FALSE)</f>
        <v>24.604269484975482</v>
      </c>
      <c r="I18" s="24" t="str">
        <f>'SC-NR'!D97</f>
        <v>Exterior Lighting: Parking Lot - MH 1000W - NR</v>
      </c>
      <c r="K18" s="45">
        <f ca="1">'SC-NR'!E125</f>
        <v>0.35402090226683525</v>
      </c>
      <c r="L18" s="45">
        <f ca="1">'SC-NR'!F125</f>
        <v>0.59957073378492143</v>
      </c>
      <c r="M18" s="45">
        <f ca="1">'SC-NR'!G125</f>
        <v>0.76729852719267666</v>
      </c>
      <c r="N18" s="45">
        <f ca="1">'SC-NR'!H125</f>
        <v>0.89606688172312154</v>
      </c>
      <c r="O18" s="45">
        <f ca="1">'SC-NR'!I125</f>
        <v>1.0074326484718856</v>
      </c>
      <c r="P18" s="45">
        <f ca="1">'SC-NR'!J125</f>
        <v>1.1178769026566697</v>
      </c>
      <c r="Q18" s="45">
        <f ca="1">'SC-NR'!K125</f>
        <v>1.1944185782197623</v>
      </c>
      <c r="R18" s="45">
        <f ca="1">'SC-NR'!L125</f>
        <v>1.2585505703581934</v>
      </c>
      <c r="S18" s="45">
        <f ca="1">'SC-NR'!M125</f>
        <v>1.3126103821551267</v>
      </c>
      <c r="T18" s="45">
        <f ca="1">'SC-NR'!N125</f>
        <v>1.3553542518979584</v>
      </c>
      <c r="U18" s="45">
        <f ca="1">'SC-NR'!O125</f>
        <v>1.3901697749735342</v>
      </c>
      <c r="V18" s="45">
        <f ca="1">'SC-NR'!P125</f>
        <v>1.4165972363576675</v>
      </c>
      <c r="W18" s="45">
        <f ca="1">'SC-NR'!Q125</f>
        <v>1.4351259700992469</v>
      </c>
      <c r="X18" s="45">
        <f ca="1">'SC-NR'!R125</f>
        <v>1.4483854248457118</v>
      </c>
      <c r="Y18" s="45">
        <f ca="1">'SC-NR'!S125</f>
        <v>1.4572097694072526</v>
      </c>
      <c r="Z18" s="45">
        <f ca="1">'SC-NR'!T125</f>
        <v>1.4626193329029891</v>
      </c>
      <c r="AA18" s="45">
        <f ca="1">'SC-NR'!U125</f>
        <v>1.465717442943024</v>
      </c>
      <c r="AB18" s="45">
        <f ca="1">'SC-NR'!V125</f>
        <v>1.4666297679860132</v>
      </c>
      <c r="AC18" s="45">
        <f ca="1">'SC-NR'!W125</f>
        <v>1.465414334043855</v>
      </c>
      <c r="AD18" s="45">
        <f ca="1">'SC-NR'!X125</f>
        <v>1.4634792614670631</v>
      </c>
      <c r="AE18" s="45">
        <f ca="1">'SC-NR'!Y125</f>
        <v>2.1870129563037684</v>
      </c>
      <c r="AF18" s="367">
        <f>VLOOKUP($I18,M_Input_Out!$A$1:$AM$3999,15,FALSE)</f>
        <v>0.27452174236782106</v>
      </c>
      <c r="AG18" s="367">
        <f>VLOOKUP($I18,M_Input_Out!$A$1:$AM$3999,16,FALSE)</f>
        <v>0.20294362615155573</v>
      </c>
      <c r="AH18" s="367">
        <f>VLOOKUP($I18,M_Input_Out!$A$1:$AM$3999,17,FALSE)</f>
        <v>0.18905134806916599</v>
      </c>
      <c r="AI18" s="367">
        <f>VLOOKUP($I18,M_Input_Out!$A$1:$AM$3999,18,FALSE)</f>
        <v>0.1085293878446761</v>
      </c>
      <c r="AJ18" s="367">
        <f>VLOOKUP($I18,M_Input_Out!$A$1:$AM$3999,19,FALSE)</f>
        <v>8.7180455078288421E-2</v>
      </c>
      <c r="AK18" s="367">
        <f>VLOOKUP($I18,M_Input_Out!$A$1:$AM$3999,20,FALSE)</f>
        <v>6.7626532333874084E-2</v>
      </c>
      <c r="AL18" s="367">
        <f>VLOOKUP($I18,M_Input_Out!$A$1:$AM$3999,21,FALSE)</f>
        <v>7.0567758524936477E-2</v>
      </c>
      <c r="AM18" s="367">
        <f>VLOOKUP($I18,M_Input_Out!$A$1:$AM$3999,22,FALSE)</f>
        <v>0.1027137024761456</v>
      </c>
      <c r="AN18" s="367">
        <f>VLOOKUP($I18,M_Input_Out!$A$1:$AM$3999,23,FALSE)</f>
        <v>0.12977070066031263</v>
      </c>
      <c r="AO18" s="367">
        <f>VLOOKUP($I18,M_Input_Out!$A$1:$AM$3999,24,FALSE)</f>
        <v>0.21170624706454064</v>
      </c>
      <c r="AP18" s="367">
        <f>VLOOKUP($I18,M_Input_Out!$A$1:$AM$3999,25,FALSE)</f>
        <v>0.24516152407905265</v>
      </c>
      <c r="AQ18" s="367">
        <f>VLOOKUP($I18,M_Input_Out!$A$1:$AM$3999,26,FALSE)</f>
        <v>0.2887953317488608</v>
      </c>
      <c r="AR18" s="367"/>
      <c r="AS18" s="367">
        <f>VLOOKUP($I18,M_Input_Out!$A$1:$AM$3999,28,FALSE)</f>
        <v>0.4549766231012321</v>
      </c>
      <c r="AT18" s="367">
        <f>VLOOKUP($I18,M_Input_Out!$A$1:$AM$3999,29,FALSE)</f>
        <v>0.39465409650056721</v>
      </c>
      <c r="AU18" s="367">
        <f>VLOOKUP($I18,M_Input_Out!$A$1:$AM$3999,30,FALSE)</f>
        <v>0.39785403088012511</v>
      </c>
      <c r="AV18" s="367">
        <f>VLOOKUP($I18,M_Input_Out!$A$1:$AM$3999,31,FALSE)</f>
        <v>0.37885649508381303</v>
      </c>
      <c r="AW18" s="367">
        <f>VLOOKUP($I18,M_Input_Out!$A$1:$AM$3999,32,FALSE)</f>
        <v>0.34894611688482025</v>
      </c>
      <c r="AX18" s="367">
        <f>VLOOKUP($I18,M_Input_Out!$A$1:$AM$3999,33,FALSE)</f>
        <v>0.31704995644135364</v>
      </c>
      <c r="AY18" s="367">
        <f>VLOOKUP($I18,M_Input_Out!$A$1:$AM$3999,34,FALSE)</f>
        <v>0.34621037216440886</v>
      </c>
      <c r="AZ18" s="367">
        <f>VLOOKUP($I18,M_Input_Out!$A$1:$AM$3999,35,FALSE)</f>
        <v>0.37383918156305462</v>
      </c>
      <c r="BA18" s="367">
        <f>VLOOKUP($I18,M_Input_Out!$A$1:$AM$3999,36,FALSE)</f>
        <v>0.4029600962997002</v>
      </c>
      <c r="BB18" s="367">
        <f>VLOOKUP($I18,M_Input_Out!$A$1:$AM$3999,37,FALSE)</f>
        <v>0.41587764757685697</v>
      </c>
      <c r="BC18" s="367">
        <f>VLOOKUP($I18,M_Input_Out!$A$1:$AM$3999,38,FALSE)</f>
        <v>0.43595591745506251</v>
      </c>
      <c r="BD18" s="367">
        <f>VLOOKUP($I18,M_Input_Out!$A$1:$AM$3999,39,FALSE)</f>
        <v>0.45685672546776424</v>
      </c>
    </row>
    <row r="19" spans="1:56">
      <c r="I19" s="24"/>
      <c r="AE19" s="78"/>
      <c r="AF19" s="368"/>
      <c r="AG19" s="368"/>
      <c r="AH19" s="368"/>
      <c r="AI19" s="368"/>
      <c r="AJ19" s="368"/>
      <c r="AK19" s="368"/>
      <c r="AL19" s="368"/>
      <c r="AM19" s="368"/>
      <c r="AN19" s="368"/>
      <c r="AO19" s="368"/>
      <c r="AP19" s="368"/>
      <c r="AQ19" s="368"/>
      <c r="AR19" s="368"/>
      <c r="AS19" s="368"/>
      <c r="AT19" s="368"/>
      <c r="AU19" s="368"/>
      <c r="AV19" s="368"/>
      <c r="AW19" s="368"/>
      <c r="AX19" s="368"/>
      <c r="AY19" s="368"/>
      <c r="AZ19" s="368"/>
      <c r="BA19" s="368"/>
      <c r="BB19" s="368"/>
      <c r="BC19" s="368"/>
      <c r="BD19" s="368"/>
    </row>
    <row r="20" spans="1:56">
      <c r="I20" s="24"/>
      <c r="AE20" s="78"/>
      <c r="AF20" s="368"/>
      <c r="AG20" s="368"/>
      <c r="AH20" s="368"/>
      <c r="AI20" s="368"/>
      <c r="AJ20" s="368"/>
      <c r="AK20" s="368"/>
      <c r="AL20" s="368"/>
      <c r="AM20" s="368"/>
      <c r="AN20" s="368"/>
      <c r="AO20" s="368"/>
      <c r="AP20" s="368"/>
      <c r="AQ20" s="368"/>
      <c r="AR20" s="368"/>
      <c r="AS20" s="368"/>
      <c r="AT20" s="368"/>
      <c r="AU20" s="368"/>
      <c r="AV20" s="368"/>
      <c r="AW20" s="368"/>
      <c r="AX20" s="368"/>
      <c r="AY20" s="368"/>
      <c r="AZ20" s="368"/>
      <c r="BA20" s="368"/>
      <c r="BB20" s="368"/>
      <c r="BC20" s="368"/>
      <c r="BD20" s="368"/>
    </row>
    <row r="21" spans="1:56">
      <c r="I21" s="24"/>
      <c r="AF21" s="368"/>
      <c r="AG21" s="368"/>
      <c r="AH21" s="368"/>
      <c r="AI21" s="368"/>
      <c r="AJ21" s="368"/>
      <c r="AK21" s="368"/>
      <c r="AL21" s="368"/>
      <c r="AM21" s="368"/>
      <c r="AN21" s="368"/>
      <c r="AO21" s="368"/>
      <c r="AP21" s="368"/>
      <c r="AQ21" s="368"/>
      <c r="AR21" s="368"/>
      <c r="AS21" s="368"/>
      <c r="AT21" s="368"/>
      <c r="AU21" s="368"/>
      <c r="AV21" s="368"/>
      <c r="AW21" s="368"/>
      <c r="AX21" s="368"/>
      <c r="AY21" s="368"/>
      <c r="AZ21" s="368"/>
      <c r="BA21" s="368"/>
      <c r="BB21" s="368"/>
      <c r="BC21" s="368"/>
      <c r="BD21" s="368"/>
    </row>
    <row r="22" spans="1:56">
      <c r="I22" s="24"/>
      <c r="AF22" s="368"/>
      <c r="AG22" s="368"/>
      <c r="AH22" s="368"/>
      <c r="AI22" s="368"/>
      <c r="AJ22" s="368"/>
      <c r="AK22" s="368"/>
      <c r="AL22" s="368"/>
      <c r="AM22" s="368"/>
      <c r="AN22" s="368"/>
      <c r="AO22" s="368"/>
      <c r="AP22" s="368"/>
      <c r="AQ22" s="368"/>
      <c r="AR22" s="368"/>
      <c r="AS22" s="368"/>
      <c r="AT22" s="368"/>
      <c r="AU22" s="368"/>
      <c r="AV22" s="368"/>
      <c r="AW22" s="368"/>
      <c r="AX22" s="368"/>
      <c r="AY22" s="368"/>
      <c r="AZ22" s="368"/>
      <c r="BA22" s="368"/>
      <c r="BB22" s="368"/>
      <c r="BC22" s="368"/>
      <c r="BD22" s="368"/>
    </row>
    <row r="23" spans="1:56">
      <c r="I23" s="24"/>
      <c r="AF23" s="368"/>
      <c r="AG23" s="368"/>
      <c r="AH23" s="368"/>
      <c r="AI23" s="368"/>
      <c r="AJ23" s="368"/>
      <c r="AK23" s="368"/>
      <c r="AL23" s="368"/>
      <c r="AM23" s="368"/>
      <c r="AN23" s="368"/>
      <c r="AO23" s="368"/>
      <c r="AP23" s="368"/>
      <c r="AQ23" s="368"/>
      <c r="AR23" s="368"/>
      <c r="AS23" s="368"/>
      <c r="AT23" s="368"/>
      <c r="AU23" s="368"/>
      <c r="AV23" s="368"/>
      <c r="AW23" s="368"/>
      <c r="AX23" s="368"/>
      <c r="AY23" s="368"/>
      <c r="AZ23" s="368"/>
      <c r="BA23" s="368"/>
      <c r="BB23" s="368"/>
      <c r="BC23" s="368"/>
      <c r="BD23" s="368"/>
    </row>
    <row r="24" spans="1:56">
      <c r="I24" s="24"/>
      <c r="AF24" s="368"/>
      <c r="AG24" s="368"/>
      <c r="AH24" s="368"/>
      <c r="AI24" s="368"/>
      <c r="AJ24" s="368"/>
      <c r="AK24" s="368"/>
      <c r="AL24" s="368"/>
      <c r="AM24" s="368"/>
      <c r="AN24" s="368"/>
      <c r="AO24" s="368"/>
      <c r="AP24" s="368"/>
      <c r="AQ24" s="368"/>
      <c r="AR24" s="368"/>
      <c r="AS24" s="368"/>
      <c r="AT24" s="368"/>
      <c r="AU24" s="368"/>
      <c r="AV24" s="368"/>
      <c r="AW24" s="368"/>
      <c r="AX24" s="368"/>
      <c r="AY24" s="368"/>
      <c r="AZ24" s="368"/>
      <c r="BA24" s="368"/>
      <c r="BB24" s="368"/>
      <c r="BC24" s="368"/>
      <c r="BD24" s="368"/>
    </row>
    <row r="25" spans="1:56">
      <c r="I25" s="24"/>
      <c r="AF25" s="368"/>
      <c r="AG25" s="368"/>
      <c r="AH25" s="368"/>
      <c r="AI25" s="368"/>
      <c r="AJ25" s="368"/>
      <c r="AK25" s="368"/>
      <c r="AL25" s="368"/>
      <c r="AM25" s="368"/>
      <c r="AN25" s="368"/>
      <c r="AO25" s="368"/>
      <c r="AP25" s="368"/>
      <c r="AQ25" s="368"/>
      <c r="AR25" s="368"/>
      <c r="AS25" s="368"/>
      <c r="AT25" s="368"/>
      <c r="AU25" s="368"/>
      <c r="AV25" s="368"/>
      <c r="AW25" s="368"/>
      <c r="AX25" s="368"/>
      <c r="AY25" s="368"/>
      <c r="AZ25" s="368"/>
      <c r="BA25" s="368"/>
      <c r="BB25" s="368"/>
      <c r="BC25" s="368"/>
      <c r="BD25" s="368"/>
    </row>
    <row r="26" spans="1:56">
      <c r="I26" s="24"/>
      <c r="AF26" s="75"/>
      <c r="AG26" s="75"/>
      <c r="AH26" s="75"/>
      <c r="AI26" s="75"/>
      <c r="AJ26" s="75"/>
      <c r="AK26" s="75"/>
      <c r="AL26" s="75"/>
      <c r="AM26" s="75"/>
      <c r="AN26" s="75"/>
      <c r="AO26" s="75"/>
      <c r="AP26" s="75"/>
      <c r="AQ26" s="75"/>
      <c r="AR26" s="75"/>
      <c r="AS26" s="75"/>
      <c r="AT26" s="75"/>
      <c r="AU26" s="75"/>
      <c r="AV26" s="75"/>
      <c r="AW26" s="75"/>
      <c r="AX26" s="75"/>
      <c r="AY26" s="75"/>
      <c r="AZ26" s="75"/>
      <c r="BA26" s="75"/>
      <c r="BB26" s="75"/>
      <c r="BC26" s="75"/>
      <c r="BD26" s="75"/>
    </row>
    <row r="27" spans="1:56">
      <c r="I27" s="24"/>
      <c r="AF27" s="75"/>
      <c r="AG27" s="75"/>
      <c r="AH27" s="75"/>
      <c r="AI27" s="75"/>
      <c r="AJ27" s="75"/>
      <c r="AK27" s="75"/>
      <c r="AL27" s="75"/>
      <c r="AM27" s="75"/>
      <c r="AN27" s="75"/>
      <c r="AO27" s="75"/>
      <c r="AP27" s="75"/>
      <c r="AQ27" s="75"/>
      <c r="AR27" s="75"/>
      <c r="AS27" s="75"/>
      <c r="AT27" s="75"/>
      <c r="AU27" s="75"/>
      <c r="AV27" s="75"/>
      <c r="AW27" s="75"/>
      <c r="AX27" s="75"/>
      <c r="AY27" s="75"/>
      <c r="AZ27" s="75"/>
      <c r="BA27" s="75"/>
      <c r="BB27" s="75"/>
      <c r="BC27" s="75"/>
      <c r="BD27" s="75"/>
    </row>
    <row r="28" spans="1:56">
      <c r="I28" s="24"/>
      <c r="AF28" s="75"/>
      <c r="AG28" s="75"/>
      <c r="AH28" s="75"/>
      <c r="AI28" s="75"/>
      <c r="AJ28" s="75"/>
      <c r="AK28" s="75"/>
      <c r="AL28" s="75"/>
      <c r="AM28" s="75"/>
      <c r="AN28" s="75"/>
      <c r="AO28" s="75"/>
      <c r="AP28" s="75"/>
      <c r="AQ28" s="75"/>
      <c r="AR28" s="75"/>
      <c r="AS28" s="75"/>
      <c r="AT28" s="75"/>
      <c r="AU28" s="75"/>
      <c r="AV28" s="75"/>
      <c r="AW28" s="75"/>
      <c r="AX28" s="75"/>
      <c r="AY28" s="75"/>
      <c r="AZ28" s="75"/>
      <c r="BA28" s="75"/>
      <c r="BB28" s="75"/>
      <c r="BC28" s="75"/>
      <c r="BD28" s="75"/>
    </row>
    <row r="29" spans="1:56">
      <c r="I29" s="24"/>
      <c r="AF29" s="75"/>
      <c r="AG29" s="75"/>
      <c r="AH29" s="75"/>
      <c r="AI29" s="75"/>
      <c r="AJ29" s="75"/>
      <c r="AK29" s="75"/>
      <c r="AL29" s="75"/>
      <c r="AM29" s="75"/>
      <c r="AN29" s="75"/>
      <c r="AO29" s="75"/>
      <c r="AP29" s="75"/>
      <c r="AQ29" s="75"/>
      <c r="AR29" s="75"/>
      <c r="AS29" s="75"/>
      <c r="AT29" s="75"/>
      <c r="AU29" s="75"/>
      <c r="AV29" s="75"/>
      <c r="AW29" s="75"/>
      <c r="AX29" s="75"/>
      <c r="AY29" s="75"/>
      <c r="AZ29" s="75"/>
      <c r="BA29" s="75"/>
      <c r="BB29" s="75"/>
      <c r="BC29" s="75"/>
      <c r="BD29" s="75"/>
    </row>
    <row r="30" spans="1:56">
      <c r="I30" s="24"/>
      <c r="AF30" s="75"/>
      <c r="AG30" s="75"/>
      <c r="AH30" s="75"/>
      <c r="AI30" s="75"/>
      <c r="AJ30" s="75"/>
      <c r="AK30" s="75"/>
      <c r="AL30" s="75"/>
      <c r="AM30" s="75"/>
      <c r="AN30" s="75"/>
      <c r="AO30" s="75"/>
      <c r="AP30" s="75"/>
      <c r="AQ30" s="75"/>
      <c r="AR30" s="75"/>
      <c r="AS30" s="75"/>
      <c r="AT30" s="75"/>
      <c r="AU30" s="75"/>
      <c r="AV30" s="75"/>
      <c r="AW30" s="75"/>
      <c r="AX30" s="75"/>
      <c r="AY30" s="75"/>
      <c r="AZ30" s="75"/>
      <c r="BA30" s="75"/>
      <c r="BB30" s="75"/>
      <c r="BC30" s="75"/>
      <c r="BD30" s="75"/>
    </row>
    <row r="31" spans="1:56">
      <c r="AF31" s="75"/>
      <c r="AG31" s="75"/>
      <c r="AH31" s="75"/>
      <c r="AI31" s="75"/>
      <c r="AJ31" s="75"/>
      <c r="AK31" s="75"/>
      <c r="AL31" s="75"/>
      <c r="AM31" s="75"/>
      <c r="AN31" s="75"/>
      <c r="AO31" s="75"/>
      <c r="AP31" s="75"/>
      <c r="AQ31" s="75"/>
      <c r="AR31" s="75"/>
      <c r="AS31" s="75"/>
      <c r="AT31" s="75"/>
      <c r="AU31" s="75"/>
      <c r="AV31" s="75"/>
      <c r="AW31" s="75"/>
      <c r="AX31" s="75"/>
      <c r="AY31" s="75"/>
      <c r="AZ31" s="75"/>
      <c r="BA31" s="75"/>
      <c r="BB31" s="75"/>
      <c r="BC31" s="75"/>
      <c r="BD31" s="75"/>
    </row>
    <row r="32" spans="1:56">
      <c r="AF32" s="75"/>
      <c r="AG32" s="75"/>
      <c r="AH32" s="75"/>
      <c r="AI32" s="75"/>
      <c r="AJ32" s="75"/>
      <c r="AK32" s="75"/>
      <c r="AL32" s="75"/>
      <c r="AM32" s="75"/>
      <c r="AN32" s="75"/>
      <c r="AO32" s="75"/>
      <c r="AP32" s="75"/>
      <c r="AQ32" s="75"/>
      <c r="AR32" s="75"/>
      <c r="AS32" s="75"/>
      <c r="AT32" s="75"/>
      <c r="AU32" s="75"/>
      <c r="AV32" s="75"/>
      <c r="AW32" s="75"/>
      <c r="AX32" s="75"/>
      <c r="AY32" s="75"/>
      <c r="AZ32" s="75"/>
      <c r="BA32" s="75"/>
      <c r="BB32" s="75"/>
      <c r="BC32" s="75"/>
      <c r="BD32" s="75"/>
    </row>
    <row r="33" spans="32:56">
      <c r="AF33" s="75"/>
      <c r="AG33" s="75"/>
      <c r="AH33" s="75"/>
      <c r="AI33" s="75"/>
      <c r="AJ33" s="75"/>
      <c r="AK33" s="75"/>
      <c r="AL33" s="75"/>
      <c r="AM33" s="75"/>
      <c r="AN33" s="75"/>
      <c r="AO33" s="75"/>
      <c r="AP33" s="75"/>
      <c r="AQ33" s="75"/>
      <c r="AR33" s="75"/>
      <c r="AS33" s="75"/>
      <c r="AT33" s="75"/>
      <c r="AU33" s="75"/>
      <c r="AV33" s="75"/>
      <c r="AW33" s="75"/>
      <c r="AX33" s="75"/>
      <c r="AY33" s="75"/>
      <c r="AZ33" s="75"/>
      <c r="BA33" s="75"/>
      <c r="BB33" s="75"/>
      <c r="BC33" s="75"/>
      <c r="BD33" s="75"/>
    </row>
    <row r="34" spans="32:56">
      <c r="AF34" s="75"/>
      <c r="AG34" s="75"/>
      <c r="AH34" s="75"/>
      <c r="AI34" s="75"/>
      <c r="AJ34" s="75"/>
      <c r="AK34" s="75"/>
      <c r="AL34" s="75"/>
      <c r="AM34" s="75"/>
      <c r="AN34" s="75"/>
      <c r="AO34" s="75"/>
      <c r="AP34" s="75"/>
      <c r="AQ34" s="75"/>
      <c r="AR34" s="75"/>
      <c r="AS34" s="75"/>
      <c r="AT34" s="75"/>
      <c r="AU34" s="75"/>
      <c r="AV34" s="75"/>
      <c r="AW34" s="75"/>
      <c r="AX34" s="75"/>
      <c r="AY34" s="75"/>
      <c r="AZ34" s="75"/>
      <c r="BA34" s="75"/>
      <c r="BB34" s="75"/>
      <c r="BC34" s="75"/>
      <c r="BD34" s="75"/>
    </row>
  </sheetData>
  <pageMargins left="0.7" right="0.7" top="0.75" bottom="0.75" header="0.3" footer="0.3"/>
  <legacyDrawing r:id="rId1"/>
</worksheet>
</file>

<file path=xl/worksheets/sheet10.xml><?xml version="1.0" encoding="utf-8"?>
<worksheet xmlns="http://schemas.openxmlformats.org/spreadsheetml/2006/main" xmlns:r="http://schemas.openxmlformats.org/officeDocument/2006/relationships">
  <sheetPr>
    <tabColor rgb="FFFFFF00"/>
  </sheetPr>
  <dimension ref="A1:EA172"/>
  <sheetViews>
    <sheetView workbookViewId="0">
      <selection activeCell="A34" sqref="A34:EA172"/>
    </sheetView>
  </sheetViews>
  <sheetFormatPr defaultRowHeight="12.75"/>
  <cols>
    <col min="1" max="1" width="44.140625" customWidth="1"/>
    <col min="2" max="2" width="54.85546875" customWidth="1"/>
    <col min="3" max="3" width="17.42578125" bestFit="1" customWidth="1"/>
    <col min="4" max="4" width="12.140625" bestFit="1" customWidth="1"/>
    <col min="5" max="5" width="12.5703125" customWidth="1"/>
    <col min="6" max="6" width="13.7109375" customWidth="1"/>
    <col min="7" max="7" width="25.42578125" customWidth="1"/>
    <col min="8" max="8" width="15.7109375" bestFit="1" customWidth="1"/>
    <col min="9" max="9" width="15.42578125" bestFit="1" customWidth="1"/>
    <col min="10" max="10" width="14.42578125" bestFit="1" customWidth="1"/>
    <col min="11" max="11" width="14.28515625" customWidth="1"/>
    <col min="12" max="12" width="12.5703125" customWidth="1"/>
    <col min="13" max="13" width="13.28515625" bestFit="1" customWidth="1"/>
    <col min="14" max="14" width="12.140625" bestFit="1" customWidth="1"/>
    <col min="15" max="15" width="13.28515625" bestFit="1" customWidth="1"/>
    <col min="16" max="16" width="27.7109375" customWidth="1"/>
    <col min="17" max="18" width="13.28515625" bestFit="1" customWidth="1"/>
    <col min="19" max="19" width="14.42578125" bestFit="1" customWidth="1"/>
    <col min="20" max="20" width="10.7109375" customWidth="1"/>
    <col min="21" max="21" width="14" bestFit="1" customWidth="1"/>
    <col min="22" max="22" width="12.140625" bestFit="1" customWidth="1"/>
    <col min="23" max="23" width="15.42578125" bestFit="1" customWidth="1"/>
    <col min="24" max="24" width="12.42578125" bestFit="1" customWidth="1"/>
    <col min="25" max="25" width="13.28515625" bestFit="1" customWidth="1"/>
    <col min="26" max="26" width="12.28515625" bestFit="1" customWidth="1"/>
    <col min="27" max="27" width="12.5703125" bestFit="1" customWidth="1"/>
    <col min="28" max="30" width="14.28515625" bestFit="1" customWidth="1"/>
    <col min="31" max="31" width="13.7109375" bestFit="1" customWidth="1"/>
    <col min="32" max="32" width="14" bestFit="1" customWidth="1"/>
    <col min="33" max="33" width="12.85546875" bestFit="1" customWidth="1"/>
    <col min="34" max="34" width="15.28515625" bestFit="1" customWidth="1"/>
    <col min="35" max="35" width="12.28515625" bestFit="1" customWidth="1"/>
    <col min="36" max="36" width="10.85546875" bestFit="1" customWidth="1"/>
    <col min="37" max="37" width="12.28515625" bestFit="1" customWidth="1"/>
    <col min="38" max="38" width="12.5703125" bestFit="1" customWidth="1"/>
    <col min="39" max="43" width="12.85546875" customWidth="1"/>
    <col min="44" max="44" width="12.5703125" customWidth="1"/>
    <col min="45" max="45" width="12.28515625" customWidth="1"/>
    <col min="46" max="46" width="12.7109375" customWidth="1"/>
    <col min="47" max="47" width="11.85546875" customWidth="1"/>
    <col min="48" max="48" width="12.5703125" bestFit="1" customWidth="1"/>
    <col min="49" max="49" width="13.42578125" customWidth="1"/>
    <col min="50" max="50" width="15.7109375" bestFit="1" customWidth="1"/>
    <col min="51" max="51" width="11" bestFit="1" customWidth="1"/>
    <col min="52" max="52" width="16.140625" bestFit="1" customWidth="1"/>
    <col min="53" max="53" width="17.28515625" bestFit="1" customWidth="1"/>
    <col min="54" max="54" width="15" bestFit="1" customWidth="1"/>
    <col min="55" max="55" width="12.5703125" bestFit="1" customWidth="1"/>
    <col min="56" max="56" width="13.5703125" customWidth="1"/>
    <col min="57" max="58" width="14.5703125" bestFit="1" customWidth="1"/>
    <col min="59" max="59" width="14.85546875" bestFit="1" customWidth="1"/>
    <col min="60" max="60" width="15" bestFit="1" customWidth="1"/>
    <col min="61" max="61" width="13.28515625" bestFit="1" customWidth="1"/>
    <col min="62" max="62" width="14" bestFit="1" customWidth="1"/>
    <col min="63" max="63" width="13.28515625" bestFit="1" customWidth="1"/>
    <col min="64" max="64" width="11.140625" bestFit="1" customWidth="1"/>
    <col min="65" max="65" width="16.85546875" bestFit="1" customWidth="1"/>
    <col min="66" max="66" width="14.7109375" customWidth="1"/>
    <col min="67" max="67" width="12" customWidth="1"/>
    <col min="68" max="68" width="14" customWidth="1"/>
    <col min="69" max="69" width="12.5703125" customWidth="1"/>
    <col min="70" max="70" width="11.28515625" customWidth="1"/>
    <col min="71" max="71" width="14.42578125" customWidth="1"/>
    <col min="72" max="72" width="15.7109375" customWidth="1"/>
    <col min="73" max="73" width="12.85546875" customWidth="1"/>
    <col min="74" max="74" width="13" customWidth="1"/>
    <col min="75" max="75" width="11.7109375" customWidth="1"/>
    <col min="76" max="76" width="14" customWidth="1"/>
    <col min="77" max="77" width="14.85546875" customWidth="1"/>
    <col min="78" max="78" width="11.85546875" customWidth="1"/>
    <col min="79" max="79" width="13.85546875" customWidth="1"/>
    <col min="80" max="80" width="13.7109375" customWidth="1"/>
    <col min="81" max="81" width="13" customWidth="1"/>
    <col min="82" max="82" width="12.42578125" customWidth="1"/>
    <col min="83" max="83" width="13" customWidth="1"/>
    <col min="84" max="84" width="12.7109375" customWidth="1"/>
    <col min="85" max="85" width="12.42578125" customWidth="1"/>
    <col min="86" max="86" width="10.28515625" customWidth="1"/>
    <col min="87" max="91" width="9.85546875" customWidth="1"/>
    <col min="92" max="99" width="10.7109375" customWidth="1"/>
    <col min="100" max="100" width="16.5703125" customWidth="1"/>
    <col min="101" max="105" width="10.7109375" customWidth="1"/>
  </cols>
  <sheetData>
    <row r="1" spans="1:105">
      <c r="A1" s="15" t="s">
        <v>14</v>
      </c>
      <c r="B1" s="16"/>
      <c r="C1" s="16"/>
      <c r="D1" s="16"/>
      <c r="E1" s="16"/>
      <c r="F1" s="16"/>
      <c r="G1" s="16"/>
      <c r="H1" s="17"/>
      <c r="I1" s="18"/>
      <c r="J1" s="18"/>
      <c r="K1" s="18"/>
      <c r="L1" s="18"/>
      <c r="M1" s="18"/>
      <c r="N1" s="19"/>
      <c r="O1" s="20"/>
      <c r="P1" s="19"/>
      <c r="Q1" s="19"/>
      <c r="R1" s="19"/>
      <c r="S1" s="17"/>
      <c r="T1" s="17"/>
      <c r="U1" s="17"/>
      <c r="V1" s="19"/>
      <c r="W1" s="17"/>
      <c r="X1" s="17"/>
      <c r="Y1" s="17"/>
      <c r="Z1" s="17"/>
      <c r="AA1" s="17"/>
      <c r="AB1" s="17"/>
      <c r="AC1" s="17"/>
      <c r="AD1" s="17"/>
      <c r="AE1" s="17"/>
      <c r="AF1" s="17"/>
      <c r="AG1" s="17"/>
      <c r="AH1" s="17"/>
      <c r="AI1" s="17"/>
      <c r="AJ1" s="17"/>
      <c r="AK1" s="17"/>
      <c r="AL1" s="17"/>
      <c r="AM1" s="17"/>
      <c r="AN1" s="17"/>
      <c r="AO1" s="17"/>
      <c r="AP1" s="21"/>
      <c r="AQ1" s="17"/>
      <c r="AR1" s="17"/>
      <c r="AS1" s="17"/>
      <c r="AT1" s="17"/>
      <c r="AU1" s="17"/>
      <c r="AV1" s="21"/>
      <c r="AW1" s="17"/>
      <c r="AX1" s="17"/>
      <c r="AY1" s="17"/>
      <c r="AZ1" s="17"/>
      <c r="BA1" s="17"/>
      <c r="BB1" s="17"/>
      <c r="BC1" s="17"/>
      <c r="BD1" s="17"/>
      <c r="BE1" s="17"/>
      <c r="BF1" s="17"/>
      <c r="BG1" s="17"/>
      <c r="BH1" s="17"/>
      <c r="BI1" s="17"/>
      <c r="BJ1" s="17"/>
      <c r="BK1" s="17"/>
      <c r="BL1" s="17"/>
      <c r="BM1" s="22"/>
      <c r="BN1" s="17"/>
      <c r="BO1" s="17"/>
      <c r="BP1" s="17"/>
      <c r="BQ1" s="17"/>
      <c r="BR1" s="17"/>
      <c r="BS1" s="17"/>
      <c r="BT1" s="17"/>
      <c r="BU1" s="17"/>
      <c r="BV1" s="17"/>
      <c r="BW1" s="17"/>
      <c r="BX1" s="17"/>
      <c r="BY1" s="17"/>
      <c r="BZ1" s="17"/>
      <c r="CA1" s="17"/>
      <c r="CB1" s="17"/>
      <c r="CC1" s="17"/>
      <c r="CD1" s="17"/>
      <c r="CE1" s="17"/>
      <c r="CF1" s="17"/>
      <c r="CG1" s="17"/>
      <c r="CH1" s="17"/>
      <c r="CI1" s="17"/>
      <c r="CJ1" s="17"/>
      <c r="CK1" s="17"/>
      <c r="CL1" s="17"/>
      <c r="CM1" s="17"/>
      <c r="CN1" s="17"/>
      <c r="CO1" s="17"/>
      <c r="CP1" s="21"/>
      <c r="CQ1" s="17"/>
      <c r="CR1" s="17"/>
      <c r="CS1" s="17"/>
      <c r="CT1" s="17"/>
      <c r="CU1" s="17"/>
      <c r="CV1" s="17"/>
      <c r="CW1" s="17"/>
      <c r="CX1" s="17"/>
      <c r="CY1" s="17"/>
      <c r="CZ1" s="17"/>
      <c r="DA1" s="17"/>
    </row>
    <row r="2" spans="1:105">
      <c r="A2" s="23" t="s">
        <v>15</v>
      </c>
      <c r="B2" s="17" t="str">
        <f>'7PSourceSummary'!D2</f>
        <v>Exterior Building Lighting</v>
      </c>
      <c r="C2" s="17"/>
      <c r="D2" s="17"/>
      <c r="E2" s="17"/>
      <c r="F2" s="17"/>
      <c r="G2" s="17"/>
      <c r="H2" s="17"/>
      <c r="I2" s="18"/>
      <c r="J2" s="18"/>
      <c r="K2" s="18"/>
      <c r="L2" s="18"/>
      <c r="M2" s="18"/>
      <c r="N2" s="19"/>
      <c r="O2" s="19"/>
      <c r="P2" s="19"/>
      <c r="Q2" s="19"/>
      <c r="R2" s="19"/>
      <c r="S2" s="17"/>
      <c r="T2" s="17"/>
      <c r="U2" s="17"/>
      <c r="V2" s="19"/>
      <c r="W2" s="17"/>
      <c r="X2" s="17"/>
      <c r="Y2" s="17"/>
      <c r="Z2" s="17"/>
      <c r="AA2" s="17"/>
      <c r="AB2" s="17"/>
      <c r="AC2" s="17"/>
      <c r="AD2" s="17"/>
      <c r="AE2" s="17"/>
      <c r="AF2" s="17"/>
      <c r="AG2" s="17"/>
      <c r="AH2" s="17"/>
      <c r="AI2" s="17"/>
      <c r="AJ2" s="17"/>
      <c r="AK2" s="17"/>
      <c r="AL2" s="17"/>
      <c r="AM2" s="17"/>
      <c r="AN2" s="17"/>
      <c r="AO2" s="17"/>
      <c r="AP2" s="17"/>
      <c r="AQ2" s="17"/>
      <c r="AR2" s="17"/>
      <c r="AS2" s="17"/>
      <c r="AT2" s="17"/>
      <c r="AU2" s="17"/>
      <c r="AV2" s="17"/>
      <c r="AW2" s="17"/>
      <c r="AX2" s="17"/>
      <c r="AY2" s="17"/>
      <c r="AZ2" s="17"/>
      <c r="BA2" s="17"/>
      <c r="BB2" s="21"/>
      <c r="BC2" s="17"/>
      <c r="BD2" s="17"/>
      <c r="BE2" s="17"/>
      <c r="BF2" s="17"/>
      <c r="BG2" s="17"/>
      <c r="BH2" s="17"/>
      <c r="BI2" s="17"/>
      <c r="BJ2" s="17"/>
      <c r="BK2" s="17"/>
      <c r="BL2" s="17"/>
      <c r="BM2" s="17"/>
      <c r="BN2" s="17"/>
      <c r="BO2" s="17"/>
      <c r="BP2" s="17"/>
      <c r="BQ2" s="17"/>
      <c r="BR2" s="17"/>
      <c r="BS2" s="17"/>
      <c r="BT2" s="17"/>
      <c r="BU2" s="17"/>
      <c r="BV2" s="17"/>
      <c r="BW2" s="17"/>
      <c r="BX2" s="17"/>
      <c r="BY2" s="17"/>
      <c r="BZ2" s="17"/>
      <c r="CA2" s="17"/>
      <c r="CB2" s="17"/>
      <c r="CC2" s="17"/>
      <c r="CD2" s="17"/>
      <c r="CE2" s="17"/>
      <c r="CF2" s="17"/>
      <c r="CG2" s="17"/>
      <c r="CH2" s="17"/>
      <c r="CI2" s="17"/>
      <c r="CJ2" s="17"/>
      <c r="CK2" s="17"/>
      <c r="CL2" s="17"/>
      <c r="CM2" s="17"/>
      <c r="CN2" s="17"/>
      <c r="CO2" s="17"/>
      <c r="CP2" s="17"/>
      <c r="CQ2" s="17"/>
      <c r="CR2" s="17"/>
      <c r="CS2" s="17"/>
      <c r="CT2" s="17"/>
      <c r="CU2" s="17"/>
      <c r="CV2" s="17"/>
      <c r="CW2" s="17"/>
      <c r="CX2" s="17"/>
      <c r="CY2" s="17"/>
      <c r="CZ2" s="17"/>
      <c r="DA2" s="17"/>
    </row>
    <row r="3" spans="1:105">
      <c r="A3" s="23" t="s">
        <v>16</v>
      </c>
      <c r="B3" s="24"/>
      <c r="C3" s="23">
        <v>2012</v>
      </c>
      <c r="D3" s="24"/>
      <c r="E3" s="24"/>
      <c r="F3" s="24"/>
      <c r="G3" s="24"/>
      <c r="H3" s="24"/>
      <c r="I3" s="24"/>
      <c r="J3" s="25"/>
      <c r="K3" s="26"/>
      <c r="L3" s="24"/>
      <c r="M3" s="24"/>
      <c r="N3" s="24"/>
      <c r="O3" s="24"/>
      <c r="P3" s="24"/>
      <c r="Q3" s="24"/>
      <c r="R3" s="24"/>
      <c r="S3" s="24"/>
      <c r="T3" s="24"/>
      <c r="U3" s="24"/>
      <c r="V3" s="24"/>
      <c r="W3" s="24"/>
      <c r="X3" s="24"/>
      <c r="Y3" s="24"/>
      <c r="Z3" s="24"/>
      <c r="AA3" s="24"/>
      <c r="AB3" s="24"/>
      <c r="AC3" s="24"/>
      <c r="AD3" s="24"/>
      <c r="AE3" s="24"/>
      <c r="AF3" s="24"/>
      <c r="AG3" s="24"/>
      <c r="AH3" s="24"/>
      <c r="AI3" s="24"/>
      <c r="AJ3" s="24"/>
      <c r="AK3" s="24"/>
      <c r="AL3" s="24"/>
      <c r="AM3" s="24"/>
      <c r="AN3" s="24"/>
      <c r="AO3" s="24"/>
      <c r="AP3" s="24"/>
      <c r="AQ3" s="24"/>
      <c r="AR3" s="24"/>
      <c r="AS3" s="24"/>
      <c r="AT3" s="24"/>
      <c r="AU3" s="24"/>
      <c r="AV3" s="24"/>
      <c r="AW3" s="24"/>
      <c r="AX3" s="24"/>
      <c r="AY3" s="24"/>
      <c r="AZ3" s="24"/>
      <c r="BA3" s="24"/>
      <c r="BB3" s="24"/>
      <c r="BC3" s="24"/>
      <c r="BD3" s="24"/>
      <c r="BE3" s="24"/>
      <c r="BF3" s="24"/>
      <c r="BG3" s="24"/>
      <c r="BH3" s="24"/>
      <c r="BI3" s="24"/>
      <c r="BJ3" s="24"/>
      <c r="BK3" s="24"/>
      <c r="BL3" s="24"/>
      <c r="BM3" s="24"/>
      <c r="BN3" s="24"/>
      <c r="BO3" s="24"/>
      <c r="BP3" s="24"/>
      <c r="BQ3" s="24"/>
      <c r="BR3" s="24"/>
      <c r="BS3" s="24"/>
      <c r="BT3" s="24"/>
      <c r="BU3" s="24"/>
      <c r="BV3" s="24"/>
      <c r="BW3" s="24"/>
      <c r="BX3" s="24"/>
      <c r="BY3" s="24"/>
      <c r="BZ3" s="24"/>
      <c r="CA3" s="24"/>
      <c r="CB3" s="24"/>
      <c r="CC3" s="24"/>
      <c r="CD3" s="24"/>
      <c r="CE3" s="24"/>
      <c r="CF3" s="24"/>
      <c r="CG3" s="24"/>
      <c r="CH3" s="24"/>
      <c r="CI3" s="24"/>
      <c r="CJ3" s="24"/>
      <c r="CK3" s="24"/>
      <c r="CL3" s="24"/>
      <c r="CM3" s="24"/>
      <c r="CN3" s="24"/>
      <c r="CO3" s="26"/>
      <c r="CP3" s="26"/>
      <c r="CQ3" s="24"/>
      <c r="CR3" s="24"/>
      <c r="CS3" s="24"/>
      <c r="CT3" s="24"/>
      <c r="CU3" s="24"/>
      <c r="CV3" s="24"/>
      <c r="CW3" s="24"/>
      <c r="CX3" s="24"/>
      <c r="CY3" s="24"/>
      <c r="CZ3" s="24"/>
      <c r="DA3" s="24"/>
    </row>
    <row r="4" spans="1:105">
      <c r="A4" s="24"/>
      <c r="B4" s="27"/>
      <c r="C4" s="24"/>
      <c r="D4" s="24"/>
      <c r="E4" s="24"/>
      <c r="F4" s="24"/>
      <c r="G4" s="24"/>
      <c r="H4" s="24"/>
      <c r="I4" s="24"/>
      <c r="J4" s="24"/>
      <c r="K4" s="24"/>
      <c r="L4" s="24"/>
      <c r="M4" s="24"/>
      <c r="N4" s="24"/>
      <c r="O4" s="24"/>
      <c r="P4" s="24"/>
      <c r="Q4" s="24"/>
      <c r="R4" s="24"/>
      <c r="S4" s="24"/>
      <c r="T4" s="24"/>
      <c r="U4" s="24"/>
      <c r="V4" s="24"/>
      <c r="W4" s="24"/>
      <c r="X4" s="24"/>
      <c r="Y4" s="24"/>
      <c r="Z4" s="24"/>
      <c r="AA4" s="24"/>
      <c r="AB4" s="24"/>
      <c r="AC4" s="24"/>
      <c r="AD4" s="24"/>
      <c r="AE4" s="24"/>
      <c r="AF4" s="24"/>
      <c r="AG4" s="24"/>
      <c r="AH4" s="24"/>
      <c r="AI4" s="24"/>
      <c r="AJ4" s="24"/>
      <c r="AK4" s="24"/>
      <c r="AL4" s="24"/>
      <c r="AM4" s="24"/>
      <c r="AN4" s="24"/>
      <c r="AO4" s="24"/>
      <c r="AP4" s="24"/>
      <c r="AQ4" s="24"/>
      <c r="AR4" s="24"/>
      <c r="AS4" s="24"/>
      <c r="AT4" s="24"/>
      <c r="AU4" s="24"/>
      <c r="AV4" s="24"/>
      <c r="AW4" s="24"/>
      <c r="AX4" s="24"/>
      <c r="AY4" s="24"/>
      <c r="AZ4" s="24"/>
      <c r="BA4" s="24"/>
      <c r="BB4" s="24"/>
      <c r="BC4" s="24"/>
      <c r="BD4" s="24"/>
      <c r="BE4" s="24"/>
      <c r="BF4" s="24"/>
      <c r="BG4" s="24"/>
      <c r="BH4" s="24"/>
      <c r="BI4" s="24"/>
      <c r="BJ4" s="24"/>
      <c r="BK4" s="24"/>
      <c r="BL4" s="24"/>
      <c r="BM4" s="24"/>
      <c r="BN4" s="24"/>
      <c r="BO4" s="24"/>
      <c r="BP4" s="24"/>
      <c r="BQ4" s="24"/>
      <c r="BR4" s="24"/>
      <c r="BS4" s="24"/>
      <c r="BT4" s="24"/>
      <c r="BU4" s="24"/>
      <c r="BV4" s="24"/>
      <c r="BW4" s="24"/>
      <c r="BX4" s="24"/>
      <c r="BY4" s="24"/>
      <c r="BZ4" s="24"/>
      <c r="CA4" s="24"/>
      <c r="CB4" s="24"/>
      <c r="CC4" s="24"/>
      <c r="CD4" s="24"/>
      <c r="CE4" s="24"/>
      <c r="CF4" s="24"/>
      <c r="CG4" s="24"/>
      <c r="CH4" s="24"/>
      <c r="CI4" s="24"/>
      <c r="CJ4" s="24"/>
      <c r="CK4" s="24"/>
      <c r="CL4" s="24"/>
      <c r="CM4" s="24"/>
      <c r="CN4" s="24"/>
      <c r="CO4" s="24"/>
      <c r="CP4" s="24"/>
      <c r="CQ4" s="24"/>
      <c r="CR4" s="24"/>
      <c r="CS4" s="24"/>
      <c r="CT4" s="24"/>
      <c r="CU4" s="24"/>
      <c r="CV4" s="24"/>
      <c r="CW4" s="24"/>
      <c r="CX4" s="24"/>
      <c r="CY4" s="24"/>
      <c r="CZ4" s="24"/>
      <c r="DA4" s="24"/>
    </row>
    <row r="5" spans="1:105">
      <c r="A5" s="28">
        <v>1</v>
      </c>
      <c r="B5" s="28">
        <v>2</v>
      </c>
      <c r="C5" s="28">
        <v>3</v>
      </c>
      <c r="D5" s="28">
        <v>4</v>
      </c>
      <c r="E5" s="28">
        <v>5</v>
      </c>
      <c r="F5" s="28">
        <v>6</v>
      </c>
      <c r="G5" s="28">
        <v>7</v>
      </c>
      <c r="H5" s="28">
        <v>8</v>
      </c>
      <c r="I5" s="28">
        <v>9</v>
      </c>
      <c r="J5" s="28">
        <v>10</v>
      </c>
      <c r="K5" s="28">
        <v>11</v>
      </c>
      <c r="L5" s="28">
        <v>12</v>
      </c>
      <c r="M5" s="28">
        <v>13</v>
      </c>
      <c r="N5" s="28">
        <v>14</v>
      </c>
      <c r="O5" s="28">
        <v>15</v>
      </c>
      <c r="P5" s="28">
        <v>16</v>
      </c>
      <c r="Q5" s="28">
        <v>17</v>
      </c>
      <c r="R5" s="28">
        <v>18</v>
      </c>
      <c r="S5" s="28">
        <v>19</v>
      </c>
      <c r="T5" s="28">
        <v>20</v>
      </c>
      <c r="U5" s="28">
        <v>21</v>
      </c>
      <c r="V5" s="28">
        <v>22</v>
      </c>
      <c r="W5" s="28">
        <v>23</v>
      </c>
      <c r="X5" s="28">
        <v>24</v>
      </c>
      <c r="Y5" s="28">
        <v>25</v>
      </c>
      <c r="Z5" s="28">
        <v>26</v>
      </c>
      <c r="AA5" s="28">
        <v>27</v>
      </c>
      <c r="AB5" s="28">
        <v>28</v>
      </c>
      <c r="AC5" s="28">
        <v>29</v>
      </c>
      <c r="AD5" s="28">
        <v>30</v>
      </c>
      <c r="AE5" s="28">
        <v>31</v>
      </c>
      <c r="AF5" s="28">
        <v>32</v>
      </c>
      <c r="AG5" s="28">
        <v>33</v>
      </c>
      <c r="AH5" s="28">
        <v>34</v>
      </c>
      <c r="AI5" s="28">
        <v>35</v>
      </c>
      <c r="AJ5" s="28">
        <v>36</v>
      </c>
      <c r="AK5" s="28">
        <v>37</v>
      </c>
      <c r="AL5" s="28">
        <v>38</v>
      </c>
      <c r="AM5" s="28">
        <v>39</v>
      </c>
      <c r="AN5" s="28">
        <v>40</v>
      </c>
      <c r="AO5" s="28">
        <v>41</v>
      </c>
      <c r="AP5" s="28">
        <v>42</v>
      </c>
      <c r="AQ5" s="28">
        <v>43</v>
      </c>
      <c r="AR5" s="28">
        <v>44</v>
      </c>
      <c r="AS5" s="28">
        <v>45</v>
      </c>
      <c r="AT5" s="28">
        <v>46</v>
      </c>
      <c r="AU5" s="28">
        <v>47</v>
      </c>
      <c r="AV5" s="28">
        <v>48</v>
      </c>
      <c r="AW5" s="28">
        <v>49</v>
      </c>
      <c r="AX5" s="28">
        <v>50</v>
      </c>
      <c r="AY5" s="28">
        <v>51</v>
      </c>
      <c r="AZ5" s="28">
        <v>52</v>
      </c>
      <c r="BA5" s="28">
        <v>53</v>
      </c>
      <c r="BB5" s="28">
        <v>54</v>
      </c>
      <c r="BC5" s="28">
        <v>55</v>
      </c>
      <c r="BD5" s="28">
        <v>56</v>
      </c>
      <c r="BE5" s="28">
        <v>57</v>
      </c>
      <c r="BF5" s="28">
        <v>58</v>
      </c>
      <c r="BG5" s="28">
        <v>59</v>
      </c>
      <c r="BH5" s="28">
        <v>60</v>
      </c>
      <c r="BI5" s="28">
        <v>61</v>
      </c>
      <c r="BJ5" s="28">
        <v>62</v>
      </c>
      <c r="BK5" s="28">
        <v>63</v>
      </c>
      <c r="BL5" s="28">
        <v>64</v>
      </c>
      <c r="BM5" s="28">
        <v>65</v>
      </c>
      <c r="BN5" s="28">
        <v>66</v>
      </c>
      <c r="BO5" s="28">
        <v>67</v>
      </c>
      <c r="BP5" s="28">
        <v>68</v>
      </c>
      <c r="BQ5" s="28">
        <v>69</v>
      </c>
      <c r="BR5" s="28">
        <v>70</v>
      </c>
      <c r="BS5" s="28">
        <v>71</v>
      </c>
      <c r="BT5" s="28">
        <v>72</v>
      </c>
      <c r="BU5" s="28">
        <v>73</v>
      </c>
      <c r="BV5" s="28">
        <v>74</v>
      </c>
      <c r="BW5" s="28">
        <v>75</v>
      </c>
      <c r="BX5" s="28">
        <v>76</v>
      </c>
      <c r="BY5" s="28">
        <v>77</v>
      </c>
      <c r="BZ5" s="28">
        <v>78</v>
      </c>
      <c r="CA5" s="28">
        <v>79</v>
      </c>
      <c r="CB5" s="28">
        <v>80</v>
      </c>
      <c r="CC5" s="28">
        <v>81</v>
      </c>
      <c r="CD5" s="28">
        <v>82</v>
      </c>
      <c r="CE5" s="28">
        <v>83</v>
      </c>
      <c r="CF5" s="28">
        <v>84</v>
      </c>
      <c r="CG5" s="28">
        <v>85</v>
      </c>
      <c r="CH5" s="28">
        <v>86</v>
      </c>
      <c r="CI5" s="28">
        <v>87</v>
      </c>
      <c r="CJ5" s="28">
        <v>88</v>
      </c>
      <c r="CK5" s="28">
        <v>89</v>
      </c>
      <c r="CL5" s="28">
        <v>90</v>
      </c>
      <c r="CM5" s="28">
        <v>91</v>
      </c>
      <c r="CN5" s="28">
        <v>92</v>
      </c>
      <c r="CO5" s="28">
        <v>93</v>
      </c>
      <c r="CP5" s="28">
        <v>94</v>
      </c>
      <c r="CQ5" s="28">
        <v>95</v>
      </c>
      <c r="CR5" s="28">
        <v>96</v>
      </c>
      <c r="CS5" s="28">
        <v>97</v>
      </c>
      <c r="CT5" s="28">
        <v>98</v>
      </c>
      <c r="CU5" s="28">
        <v>99</v>
      </c>
      <c r="CV5" s="28">
        <v>100</v>
      </c>
      <c r="CW5" s="28">
        <v>101</v>
      </c>
      <c r="CX5" s="28">
        <v>102</v>
      </c>
      <c r="CY5" s="28">
        <v>103</v>
      </c>
      <c r="CZ5" s="28">
        <v>104</v>
      </c>
      <c r="DA5" s="28">
        <v>105</v>
      </c>
    </row>
    <row r="6" spans="1:105">
      <c r="A6" s="29" t="s">
        <v>17</v>
      </c>
      <c r="B6" s="30"/>
      <c r="C6" s="30"/>
      <c r="D6" s="30"/>
      <c r="E6" s="30"/>
      <c r="F6" s="30"/>
      <c r="G6" s="31"/>
      <c r="H6" s="32"/>
      <c r="I6" s="454" t="s">
        <v>18</v>
      </c>
      <c r="J6" s="455"/>
      <c r="K6" s="455"/>
      <c r="L6" s="455"/>
      <c r="M6" s="455"/>
      <c r="N6" s="456"/>
      <c r="O6" s="457" t="s">
        <v>19</v>
      </c>
      <c r="P6" s="458"/>
      <c r="Q6" s="33" t="s">
        <v>20</v>
      </c>
      <c r="R6" s="459" t="s">
        <v>21</v>
      </c>
      <c r="S6" s="459"/>
      <c r="T6" s="459"/>
      <c r="U6" s="34"/>
      <c r="V6" s="34"/>
      <c r="W6" s="34"/>
      <c r="X6" s="35"/>
      <c r="Y6" s="36"/>
      <c r="Z6" s="34"/>
      <c r="AA6" s="34"/>
      <c r="AB6" s="34"/>
      <c r="AC6" s="34"/>
      <c r="AD6" s="34"/>
      <c r="AE6" s="37"/>
      <c r="AF6" s="37"/>
      <c r="AG6" s="37"/>
      <c r="AH6" s="37"/>
      <c r="AI6" s="37"/>
      <c r="AJ6" s="37"/>
      <c r="AK6" s="37"/>
      <c r="AL6" s="37"/>
      <c r="AM6" s="37"/>
      <c r="AN6" s="37"/>
      <c r="AO6" s="37"/>
      <c r="AP6" s="17"/>
      <c r="AQ6" s="17"/>
      <c r="AR6" s="17"/>
      <c r="AS6" s="17"/>
      <c r="AT6" s="17"/>
      <c r="AU6" s="17"/>
      <c r="AV6" s="17"/>
      <c r="AW6" s="17"/>
      <c r="AX6" s="17"/>
      <c r="AY6" s="17"/>
      <c r="AZ6" s="17"/>
      <c r="BA6" s="17"/>
      <c r="BB6" s="17"/>
      <c r="BC6" s="17"/>
      <c r="BD6" s="17"/>
      <c r="BE6" s="17"/>
      <c r="BF6" s="17"/>
      <c r="BG6" s="17"/>
      <c r="BH6" s="17"/>
      <c r="BI6" s="17"/>
      <c r="BJ6" s="17"/>
      <c r="BK6" s="17"/>
      <c r="BL6" s="17"/>
      <c r="BM6" s="17"/>
      <c r="BN6" s="17"/>
      <c r="BO6" s="17"/>
      <c r="BP6" s="17"/>
      <c r="BQ6" s="17"/>
      <c r="BR6" s="17"/>
      <c r="BS6" s="17"/>
      <c r="BT6" s="17"/>
      <c r="BU6" s="17"/>
      <c r="BV6" s="17"/>
      <c r="BW6" s="17"/>
      <c r="BX6" s="17"/>
      <c r="BY6" s="17"/>
      <c r="BZ6" s="17"/>
      <c r="CA6" s="17"/>
      <c r="CB6" s="17"/>
      <c r="CC6" s="17"/>
      <c r="CD6" s="17"/>
      <c r="CE6" s="17"/>
      <c r="CF6" s="17"/>
      <c r="CG6" s="17"/>
      <c r="CH6" s="17"/>
      <c r="CI6" s="17"/>
      <c r="CJ6" s="17"/>
      <c r="CK6" s="17"/>
      <c r="CL6" s="17"/>
      <c r="CM6" s="17"/>
      <c r="CN6" s="17"/>
      <c r="CO6" s="17"/>
      <c r="CP6" s="17"/>
      <c r="CQ6" s="17"/>
      <c r="CR6" s="17"/>
      <c r="CS6" s="17"/>
      <c r="CT6" s="17"/>
      <c r="CU6" s="17"/>
      <c r="CV6" s="17"/>
      <c r="CW6" s="17"/>
      <c r="CX6" s="17"/>
      <c r="CY6" s="17"/>
      <c r="CZ6" s="17"/>
      <c r="DA6" s="17"/>
    </row>
    <row r="7" spans="1:105" ht="25.5">
      <c r="A7" s="38" t="s">
        <v>22</v>
      </c>
      <c r="B7" s="38" t="s">
        <v>23</v>
      </c>
      <c r="C7" s="38" t="s">
        <v>24</v>
      </c>
      <c r="D7" s="38" t="s">
        <v>25</v>
      </c>
      <c r="E7" s="38" t="s">
        <v>26</v>
      </c>
      <c r="F7" s="39" t="s">
        <v>27</v>
      </c>
      <c r="G7" s="38" t="s">
        <v>28</v>
      </c>
      <c r="H7" s="40" t="s">
        <v>29</v>
      </c>
      <c r="I7" s="40" t="s">
        <v>30</v>
      </c>
      <c r="J7" s="40" t="s">
        <v>31</v>
      </c>
      <c r="K7" s="40" t="s">
        <v>32</v>
      </c>
      <c r="L7" s="40" t="s">
        <v>33</v>
      </c>
      <c r="M7" s="40" t="s">
        <v>34</v>
      </c>
      <c r="N7" s="40" t="s">
        <v>35</v>
      </c>
      <c r="O7" s="41" t="s">
        <v>36</v>
      </c>
      <c r="P7" s="40" t="s">
        <v>28</v>
      </c>
      <c r="Q7" s="42" t="s">
        <v>37</v>
      </c>
      <c r="R7" s="43" t="s">
        <v>38</v>
      </c>
      <c r="S7" s="43" t="s">
        <v>39</v>
      </c>
      <c r="T7" s="43" t="s">
        <v>40</v>
      </c>
      <c r="U7" s="44"/>
      <c r="V7" s="44"/>
      <c r="W7" s="44"/>
      <c r="X7" s="44"/>
      <c r="Y7" s="44"/>
      <c r="Z7" s="44"/>
      <c r="AA7" s="44"/>
      <c r="AB7" s="44"/>
      <c r="AC7" s="44"/>
      <c r="AD7" s="44"/>
      <c r="AE7" s="37"/>
      <c r="AF7" s="37"/>
      <c r="AG7" s="37"/>
      <c r="AH7" s="37"/>
      <c r="AI7" s="37"/>
      <c r="AJ7" s="37"/>
      <c r="AK7" s="37"/>
      <c r="AL7" s="37"/>
      <c r="AM7" s="37"/>
      <c r="AN7" s="37"/>
      <c r="AO7" s="37"/>
      <c r="AP7" s="17"/>
      <c r="AQ7" s="17"/>
      <c r="AR7" s="17"/>
      <c r="AS7" s="17"/>
      <c r="AT7" s="17"/>
      <c r="AU7" s="17"/>
      <c r="AV7" s="17"/>
      <c r="AW7" s="17"/>
      <c r="AX7" s="17"/>
      <c r="AY7" s="17"/>
      <c r="AZ7" s="17"/>
      <c r="BA7" s="17"/>
      <c r="BB7" s="17"/>
      <c r="BC7" s="17"/>
      <c r="BD7" s="17"/>
      <c r="BE7" s="17"/>
      <c r="BF7" s="17"/>
      <c r="BG7" s="17"/>
      <c r="BH7" s="17"/>
      <c r="BI7" s="17"/>
      <c r="BJ7" s="17"/>
      <c r="BK7" s="17"/>
      <c r="BL7" s="17"/>
      <c r="BM7" s="17"/>
      <c r="BN7" s="17"/>
      <c r="BO7" s="17"/>
      <c r="BP7" s="17"/>
      <c r="BQ7" s="17"/>
      <c r="BR7" s="17"/>
      <c r="BS7" s="17"/>
      <c r="BT7" s="17"/>
      <c r="BU7" s="17"/>
      <c r="BV7" s="17"/>
      <c r="BW7" s="17"/>
      <c r="BX7" s="17"/>
      <c r="BY7" s="17"/>
      <c r="BZ7" s="17"/>
      <c r="CA7" s="17"/>
      <c r="CB7" s="17"/>
      <c r="CC7" s="17"/>
      <c r="CD7" s="17"/>
      <c r="CE7" s="17"/>
      <c r="CF7" s="17"/>
      <c r="CG7" s="17"/>
      <c r="CH7" s="17"/>
      <c r="CI7" s="17"/>
      <c r="CJ7" s="17"/>
      <c r="CK7" s="17"/>
      <c r="CL7" s="17"/>
      <c r="CM7" s="17"/>
      <c r="CN7" s="17"/>
      <c r="CO7" s="17"/>
      <c r="CP7" s="17"/>
      <c r="CQ7" s="17"/>
      <c r="CR7" s="17"/>
      <c r="CS7" s="17"/>
      <c r="CT7" s="17"/>
      <c r="CU7" s="17"/>
      <c r="CV7" s="17"/>
      <c r="CW7" s="17"/>
      <c r="CX7" s="17"/>
      <c r="CY7" s="17"/>
      <c r="CZ7" s="17"/>
      <c r="DA7" s="17"/>
    </row>
    <row r="8" spans="1:105">
      <c r="A8" s="45" t="str">
        <f>'Savings and Cost Analysis'!AQ13</f>
        <v>Exterior Lighting: Parking Lot - HPS 250W - New</v>
      </c>
      <c r="B8" s="45" t="str">
        <f>'Savings and Cost Analysis'!AT13</f>
        <v>Exterior Lighting: Parking Lot - HPS 250W to LED 135W - New</v>
      </c>
      <c r="C8" s="46">
        <f>'Savings and Cost Analysis'!BB13</f>
        <v>743.50510204081638</v>
      </c>
      <c r="D8" s="169">
        <f>'Savings and Cost Analysis'!BK13</f>
        <v>11.627906976744185</v>
      </c>
      <c r="E8" s="48">
        <f>'Savings and Cost Analysis'!BQ13</f>
        <v>83.017365819435099</v>
      </c>
      <c r="F8" s="48"/>
      <c r="G8" s="49" t="str">
        <f>'Savings and Cost Analysis'!BV13</f>
        <v>S-All-Lgt-Streetlight-All-All-U</v>
      </c>
      <c r="H8" s="47"/>
      <c r="I8" s="170"/>
      <c r="J8" s="169"/>
      <c r="K8" s="47"/>
      <c r="L8" s="47"/>
      <c r="M8" s="47"/>
      <c r="N8" s="47"/>
      <c r="O8" s="24"/>
      <c r="P8" s="50"/>
      <c r="Q8" s="51" t="str">
        <f>'Savings and Cost Analysis'!BW13</f>
        <v>L</v>
      </c>
      <c r="R8" s="47"/>
      <c r="S8" s="47"/>
      <c r="T8" s="47"/>
    </row>
    <row r="9" spans="1:105">
      <c r="A9" s="45" t="str">
        <f>'Savings and Cost Analysis'!AQ14</f>
        <v>Exterior Lighting: Parking Lot - MH 400W - New</v>
      </c>
      <c r="B9" s="45" t="str">
        <f>'Savings and Cost Analysis'!AT14</f>
        <v>Exterior Lighting: Parking Lot - MH 400W to LED 180W - New</v>
      </c>
      <c r="C9" s="46">
        <f>'Savings and Cost Analysis'!BB14</f>
        <v>1298.0734693877553</v>
      </c>
      <c r="D9" s="169">
        <f>'Savings and Cost Analysis'!BK14</f>
        <v>11.627906976744185</v>
      </c>
      <c r="E9" s="48">
        <f>'Savings and Cost Analysis'!BQ14</f>
        <v>134.02315442591345</v>
      </c>
      <c r="F9" s="48"/>
      <c r="G9" s="49" t="str">
        <f>'Savings and Cost Analysis'!BV14</f>
        <v>S-All-Lgt-Streetlight-All-All-U</v>
      </c>
      <c r="H9" s="24"/>
      <c r="I9" s="170"/>
      <c r="J9" s="169"/>
      <c r="K9" s="24"/>
      <c r="L9" s="24"/>
      <c r="M9" s="24"/>
      <c r="N9" s="24"/>
      <c r="O9" s="24"/>
      <c r="P9" s="50"/>
      <c r="Q9" s="51" t="str">
        <f>'Savings and Cost Analysis'!BW14</f>
        <v>L</v>
      </c>
      <c r="R9" s="24"/>
      <c r="S9" s="24"/>
      <c r="T9" s="24"/>
    </row>
    <row r="10" spans="1:105">
      <c r="A10" s="45" t="str">
        <f>'Savings and Cost Analysis'!AQ15</f>
        <v>Exterior Lighting: Parking Lot - MH 1000W - New</v>
      </c>
      <c r="B10" s="45" t="str">
        <f>'Savings and Cost Analysis'!AT15</f>
        <v>Exterior Lighting: Parking Lot - MH 1000W to LED 421W - New</v>
      </c>
      <c r="C10" s="46">
        <f>'Savings and Cost Analysis'!BB15</f>
        <v>3159.841836734694</v>
      </c>
      <c r="D10" s="169">
        <f>'Savings and Cost Analysis'!BK15</f>
        <v>11.627906976744185</v>
      </c>
      <c r="E10" s="48">
        <f>'Savings and Cost Analysis'!BQ15</f>
        <v>532.0694632777404</v>
      </c>
      <c r="F10" s="48"/>
      <c r="G10" s="49" t="str">
        <f>'Savings and Cost Analysis'!BV15</f>
        <v>S-All-Lgt-Streetlight-All-All-U</v>
      </c>
      <c r="H10" s="24"/>
      <c r="I10" s="170"/>
      <c r="J10" s="169"/>
      <c r="K10" s="24"/>
      <c r="L10" s="24"/>
      <c r="M10" s="24"/>
      <c r="N10" s="24"/>
      <c r="O10" s="24"/>
      <c r="P10" s="50"/>
      <c r="Q10" s="51" t="str">
        <f>'Savings and Cost Analysis'!BW15</f>
        <v>L</v>
      </c>
      <c r="R10" s="24"/>
      <c r="S10" s="24"/>
      <c r="T10" s="24"/>
    </row>
    <row r="11" spans="1:105">
      <c r="A11" s="45" t="str">
        <f>'Savings and Cost Analysis'!AQ16</f>
        <v>Exterior Lighting: Parking Lot - HPS 250W - NR</v>
      </c>
      <c r="B11" s="45" t="str">
        <f>'Savings and Cost Analysis'!AT16</f>
        <v>Exterior Lighting: Parking Lot - HPS 250W to LED 135W - NR</v>
      </c>
      <c r="C11" s="46">
        <f>'Savings and Cost Analysis'!BB16</f>
        <v>743.50510204081638</v>
      </c>
      <c r="D11" s="169">
        <f>'Savings and Cost Analysis'!BK16</f>
        <v>11.627906976744185</v>
      </c>
      <c r="E11" s="48">
        <f>'Savings and Cost Analysis'!BQ16</f>
        <v>260.08403248610176</v>
      </c>
      <c r="F11" s="24"/>
      <c r="G11" s="49" t="str">
        <f>'Savings and Cost Analysis'!BV16</f>
        <v>S-All-Lgt-Streetlight-All-All-U</v>
      </c>
      <c r="H11" s="24"/>
      <c r="I11" s="170"/>
      <c r="J11" s="169"/>
      <c r="K11" s="24"/>
      <c r="L11" s="24"/>
      <c r="M11" s="24"/>
      <c r="N11" s="24"/>
      <c r="O11" s="24"/>
      <c r="P11" s="24"/>
      <c r="Q11" s="51" t="str">
        <f>'Savings and Cost Analysis'!BW16</f>
        <v>L</v>
      </c>
      <c r="R11" s="24"/>
      <c r="S11" s="24"/>
      <c r="T11" s="24"/>
    </row>
    <row r="12" spans="1:105">
      <c r="A12" s="45" t="str">
        <f>'Savings and Cost Analysis'!AQ17</f>
        <v>Exterior Lighting: Parking Lot - MH 400W - NR</v>
      </c>
      <c r="B12" s="45" t="str">
        <f>'Savings and Cost Analysis'!AT17</f>
        <v>Exterior Lighting: Parking Lot - MH 400W to LED 180W - NR</v>
      </c>
      <c r="C12" s="46">
        <f>'Savings and Cost Analysis'!BB17</f>
        <v>1298.0734693877553</v>
      </c>
      <c r="D12" s="169">
        <f>'Savings and Cost Analysis'!BK17</f>
        <v>11.627906976744185</v>
      </c>
      <c r="E12" s="48">
        <f>'Savings and Cost Analysis'!BQ17</f>
        <v>338.08982109258011</v>
      </c>
      <c r="F12" s="24"/>
      <c r="G12" s="49" t="str">
        <f>'Savings and Cost Analysis'!BV17</f>
        <v>S-All-Lgt-Streetlight-All-All-U</v>
      </c>
      <c r="H12" s="24"/>
      <c r="I12" s="170"/>
      <c r="J12" s="169"/>
      <c r="K12" s="24"/>
      <c r="L12" s="24"/>
      <c r="M12" s="24"/>
      <c r="N12" s="24"/>
      <c r="O12" s="24"/>
      <c r="P12" s="24"/>
      <c r="Q12" s="51" t="str">
        <f>'Savings and Cost Analysis'!BW17</f>
        <v>L</v>
      </c>
      <c r="R12" s="24"/>
      <c r="S12" s="24"/>
      <c r="T12" s="24"/>
    </row>
    <row r="13" spans="1:105">
      <c r="A13" s="45" t="str">
        <f>'Savings and Cost Analysis'!AQ18</f>
        <v>Exterior Lighting: Parking Lot - MH 1000W - NR</v>
      </c>
      <c r="B13" s="45" t="str">
        <f>'Savings and Cost Analysis'!AT18</f>
        <v>Exterior Lighting: Parking Lot - MH 1000W to LED 421W - NR</v>
      </c>
      <c r="C13" s="46">
        <f>'Savings and Cost Analysis'!BB18</f>
        <v>3159.841836734694</v>
      </c>
      <c r="D13" s="169">
        <f>'Savings and Cost Analysis'!BK18</f>
        <v>11.627906976744185</v>
      </c>
      <c r="E13" s="48">
        <f>'Savings and Cost Analysis'!BQ18</f>
        <v>984.136129944407</v>
      </c>
      <c r="F13" s="24"/>
      <c r="G13" s="49" t="str">
        <f>'Savings and Cost Analysis'!BV18</f>
        <v>S-All-Lgt-Streetlight-All-All-U</v>
      </c>
      <c r="H13" s="24"/>
      <c r="I13" s="170"/>
      <c r="J13" s="169"/>
      <c r="K13" s="24"/>
      <c r="L13" s="24"/>
      <c r="M13" s="24"/>
      <c r="N13" s="24"/>
      <c r="O13" s="24"/>
      <c r="P13" s="24"/>
      <c r="Q13" s="51" t="str">
        <f>'Savings and Cost Analysis'!BW18</f>
        <v>L</v>
      </c>
      <c r="R13" s="24"/>
      <c r="S13" s="24"/>
      <c r="T13" s="24"/>
    </row>
    <row r="14" spans="1:105">
      <c r="A14" s="45" t="str">
        <f>'Savings and Cost Analysis'!AQ19</f>
        <v>Exterior Lighting: Parking Lot - HPS 250W - Retro</v>
      </c>
      <c r="B14" s="45" t="str">
        <f>'Savings and Cost Analysis'!AT19</f>
        <v>Exterior Lighting: Parking Lot - HPS 250W to LED 135W - Retro</v>
      </c>
      <c r="C14" s="46">
        <f>'Savings and Cost Analysis'!BB19</f>
        <v>743.50510204081638</v>
      </c>
      <c r="D14" s="169">
        <f>'Savings and Cost Analysis'!BK19</f>
        <v>11.627906976744185</v>
      </c>
      <c r="E14" s="48">
        <f>'Savings and Cost Analysis'!BQ19</f>
        <v>285.91736581943508</v>
      </c>
      <c r="G14" s="49" t="str">
        <f>'Savings and Cost Analysis'!BV19</f>
        <v>S-All-Lgt-Streetlight-All-All-U</v>
      </c>
      <c r="I14" s="170"/>
      <c r="J14" s="169"/>
      <c r="Q14" s="51" t="str">
        <f>'Savings and Cost Analysis'!BW19</f>
        <v>R</v>
      </c>
    </row>
    <row r="15" spans="1:105">
      <c r="A15" s="45" t="str">
        <f>'Savings and Cost Analysis'!AQ20</f>
        <v>Exterior Lighting: Parking Lot - MH 400W - Retro</v>
      </c>
      <c r="B15" s="45" t="str">
        <f>'Savings and Cost Analysis'!AT20</f>
        <v>Exterior Lighting: Parking Lot - MH 400W to LED 180W - Retro</v>
      </c>
      <c r="C15" s="46">
        <f>'Savings and Cost Analysis'!BB20</f>
        <v>1298.0734693877553</v>
      </c>
      <c r="D15" s="169">
        <f>'Savings and Cost Analysis'!BK20</f>
        <v>11.627906976744185</v>
      </c>
      <c r="E15" s="48">
        <f>'Savings and Cost Analysis'!BQ20</f>
        <v>366.92315442591342</v>
      </c>
      <c r="G15" s="49" t="str">
        <f>'Savings and Cost Analysis'!BV20</f>
        <v>S-All-Lgt-Streetlight-All-All-U</v>
      </c>
      <c r="I15" s="170"/>
      <c r="J15" s="169"/>
      <c r="Q15" s="51" t="str">
        <f>'Savings and Cost Analysis'!BW20</f>
        <v>R</v>
      </c>
    </row>
    <row r="16" spans="1:105">
      <c r="A16" s="45" t="str">
        <f>'Savings and Cost Analysis'!AQ21</f>
        <v>Exterior Lighting: Parking Lot - MH 1000W - Retro</v>
      </c>
      <c r="B16" s="45" t="str">
        <f>'Savings and Cost Analysis'!AT21</f>
        <v>Exterior Lighting: Parking Lot - MH 1000W to LED 421W - Retro</v>
      </c>
      <c r="C16" s="46">
        <f>'Savings and Cost Analysis'!BB21</f>
        <v>3159.841836734694</v>
      </c>
      <c r="D16" s="169">
        <f>'Savings and Cost Analysis'!BK21</f>
        <v>11.627906976744185</v>
      </c>
      <c r="E16" s="48">
        <f>'Savings and Cost Analysis'!BQ21</f>
        <v>1014.9694632777404</v>
      </c>
      <c r="G16" s="49" t="str">
        <f>'Savings and Cost Analysis'!BV21</f>
        <v>S-All-Lgt-Streetlight-All-All-U</v>
      </c>
      <c r="I16" s="170"/>
      <c r="J16" s="169"/>
      <c r="Q16" s="51" t="str">
        <f>'Savings and Cost Analysis'!BW21</f>
        <v>R</v>
      </c>
    </row>
    <row r="17" spans="1:17">
      <c r="A17" s="45" t="str">
        <f>'Savings and Cost Analysis'!AQ22</f>
        <v>Exterior Lighting: Façade - HID 150W - New</v>
      </c>
      <c r="B17" s="45" t="str">
        <f>'Savings and Cost Analysis'!AT22</f>
        <v>Exterior Lighting: Façade - HID 150W to LED 27W - New</v>
      </c>
      <c r="C17" s="46">
        <f>'Savings and Cost Analysis'!BB22</f>
        <v>649.36581632653053</v>
      </c>
      <c r="D17" s="169">
        <f>'Savings and Cost Analysis'!BK22</f>
        <v>16.279069767441861</v>
      </c>
      <c r="E17" s="48">
        <f>'Savings and Cost Analysis'!BQ22</f>
        <v>7.3019593555087283</v>
      </c>
      <c r="G17" s="49" t="str">
        <f>'Savings and Cost Analysis'!BV22</f>
        <v>S-All-Lgt-Streetlight-All-All-U</v>
      </c>
      <c r="I17" s="170"/>
      <c r="J17" s="169"/>
      <c r="Q17" s="51" t="str">
        <f>'Savings and Cost Analysis'!BW22</f>
        <v>L</v>
      </c>
    </row>
    <row r="18" spans="1:17">
      <c r="A18" s="45" t="str">
        <f>'Savings and Cost Analysis'!AQ23</f>
        <v>Exterior Lighting: Façade - HID 400W - New</v>
      </c>
      <c r="B18" s="45" t="str">
        <f>'Savings and Cost Analysis'!AT23</f>
        <v>Exterior Lighting: Façade - HID 400W to LED 82W - New</v>
      </c>
      <c r="C18" s="46">
        <f>'Savings and Cost Analysis'!BB23</f>
        <v>1606.9202380952379</v>
      </c>
      <c r="D18" s="169">
        <f>'Savings and Cost Analysis'!BK23</f>
        <v>16.279069767441861</v>
      </c>
      <c r="E18" s="48">
        <f>'Savings and Cost Analysis'!BQ23</f>
        <v>51.863052062075326</v>
      </c>
      <c r="G18" s="49" t="str">
        <f>'Savings and Cost Analysis'!BV23</f>
        <v>S-All-Lgt-Streetlight-All-All-U</v>
      </c>
      <c r="I18" s="170"/>
      <c r="J18" s="169"/>
      <c r="Q18" s="51" t="str">
        <f>'Savings and Cost Analysis'!BW23</f>
        <v>L</v>
      </c>
    </row>
    <row r="19" spans="1:17">
      <c r="A19" s="45" t="str">
        <f>'Savings and Cost Analysis'!AQ24</f>
        <v>Exterior Lighting: Façade - HID 150W - NR</v>
      </c>
      <c r="B19" s="45" t="str">
        <f>'Savings and Cost Analysis'!AT24</f>
        <v>Exterior Lighting: Façade - HID 150W to LED 27W - NR</v>
      </c>
      <c r="C19" s="46">
        <f>'Savings and Cost Analysis'!BB24</f>
        <v>649.36581632653053</v>
      </c>
      <c r="D19" s="169">
        <f>'Savings and Cost Analysis'!BK24</f>
        <v>16.279069767441861</v>
      </c>
      <c r="E19" s="48">
        <f>'Savings and Cost Analysis'!BQ24</f>
        <v>186.95819668884204</v>
      </c>
      <c r="G19" s="49" t="str">
        <f>'Savings and Cost Analysis'!BV24</f>
        <v>S-All-Lgt-Streetlight-All-All-U</v>
      </c>
      <c r="I19" s="170"/>
      <c r="J19" s="169"/>
      <c r="Q19" s="51" t="str">
        <f>'Savings and Cost Analysis'!BW24</f>
        <v>L</v>
      </c>
    </row>
    <row r="20" spans="1:17">
      <c r="A20" s="45" t="str">
        <f>'Savings and Cost Analysis'!AQ25</f>
        <v>Exterior Lighting: Façade - HID 400W - NR</v>
      </c>
      <c r="B20" s="45" t="str">
        <f>'Savings and Cost Analysis'!AT25</f>
        <v>Exterior Lighting: Façade - HID 400W to LED 82W - NR</v>
      </c>
      <c r="C20" s="46">
        <f>'Savings and Cost Analysis'!BB25</f>
        <v>1606.9202380952379</v>
      </c>
      <c r="D20" s="169">
        <f>'Savings and Cost Analysis'!BK25</f>
        <v>16.279069767441861</v>
      </c>
      <c r="E20" s="48">
        <f>'Savings and Cost Analysis'!BQ25</f>
        <v>332.28218672874203</v>
      </c>
      <c r="G20" s="49" t="str">
        <f>'Savings and Cost Analysis'!BV25</f>
        <v>S-All-Lgt-Streetlight-All-All-U</v>
      </c>
      <c r="I20" s="170"/>
      <c r="J20" s="169"/>
      <c r="Q20" s="51" t="str">
        <f>'Savings and Cost Analysis'!BW25</f>
        <v>L</v>
      </c>
    </row>
    <row r="21" spans="1:17">
      <c r="A21" s="45" t="str">
        <f>'Savings and Cost Analysis'!AQ26</f>
        <v>Exterior Lighting: Façade - HID 150W - Retro</v>
      </c>
      <c r="B21" s="45" t="str">
        <f>'Savings and Cost Analysis'!AT26</f>
        <v>Exterior Lighting: Façade - HID 150W to LED 27W - Retro</v>
      </c>
      <c r="C21" s="46">
        <f>'Savings and Cost Analysis'!BB26</f>
        <v>649.36581632653053</v>
      </c>
      <c r="D21" s="169">
        <f>'Savings and Cost Analysis'!BK26</f>
        <v>16.279069767441861</v>
      </c>
      <c r="E21" s="48">
        <f>'Savings and Cost Analysis'!BQ26</f>
        <v>228.79070335550873</v>
      </c>
      <c r="G21" s="49" t="str">
        <f>'Savings and Cost Analysis'!BV26</f>
        <v>S-All-Lgt-Streetlight-All-All-U</v>
      </c>
      <c r="I21" s="170"/>
      <c r="J21" s="169"/>
      <c r="Q21" s="51" t="str">
        <f>'Savings and Cost Analysis'!BW26</f>
        <v>R</v>
      </c>
    </row>
    <row r="22" spans="1:17">
      <c r="A22" s="45" t="str">
        <f>'Savings and Cost Analysis'!AQ27</f>
        <v>Exterior Lighting: Façade - HID 400W - Retro</v>
      </c>
      <c r="B22" s="45" t="str">
        <f>'Savings and Cost Analysis'!AT27</f>
        <v>Exterior Lighting: Façade - HID 400W to LED 82W - Retro</v>
      </c>
      <c r="C22" s="46">
        <f>'Savings and Cost Analysis'!BB27</f>
        <v>1606.9202380952379</v>
      </c>
      <c r="D22" s="169">
        <f>'Savings and Cost Analysis'!BK27</f>
        <v>16.279069767441861</v>
      </c>
      <c r="E22" s="48">
        <f>'Savings and Cost Analysis'!BQ27</f>
        <v>371.54658006207535</v>
      </c>
      <c r="G22" s="49" t="str">
        <f>'Savings and Cost Analysis'!BV27</f>
        <v>S-All-Lgt-Streetlight-All-All-U</v>
      </c>
      <c r="I22" s="170"/>
      <c r="J22" s="169"/>
      <c r="Q22" s="51" t="str">
        <f>'Savings and Cost Analysis'!BW27</f>
        <v>R</v>
      </c>
    </row>
    <row r="23" spans="1:17">
      <c r="A23" s="45" t="str">
        <f>'Savings and Cost Analysis'!AQ28</f>
        <v>Exterior Lighting: Walkway - HID 150W - New</v>
      </c>
      <c r="B23" s="45" t="str">
        <f>'Savings and Cost Analysis'!AT28</f>
        <v>Exterior Lighting: Walkway - HID 150W to LED 28W - New</v>
      </c>
      <c r="C23" s="46">
        <f>'Savings and Cost Analysis'!BB28</f>
        <v>647.87397959183659</v>
      </c>
      <c r="D23" s="169">
        <f>'Savings and Cost Analysis'!BK28</f>
        <v>16.279069767441861</v>
      </c>
      <c r="E23" s="48">
        <f>'Savings and Cost Analysis'!BQ28</f>
        <v>6.6707622506870052</v>
      </c>
      <c r="G23" s="49" t="str">
        <f>'Savings and Cost Analysis'!BV28</f>
        <v>S-All-Lgt-Streetlight-All-All-U</v>
      </c>
      <c r="I23" s="170"/>
      <c r="J23" s="169"/>
      <c r="Q23" s="51" t="str">
        <f>'Savings and Cost Analysis'!BW28</f>
        <v>L</v>
      </c>
    </row>
    <row r="24" spans="1:17">
      <c r="A24" s="45" t="str">
        <f>'Savings and Cost Analysis'!AQ29</f>
        <v>Exterior Lighting: Walkway - CFL 26W - New</v>
      </c>
      <c r="B24" s="45" t="str">
        <f>'Savings and Cost Analysis'!AT29</f>
        <v>Exterior Lighting: Walkway - CFL 26W to LED 12W - New</v>
      </c>
      <c r="C24" s="46">
        <f>'Savings and Cost Analysis'!BB29</f>
        <v>68.226666666666659</v>
      </c>
      <c r="D24" s="169">
        <f>'Savings and Cost Analysis'!BK29</f>
        <v>6.6762790697674417</v>
      </c>
      <c r="E24" s="48">
        <f>'Savings and Cost Analysis'!BQ29</f>
        <v>4.0008899869194874</v>
      </c>
      <c r="G24" s="49" t="str">
        <f>'Savings and Cost Analysis'!BV29</f>
        <v>S-All-Lgt-Streetlight-All-All-U</v>
      </c>
      <c r="I24" s="170"/>
      <c r="J24" s="169"/>
      <c r="Q24" s="51" t="str">
        <f>'Savings and Cost Analysis'!BW29</f>
        <v>L</v>
      </c>
    </row>
    <row r="25" spans="1:17">
      <c r="A25" s="45" t="str">
        <f>'Savings and Cost Analysis'!AQ30</f>
        <v>Exterior Lighting: Walkway - INC 75W - New</v>
      </c>
      <c r="B25" s="45" t="str">
        <f>'Savings and Cost Analysis'!AT30</f>
        <v>Exterior Lighting: Walkway - INC 75W to LED 12W - New</v>
      </c>
      <c r="C25" s="46">
        <f>'Savings and Cost Analysis'!BB30</f>
        <v>278.92666666666668</v>
      </c>
      <c r="D25" s="169">
        <f>'Savings and Cost Analysis'!BK30</f>
        <v>6.6762790697674417</v>
      </c>
      <c r="E25" s="48">
        <f>'Savings and Cost Analysis'!BQ30</f>
        <v>4.7789999869194872</v>
      </c>
      <c r="G25" s="49" t="str">
        <f>'Savings and Cost Analysis'!BV30</f>
        <v>S-All-Lgt-Streetlight-All-All-U</v>
      </c>
      <c r="I25" s="170"/>
      <c r="J25" s="169"/>
      <c r="Q25" s="51" t="str">
        <f>'Savings and Cost Analysis'!BW30</f>
        <v>L</v>
      </c>
    </row>
    <row r="26" spans="1:17">
      <c r="A26" s="45" t="str">
        <f>'Savings and Cost Analysis'!AQ31</f>
        <v>Exterior Lighting: Walkway - HID 150W - NR</v>
      </c>
      <c r="B26" s="45" t="str">
        <f>'Savings and Cost Analysis'!AT31</f>
        <v>Exterior Lighting: Walkway - HID 150W to LED 29W - NR</v>
      </c>
      <c r="C26" s="46">
        <f>'Savings and Cost Analysis'!BB31</f>
        <v>640.16615646258492</v>
      </c>
      <c r="D26" s="169">
        <f>'Savings and Cost Analysis'!BK31</f>
        <v>13.953488372093023</v>
      </c>
      <c r="E26" s="48">
        <f>'Savings and Cost Analysis'!BQ31</f>
        <v>154.26033291735365</v>
      </c>
      <c r="G26" s="49" t="str">
        <f>'Savings and Cost Analysis'!BV31</f>
        <v>S-All-Lgt-Streetlight-All-All-U</v>
      </c>
      <c r="I26" s="170"/>
      <c r="J26" s="169"/>
      <c r="Q26" s="51" t="str">
        <f>'Savings and Cost Analysis'!BW31</f>
        <v>L</v>
      </c>
    </row>
    <row r="27" spans="1:17">
      <c r="A27" s="45" t="str">
        <f>'Savings and Cost Analysis'!AQ32</f>
        <v>Exterior Lighting: Walkway - CFL 26W - NR</v>
      </c>
      <c r="B27" s="45" t="str">
        <f>'Savings and Cost Analysis'!AT32</f>
        <v>Exterior Lighting: Walkway - CFL 26W to LED 12W - NR</v>
      </c>
      <c r="C27" s="46">
        <f>'Savings and Cost Analysis'!BB32</f>
        <v>68.226666666666659</v>
      </c>
      <c r="D27" s="169">
        <f>'Savings and Cost Analysis'!BK32</f>
        <v>6.6762790697674417</v>
      </c>
      <c r="E27" s="48">
        <f>'Savings and Cost Analysis'!BQ32</f>
        <v>4.0008899869194874</v>
      </c>
      <c r="G27" s="49" t="str">
        <f>'Savings and Cost Analysis'!BV32</f>
        <v>S-All-Lgt-Streetlight-All-All-U</v>
      </c>
      <c r="I27" s="170"/>
      <c r="J27" s="169"/>
      <c r="Q27" s="51" t="str">
        <f>'Savings and Cost Analysis'!BW32</f>
        <v>L</v>
      </c>
    </row>
    <row r="28" spans="1:17">
      <c r="A28" s="45" t="str">
        <f>'Savings and Cost Analysis'!AQ33</f>
        <v>Exterior Lighting: Walkway - INC 75W - NR</v>
      </c>
      <c r="B28" s="45" t="str">
        <f>'Savings and Cost Analysis'!AT33</f>
        <v>Exterior Lighting: Walkway - INC 75W to LED 12W - NR</v>
      </c>
      <c r="C28" s="46">
        <f>'Savings and Cost Analysis'!BB33</f>
        <v>278.92666666666668</v>
      </c>
      <c r="D28" s="169">
        <f>'Savings and Cost Analysis'!BK33</f>
        <v>6.6762790697674417</v>
      </c>
      <c r="E28" s="48">
        <f>'Savings and Cost Analysis'!BQ33</f>
        <v>4.7789999869194872</v>
      </c>
      <c r="G28" s="49" t="str">
        <f>'Savings and Cost Analysis'!BV33</f>
        <v>S-All-Lgt-Streetlight-All-All-U</v>
      </c>
      <c r="I28" s="170"/>
      <c r="J28" s="169"/>
      <c r="Q28" s="51" t="str">
        <f>'Savings and Cost Analysis'!BW33</f>
        <v>L</v>
      </c>
    </row>
    <row r="29" spans="1:17">
      <c r="A29" s="45" t="str">
        <f>'Savings and Cost Analysis'!AQ34</f>
        <v>Exterior Lighting: Walkway - HID 150W - Retro</v>
      </c>
      <c r="B29" s="45" t="str">
        <f>'Savings and Cost Analysis'!AT34</f>
        <v>Exterior Lighting: Walkway - HID 150W to LED 29W - Retro</v>
      </c>
      <c r="C29" s="46">
        <f>'Savings and Cost Analysis'!BB34</f>
        <v>640.16615646258492</v>
      </c>
      <c r="D29" s="169">
        <f>'Savings and Cost Analysis'!BK34</f>
        <v>13.953488372093023</v>
      </c>
      <c r="E29" s="48">
        <f>'Savings and Cost Analysis'!BQ34</f>
        <v>210.259506250687</v>
      </c>
      <c r="G29" s="49" t="str">
        <f>'Savings and Cost Analysis'!BV34</f>
        <v>S-All-Lgt-Streetlight-All-All-U</v>
      </c>
      <c r="I29" s="170"/>
      <c r="J29" s="169"/>
      <c r="Q29" s="51" t="str">
        <f>'Savings and Cost Analysis'!BW34</f>
        <v>R</v>
      </c>
    </row>
    <row r="30" spans="1:17">
      <c r="A30" s="45" t="str">
        <f>'Savings and Cost Analysis'!AQ35</f>
        <v>Exterior Lighting: Walkway - CFL 26W - Retro</v>
      </c>
      <c r="B30" s="45" t="str">
        <f>'Savings and Cost Analysis'!AT35</f>
        <v>Exterior Lighting: Walkway - CFL 26W to LED 12W - Retro</v>
      </c>
      <c r="C30" s="46">
        <f>'Savings and Cost Analysis'!BB35</f>
        <v>68.226666666666659</v>
      </c>
      <c r="D30" s="169">
        <f>'Savings and Cost Analysis'!BK35</f>
        <v>6.6762790697674417</v>
      </c>
      <c r="E30" s="48">
        <f>'Savings and Cost Analysis'!BQ35</f>
        <v>30.451059986919489</v>
      </c>
      <c r="G30" s="49" t="str">
        <f>'Savings and Cost Analysis'!BV35</f>
        <v>S-All-Lgt-Streetlight-All-All-U</v>
      </c>
      <c r="I30" s="170"/>
      <c r="J30" s="169"/>
      <c r="Q30" s="51" t="str">
        <f>'Savings and Cost Analysis'!BW35</f>
        <v>R</v>
      </c>
    </row>
    <row r="31" spans="1:17">
      <c r="A31" s="45" t="str">
        <f>'Savings and Cost Analysis'!AQ36</f>
        <v>Exterior Lighting: Walkway - INC 75W - Retro</v>
      </c>
      <c r="B31" s="45" t="str">
        <f>'Savings and Cost Analysis'!AT36</f>
        <v>Exterior Lighting: Walkway - INC 75W to LED 12W - Retro</v>
      </c>
      <c r="C31" s="46">
        <f>'Savings and Cost Analysis'!BB36</f>
        <v>278.92666666666668</v>
      </c>
      <c r="D31" s="169">
        <f>'Savings and Cost Analysis'!BK36</f>
        <v>6.6762790697674417</v>
      </c>
      <c r="E31" s="48">
        <f>'Savings and Cost Analysis'!BQ36</f>
        <v>30.451059986919489</v>
      </c>
      <c r="G31" s="49" t="str">
        <f>'Savings and Cost Analysis'!BV36</f>
        <v>S-All-Lgt-Streetlight-All-All-U</v>
      </c>
      <c r="I31" s="170"/>
      <c r="J31" s="169"/>
      <c r="Q31" s="51" t="str">
        <f>'Savings and Cost Analysis'!BW36</f>
        <v>R</v>
      </c>
    </row>
    <row r="34" spans="1:131">
      <c r="A34" s="24"/>
      <c r="B34" s="24"/>
      <c r="C34" s="24"/>
      <c r="D34" s="24"/>
      <c r="E34" s="24"/>
      <c r="F34" s="24"/>
      <c r="G34" s="24"/>
      <c r="H34" s="24"/>
      <c r="I34" s="24"/>
      <c r="J34" s="24"/>
      <c r="K34" s="24"/>
      <c r="L34" s="24"/>
      <c r="M34" s="24"/>
      <c r="N34" s="24"/>
      <c r="O34" s="24"/>
      <c r="P34" s="24"/>
      <c r="Q34" s="24"/>
      <c r="R34" s="24"/>
      <c r="S34" s="24"/>
      <c r="T34" s="24"/>
      <c r="U34" s="24"/>
      <c r="V34" s="24"/>
      <c r="W34" s="24"/>
      <c r="X34" s="24"/>
      <c r="Y34" s="24"/>
      <c r="Z34" s="24"/>
      <c r="AA34" s="24"/>
      <c r="AB34" s="24"/>
      <c r="AC34" s="24"/>
      <c r="AD34" s="24"/>
      <c r="AE34" s="24"/>
      <c r="AF34" s="24"/>
      <c r="AG34" s="24"/>
      <c r="AH34" s="24"/>
      <c r="AI34" s="24"/>
      <c r="AJ34" s="24"/>
      <c r="AK34" s="24"/>
      <c r="AL34" s="24"/>
      <c r="AM34" s="24"/>
      <c r="AN34" s="24"/>
      <c r="AO34" s="24"/>
      <c r="AP34" s="24"/>
      <c r="AQ34" s="24"/>
      <c r="AR34" s="24"/>
      <c r="AS34" s="24"/>
      <c r="AT34" s="24"/>
      <c r="AU34" s="24"/>
      <c r="AV34" s="24"/>
      <c r="AW34" s="24"/>
      <c r="AX34" s="24"/>
      <c r="AY34" s="24"/>
      <c r="AZ34" s="24"/>
      <c r="BA34" s="24"/>
      <c r="BB34" s="24"/>
      <c r="BC34" s="24"/>
      <c r="BD34" s="24"/>
      <c r="BE34" s="24"/>
      <c r="BF34" s="24"/>
      <c r="BG34" s="24"/>
      <c r="BH34" s="24"/>
      <c r="BI34" s="24"/>
      <c r="BJ34" s="24"/>
      <c r="BK34" s="24"/>
      <c r="BL34" s="24"/>
      <c r="BM34" s="24"/>
      <c r="BN34" s="24"/>
      <c r="BO34" s="24"/>
      <c r="BP34" s="24"/>
      <c r="BQ34" s="24"/>
      <c r="BR34" s="24"/>
      <c r="BS34" s="24"/>
      <c r="BT34" s="24"/>
      <c r="BU34" s="24"/>
      <c r="BV34" s="24"/>
      <c r="BW34" s="24"/>
      <c r="BX34" s="24"/>
      <c r="BY34" s="24"/>
      <c r="BZ34" s="24"/>
      <c r="CA34" s="24"/>
      <c r="CB34" s="24"/>
      <c r="CC34" s="24"/>
      <c r="CD34" s="24"/>
      <c r="CE34" s="24"/>
      <c r="CF34" s="24"/>
      <c r="CG34" s="24"/>
      <c r="CH34" s="24"/>
      <c r="CI34" s="24"/>
      <c r="CJ34" s="24"/>
      <c r="CK34" s="24"/>
      <c r="CL34" s="24"/>
      <c r="CM34" s="24"/>
      <c r="CN34" s="24"/>
      <c r="CO34" s="24"/>
      <c r="CP34" s="24"/>
      <c r="CQ34" s="24"/>
      <c r="CR34" s="24"/>
      <c r="CS34" s="24"/>
      <c r="CT34" s="24"/>
      <c r="CU34" s="24"/>
      <c r="CV34" s="24"/>
      <c r="CW34" s="24"/>
      <c r="CX34" s="24"/>
      <c r="CY34" s="24"/>
      <c r="CZ34" s="24"/>
      <c r="DA34" s="24"/>
      <c r="DB34" s="24"/>
      <c r="DC34" s="24"/>
      <c r="DD34" s="24"/>
      <c r="DE34" s="24"/>
      <c r="DF34" s="24"/>
      <c r="DG34" s="24"/>
      <c r="DH34" s="24"/>
      <c r="DI34" s="24"/>
      <c r="DJ34" s="24"/>
      <c r="DK34" s="24"/>
      <c r="DL34" s="24"/>
      <c r="DM34" s="24"/>
      <c r="DN34" s="24"/>
      <c r="DO34" s="24"/>
      <c r="DP34" s="24"/>
      <c r="DQ34" s="24"/>
      <c r="DR34" s="24"/>
      <c r="DS34" s="24"/>
      <c r="DT34" s="24"/>
      <c r="DU34" s="24"/>
      <c r="DV34" s="24"/>
      <c r="DW34" s="24"/>
      <c r="DX34" s="24"/>
      <c r="DY34" s="24"/>
      <c r="DZ34" s="24"/>
      <c r="EA34" s="24"/>
    </row>
    <row r="35" spans="1:131">
      <c r="A35" s="201" t="s">
        <v>437</v>
      </c>
      <c r="B35" s="202"/>
      <c r="C35" s="24"/>
      <c r="D35" s="24"/>
      <c r="E35" s="24"/>
      <c r="F35" s="24"/>
      <c r="G35" s="2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c r="AP35" s="24"/>
      <c r="AQ35" s="24"/>
      <c r="AR35" s="24"/>
      <c r="AS35" s="24"/>
      <c r="AT35" s="24"/>
      <c r="AU35" s="24"/>
      <c r="AV35" s="24"/>
      <c r="AW35" s="24"/>
      <c r="AX35" s="24"/>
      <c r="AY35" s="24"/>
      <c r="AZ35" s="24"/>
      <c r="BA35" s="24"/>
      <c r="BB35" s="24"/>
      <c r="BC35" s="24"/>
      <c r="BD35" s="24"/>
      <c r="BE35" s="24"/>
      <c r="BF35" s="24"/>
      <c r="BG35" s="24"/>
      <c r="BH35" s="24"/>
      <c r="BI35" s="24"/>
      <c r="BJ35" s="24"/>
      <c r="BK35" s="24"/>
      <c r="BL35" s="24"/>
      <c r="BM35" s="24"/>
      <c r="BN35" s="24"/>
      <c r="BO35" s="24"/>
      <c r="BP35" s="24"/>
      <c r="BQ35" s="24"/>
      <c r="BR35" s="24"/>
      <c r="BS35" s="24"/>
      <c r="BT35" s="24"/>
      <c r="BU35" s="24"/>
      <c r="BV35" s="24"/>
      <c r="BW35" s="24"/>
      <c r="BX35" s="24"/>
      <c r="BY35" s="24"/>
      <c r="BZ35" s="24"/>
      <c r="CA35" s="24"/>
      <c r="CB35" s="24"/>
      <c r="CC35" s="24"/>
      <c r="CD35" s="24"/>
      <c r="CE35" s="24"/>
      <c r="CF35" s="24"/>
      <c r="CG35" s="24"/>
      <c r="CH35" s="24"/>
      <c r="CI35" s="24"/>
      <c r="CJ35" s="24"/>
      <c r="CK35" s="24"/>
      <c r="CL35" s="24"/>
      <c r="CM35" s="24"/>
      <c r="CN35" s="24"/>
      <c r="CO35" s="24"/>
      <c r="CP35" s="24"/>
      <c r="CQ35" s="24"/>
      <c r="CR35" s="24"/>
      <c r="CS35" s="24"/>
      <c r="CT35" s="24"/>
      <c r="CU35" s="24"/>
      <c r="CV35" s="24"/>
      <c r="CW35" s="24"/>
      <c r="CX35" s="24"/>
      <c r="CY35" s="24"/>
      <c r="CZ35" s="24"/>
      <c r="DA35" s="24"/>
      <c r="DB35" s="24"/>
      <c r="DC35" s="24"/>
      <c r="DD35" s="24"/>
      <c r="DE35" s="24"/>
      <c r="DF35" s="24"/>
      <c r="DG35" s="24"/>
      <c r="DH35" s="24"/>
      <c r="DI35" s="24"/>
      <c r="DJ35" s="24"/>
      <c r="DK35" s="24"/>
      <c r="DL35" s="24"/>
      <c r="DM35" s="24"/>
      <c r="DN35" s="24"/>
      <c r="DO35" s="24"/>
      <c r="DP35" s="24"/>
      <c r="DQ35" s="24"/>
      <c r="DR35" s="24"/>
      <c r="DS35" s="24"/>
      <c r="DT35" s="24"/>
      <c r="DU35" s="24"/>
      <c r="DV35" s="24"/>
      <c r="DW35" s="24"/>
      <c r="DX35" s="24"/>
      <c r="DY35" s="24"/>
      <c r="DZ35" s="24"/>
      <c r="EA35" s="24"/>
    </row>
    <row r="36" spans="1:131">
      <c r="A36" s="24" t="s">
        <v>438</v>
      </c>
      <c r="B36" s="24" t="s">
        <v>439</v>
      </c>
      <c r="C36" s="24"/>
      <c r="D36" s="24"/>
      <c r="E36" s="24"/>
      <c r="F36" s="24"/>
      <c r="G36" s="24"/>
      <c r="H36" s="24"/>
      <c r="I36" s="24"/>
      <c r="J36" s="24"/>
      <c r="K36" s="24"/>
      <c r="L36" s="24"/>
      <c r="M36" s="24"/>
      <c r="N36" s="24"/>
      <c r="O36" s="24"/>
      <c r="P36" s="24"/>
      <c r="Q36" s="24"/>
      <c r="R36" s="24"/>
      <c r="S36" s="24"/>
      <c r="T36" s="24"/>
      <c r="U36" s="24"/>
      <c r="V36" s="24"/>
      <c r="W36" s="24"/>
      <c r="X36" s="24"/>
      <c r="Y36" s="24"/>
      <c r="Z36" s="24"/>
      <c r="AA36" s="24"/>
      <c r="AB36" s="24"/>
      <c r="AC36" s="24"/>
      <c r="AD36" s="24"/>
      <c r="AE36" s="24"/>
      <c r="AF36" s="24"/>
      <c r="AG36" s="24"/>
      <c r="AH36" s="24"/>
      <c r="AI36" s="24"/>
      <c r="AJ36" s="24"/>
      <c r="AK36" s="24"/>
      <c r="AL36" s="24"/>
      <c r="AM36" s="24"/>
      <c r="AN36" s="24"/>
      <c r="AO36" s="24"/>
      <c r="AP36" s="24"/>
      <c r="AQ36" s="24"/>
      <c r="AR36" s="24"/>
      <c r="AS36" s="24"/>
      <c r="AT36" s="24"/>
      <c r="AU36" s="24"/>
      <c r="AV36" s="24"/>
      <c r="AW36" s="24"/>
      <c r="AX36" s="24"/>
      <c r="AY36" s="24"/>
      <c r="AZ36" s="24"/>
      <c r="BA36" s="24"/>
      <c r="BB36" s="24"/>
      <c r="BC36" s="24"/>
      <c r="BD36" s="24"/>
      <c r="BE36" s="24"/>
      <c r="BF36" s="24"/>
      <c r="BG36" s="24"/>
      <c r="BH36" s="24"/>
      <c r="BI36" s="24"/>
      <c r="BJ36" s="24"/>
      <c r="BK36" s="24"/>
      <c r="BL36" s="24"/>
      <c r="BM36" s="24"/>
      <c r="BN36" s="24"/>
      <c r="BO36" s="24"/>
      <c r="BP36" s="24"/>
      <c r="BQ36" s="24"/>
      <c r="BR36" s="24"/>
      <c r="BS36" s="24"/>
      <c r="BT36" s="24"/>
      <c r="BU36" s="24"/>
      <c r="BV36" s="24"/>
      <c r="BW36" s="24"/>
      <c r="BX36" s="24"/>
      <c r="BY36" s="24"/>
      <c r="BZ36" s="24"/>
      <c r="CA36" s="24"/>
      <c r="CB36" s="24"/>
      <c r="CC36" s="24"/>
      <c r="CD36" s="24"/>
      <c r="CE36" s="24"/>
      <c r="CF36" s="24"/>
      <c r="CG36" s="24"/>
      <c r="CH36" s="24"/>
      <c r="CI36" s="24"/>
      <c r="CJ36" s="24"/>
      <c r="CK36" s="24"/>
      <c r="CL36" s="24"/>
      <c r="CM36" s="24"/>
      <c r="CN36" s="24"/>
      <c r="CO36" s="24"/>
      <c r="CP36" s="24"/>
      <c r="CQ36" s="24"/>
      <c r="CR36" s="24"/>
      <c r="CS36" s="24"/>
      <c r="CT36" s="24"/>
      <c r="CU36" s="24"/>
      <c r="CV36" s="24"/>
      <c r="CW36" s="24"/>
      <c r="CX36" s="24"/>
      <c r="CY36" s="24"/>
      <c r="CZ36" s="24"/>
      <c r="DA36" s="24"/>
      <c r="DB36" s="24"/>
      <c r="DC36" s="24"/>
      <c r="DD36" s="24"/>
      <c r="DE36" s="24"/>
      <c r="DF36" s="24"/>
      <c r="DG36" s="24"/>
      <c r="DH36" s="24"/>
      <c r="DI36" s="24"/>
      <c r="DJ36" s="24"/>
      <c r="DK36" s="24"/>
      <c r="DL36" s="24"/>
      <c r="DM36" s="24"/>
      <c r="DN36" s="24"/>
      <c r="DO36" s="24"/>
      <c r="DP36" s="24"/>
      <c r="DQ36" s="24"/>
      <c r="DR36" s="24"/>
      <c r="DS36" s="24"/>
      <c r="DT36" s="24"/>
      <c r="DU36" s="24"/>
      <c r="DV36" s="24"/>
      <c r="DW36" s="24"/>
      <c r="DX36" s="24"/>
      <c r="DY36" s="24"/>
      <c r="DZ36" s="24"/>
      <c r="EA36" s="24"/>
    </row>
    <row r="37" spans="1:131">
      <c r="A37" s="24" t="s">
        <v>440</v>
      </c>
      <c r="B37" s="24" t="s">
        <v>1061</v>
      </c>
      <c r="C37" s="24"/>
      <c r="D37" s="24"/>
      <c r="E37" s="24"/>
      <c r="F37" s="24"/>
      <c r="G37" s="24"/>
      <c r="H37" s="24"/>
      <c r="I37" s="24"/>
      <c r="J37" s="24"/>
      <c r="K37" s="24"/>
      <c r="L37" s="24"/>
      <c r="M37" s="24"/>
      <c r="N37" s="24"/>
      <c r="O37" s="24"/>
      <c r="P37" s="24"/>
      <c r="Q37" s="24"/>
      <c r="R37" s="24"/>
      <c r="S37" s="24"/>
      <c r="T37" s="24"/>
      <c r="U37" s="24"/>
      <c r="V37" s="24"/>
      <c r="W37" s="24"/>
      <c r="X37" s="24"/>
      <c r="Y37" s="24"/>
      <c r="Z37" s="24"/>
      <c r="AA37" s="24"/>
      <c r="AB37" s="24"/>
      <c r="AC37" s="24"/>
      <c r="AD37" s="24"/>
      <c r="AE37" s="24"/>
      <c r="AF37" s="24"/>
      <c r="AG37" s="24"/>
      <c r="AH37" s="24"/>
      <c r="AI37" s="24"/>
      <c r="AJ37" s="24"/>
      <c r="AK37" s="24"/>
      <c r="AL37" s="24"/>
      <c r="AM37" s="24"/>
      <c r="AN37" s="24"/>
      <c r="AO37" s="24"/>
      <c r="AP37" s="24"/>
      <c r="AQ37" s="24"/>
      <c r="AR37" s="24"/>
      <c r="AS37" s="24"/>
      <c r="AT37" s="24"/>
      <c r="AU37" s="24"/>
      <c r="AV37" s="24"/>
      <c r="AW37" s="24"/>
      <c r="AX37" s="24"/>
      <c r="AY37" s="24"/>
      <c r="AZ37" s="24"/>
      <c r="BA37" s="24"/>
      <c r="BB37" s="24"/>
      <c r="BC37" s="24"/>
      <c r="BD37" s="24"/>
      <c r="BE37" s="24"/>
      <c r="BF37" s="24"/>
      <c r="BG37" s="24"/>
      <c r="BH37" s="24"/>
      <c r="BI37" s="24"/>
      <c r="BJ37" s="24"/>
      <c r="BK37" s="24"/>
      <c r="BL37" s="24"/>
      <c r="BM37" s="24"/>
      <c r="BN37" s="24"/>
      <c r="BO37" s="24"/>
      <c r="BP37" s="24"/>
      <c r="BQ37" s="24"/>
      <c r="BR37" s="24"/>
      <c r="BS37" s="24"/>
      <c r="BT37" s="24"/>
      <c r="BU37" s="24"/>
      <c r="BV37" s="24"/>
      <c r="BW37" s="24"/>
      <c r="BX37" s="24"/>
      <c r="BY37" s="24"/>
      <c r="BZ37" s="24"/>
      <c r="CA37" s="24"/>
      <c r="CB37" s="24"/>
      <c r="CC37" s="24"/>
      <c r="CD37" s="24"/>
      <c r="CE37" s="24"/>
      <c r="CF37" s="24"/>
      <c r="CG37" s="24"/>
      <c r="CH37" s="24"/>
      <c r="CI37" s="24"/>
      <c r="CJ37" s="24"/>
      <c r="CK37" s="24"/>
      <c r="CL37" s="24"/>
      <c r="CM37" s="24"/>
      <c r="CN37" s="24"/>
      <c r="CO37" s="24"/>
      <c r="CP37" s="24"/>
      <c r="CQ37" s="24"/>
      <c r="CR37" s="24"/>
      <c r="CS37" s="24"/>
      <c r="CT37" s="24"/>
      <c r="CU37" s="24"/>
      <c r="CV37" s="24"/>
      <c r="CW37" s="24"/>
      <c r="CX37" s="24"/>
      <c r="CY37" s="24"/>
      <c r="CZ37" s="24"/>
      <c r="DA37" s="24"/>
      <c r="DB37" s="24"/>
      <c r="DC37" s="24"/>
      <c r="DD37" s="24"/>
      <c r="DE37" s="24"/>
      <c r="DF37" s="24"/>
      <c r="DG37" s="24"/>
      <c r="DH37" s="24"/>
      <c r="DI37" s="24"/>
      <c r="DJ37" s="24"/>
      <c r="DK37" s="24"/>
      <c r="DL37" s="24"/>
      <c r="DM37" s="24"/>
      <c r="DN37" s="24"/>
      <c r="DO37" s="24"/>
      <c r="DP37" s="24"/>
      <c r="DQ37" s="24"/>
      <c r="DR37" s="24"/>
      <c r="DS37" s="24"/>
      <c r="DT37" s="24"/>
      <c r="DU37" s="24"/>
      <c r="DV37" s="24"/>
      <c r="DW37" s="24"/>
      <c r="DX37" s="24"/>
      <c r="DY37" s="24"/>
      <c r="DZ37" s="24"/>
      <c r="EA37" s="24"/>
    </row>
    <row r="38" spans="1:131">
      <c r="A38" s="24"/>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c r="AN38" s="24"/>
      <c r="AO38" s="24"/>
      <c r="AP38" s="24"/>
      <c r="AQ38" s="24"/>
      <c r="AR38" s="24"/>
      <c r="AS38" s="24"/>
      <c r="AT38" s="24"/>
      <c r="AU38" s="24"/>
      <c r="AV38" s="24"/>
      <c r="AW38" s="24"/>
      <c r="AX38" s="24"/>
      <c r="AY38" s="24"/>
      <c r="AZ38" s="24"/>
      <c r="BA38" s="24"/>
      <c r="BB38" s="24"/>
      <c r="BC38" s="24"/>
      <c r="BD38" s="24"/>
      <c r="BE38" s="24"/>
      <c r="BF38" s="24"/>
      <c r="BG38" s="24"/>
      <c r="BH38" s="24"/>
      <c r="BI38" s="24"/>
      <c r="BJ38" s="24"/>
      <c r="BK38" s="24"/>
      <c r="BL38" s="24"/>
      <c r="BM38" s="24"/>
      <c r="BN38" s="24"/>
      <c r="BO38" s="24"/>
      <c r="BP38" s="24"/>
      <c r="BQ38" s="24"/>
      <c r="BR38" s="24"/>
      <c r="BS38" s="24"/>
      <c r="BT38" s="24"/>
      <c r="BU38" s="24"/>
      <c r="BV38" s="24"/>
      <c r="BW38" s="24"/>
      <c r="BX38" s="24"/>
      <c r="BY38" s="24"/>
      <c r="BZ38" s="24"/>
      <c r="CA38" s="24"/>
      <c r="CB38" s="24"/>
      <c r="CC38" s="24"/>
      <c r="CD38" s="24"/>
      <c r="CE38" s="24"/>
      <c r="CF38" s="24"/>
      <c r="CG38" s="24"/>
      <c r="CH38" s="24"/>
      <c r="CI38" s="24"/>
      <c r="CJ38" s="24"/>
      <c r="CK38" s="24"/>
      <c r="CL38" s="24"/>
      <c r="CM38" s="24"/>
      <c r="CN38" s="24"/>
      <c r="CO38" s="24"/>
      <c r="CP38" s="24"/>
      <c r="CQ38" s="24"/>
      <c r="CR38" s="24"/>
      <c r="CS38" s="24"/>
      <c r="CT38" s="24"/>
      <c r="CU38" s="24"/>
      <c r="CV38" s="24"/>
      <c r="CW38" s="24"/>
      <c r="CX38" s="24"/>
      <c r="CY38" s="24"/>
      <c r="CZ38" s="24"/>
      <c r="DA38" s="24"/>
      <c r="DB38" s="24"/>
      <c r="DC38" s="24"/>
      <c r="DD38" s="24"/>
      <c r="DE38" s="24"/>
      <c r="DF38" s="24"/>
      <c r="DG38" s="24"/>
      <c r="DH38" s="24"/>
      <c r="DI38" s="24"/>
      <c r="DJ38" s="24"/>
      <c r="DK38" s="24"/>
      <c r="DL38" s="24"/>
      <c r="DM38" s="24"/>
      <c r="DN38" s="24"/>
      <c r="DO38" s="24"/>
      <c r="DP38" s="24"/>
      <c r="DQ38" s="24"/>
      <c r="DR38" s="24"/>
      <c r="DS38" s="24"/>
      <c r="DT38" s="24"/>
      <c r="DU38" s="24"/>
      <c r="DV38" s="24"/>
      <c r="DW38" s="24"/>
      <c r="DX38" s="24"/>
      <c r="DY38" s="24"/>
      <c r="DZ38" s="24"/>
      <c r="EA38" s="24"/>
    </row>
    <row r="39" spans="1:131" ht="13.5" thickBot="1">
      <c r="A39" s="187" t="s">
        <v>441</v>
      </c>
      <c r="B39" s="203"/>
      <c r="C39" s="203"/>
      <c r="D39" s="203"/>
      <c r="E39" s="203"/>
      <c r="F39" s="203"/>
      <c r="G39" s="203"/>
      <c r="H39" s="203"/>
      <c r="I39" s="203"/>
      <c r="J39" s="203"/>
      <c r="K39" s="203"/>
      <c r="L39" s="203"/>
      <c r="M39" s="203"/>
      <c r="N39" s="203"/>
      <c r="O39" s="203"/>
      <c r="P39" s="203"/>
      <c r="Q39" s="203"/>
      <c r="R39" s="203"/>
      <c r="S39" s="203"/>
      <c r="T39" s="203"/>
      <c r="U39" s="203"/>
      <c r="V39" s="203"/>
      <c r="W39" s="203"/>
      <c r="X39" s="203"/>
      <c r="Y39" s="203"/>
      <c r="Z39" s="203"/>
      <c r="AA39" s="203"/>
      <c r="AB39" s="203"/>
      <c r="AC39" s="203"/>
      <c r="AD39" s="203"/>
      <c r="AE39" s="203"/>
      <c r="AF39" s="203"/>
      <c r="AG39" s="203"/>
      <c r="AH39" s="203"/>
      <c r="AI39" s="188"/>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row>
    <row r="40" spans="1:131">
      <c r="A40" s="24"/>
      <c r="B40" s="204" t="s">
        <v>442</v>
      </c>
      <c r="C40" s="205"/>
      <c r="D40" s="205" t="s">
        <v>442</v>
      </c>
      <c r="E40" s="206"/>
      <c r="F40" s="24"/>
      <c r="G40" s="204" t="s">
        <v>443</v>
      </c>
      <c r="H40" s="205"/>
      <c r="I40" s="205"/>
      <c r="J40" s="205"/>
      <c r="K40" s="205"/>
      <c r="L40" s="205"/>
      <c r="M40" s="205"/>
      <c r="N40" s="205"/>
      <c r="O40" s="206"/>
      <c r="P40" s="24"/>
      <c r="Q40" s="204" t="s">
        <v>444</v>
      </c>
      <c r="R40" s="205"/>
      <c r="S40" s="205"/>
      <c r="T40" s="205"/>
      <c r="U40" s="206"/>
      <c r="V40" s="24"/>
      <c r="W40" s="204" t="s">
        <v>445</v>
      </c>
      <c r="X40" s="206"/>
      <c r="Y40" s="24"/>
      <c r="Z40" s="204" t="s">
        <v>446</v>
      </c>
      <c r="AA40" s="205"/>
      <c r="AB40" s="206"/>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row>
    <row r="41" spans="1:131">
      <c r="A41" s="24"/>
      <c r="B41" s="207" t="s">
        <v>447</v>
      </c>
      <c r="C41" s="208" t="s">
        <v>448</v>
      </c>
      <c r="D41" s="208" t="s">
        <v>447</v>
      </c>
      <c r="E41" s="209" t="s">
        <v>448</v>
      </c>
      <c r="F41" s="24"/>
      <c r="G41" s="207" t="s">
        <v>449</v>
      </c>
      <c r="H41" s="208" t="s">
        <v>1054</v>
      </c>
      <c r="I41" s="208"/>
      <c r="J41" s="208"/>
      <c r="K41" s="208" t="s">
        <v>450</v>
      </c>
      <c r="L41" s="208"/>
      <c r="M41" s="208"/>
      <c r="N41" s="208"/>
      <c r="O41" s="209"/>
      <c r="P41" s="24"/>
      <c r="Q41" s="207"/>
      <c r="R41" s="208" t="s">
        <v>451</v>
      </c>
      <c r="S41" s="208" t="s">
        <v>452</v>
      </c>
      <c r="T41" s="208" t="s">
        <v>453</v>
      </c>
      <c r="U41" s="209" t="s">
        <v>454</v>
      </c>
      <c r="V41" s="24"/>
      <c r="W41" s="207" t="s">
        <v>455</v>
      </c>
      <c r="X41" s="209">
        <v>20</v>
      </c>
      <c r="Y41" s="24"/>
      <c r="Z41" s="207"/>
      <c r="AA41" s="208" t="s">
        <v>448</v>
      </c>
      <c r="AB41" s="209" t="s">
        <v>456</v>
      </c>
      <c r="AC41" s="24"/>
      <c r="AD41" s="24"/>
      <c r="AE41" s="24"/>
      <c r="AF41" s="24"/>
      <c r="AG41" s="24"/>
      <c r="AH41" s="24"/>
      <c r="AI41" s="24"/>
      <c r="AJ41" s="24"/>
      <c r="AK41" s="24"/>
      <c r="AL41" s="24"/>
      <c r="AM41" s="24"/>
      <c r="AN41" s="24"/>
      <c r="AO41" s="24"/>
      <c r="AP41" s="24"/>
      <c r="AQ41" s="24"/>
      <c r="AR41" s="24"/>
      <c r="AS41" s="24"/>
      <c r="AT41" s="24"/>
      <c r="AU41" s="24"/>
      <c r="AV41" s="24"/>
      <c r="AW41" s="24"/>
      <c r="AX41" s="24"/>
      <c r="AY41" s="24"/>
      <c r="AZ41" s="24"/>
      <c r="BA41" s="24"/>
      <c r="BB41" s="24"/>
      <c r="BC41" s="24"/>
      <c r="BD41" s="24"/>
      <c r="BE41" s="24"/>
      <c r="BF41" s="24"/>
      <c r="BG41" s="24"/>
      <c r="BH41" s="24"/>
      <c r="BI41" s="24"/>
      <c r="BJ41" s="24"/>
      <c r="BK41" s="24"/>
      <c r="BL41" s="24"/>
      <c r="BM41" s="24"/>
      <c r="BN41" s="24"/>
      <c r="BO41" s="24"/>
      <c r="BP41" s="24"/>
      <c r="BQ41" s="24"/>
      <c r="BR41" s="24"/>
      <c r="BS41" s="24"/>
      <c r="BT41" s="24"/>
      <c r="BU41" s="24"/>
      <c r="BV41" s="24"/>
      <c r="BW41" s="24"/>
      <c r="BX41" s="24"/>
      <c r="BY41" s="24"/>
      <c r="BZ41" s="24"/>
      <c r="CA41" s="24"/>
      <c r="CB41" s="24"/>
      <c r="CC41" s="24"/>
      <c r="CD41" s="24"/>
      <c r="CE41" s="24"/>
      <c r="CF41" s="24"/>
      <c r="CG41" s="24"/>
      <c r="CH41" s="24"/>
      <c r="CI41" s="24"/>
      <c r="CJ41" s="24"/>
      <c r="CK41" s="24"/>
      <c r="CL41" s="24"/>
      <c r="CM41" s="24"/>
      <c r="CN41" s="24"/>
      <c r="CO41" s="24"/>
      <c r="CP41" s="24"/>
      <c r="CQ41" s="24"/>
      <c r="CR41" s="24"/>
      <c r="CS41" s="24"/>
      <c r="CT41" s="24"/>
      <c r="CU41" s="24"/>
      <c r="CV41" s="24"/>
      <c r="CW41" s="24"/>
      <c r="CX41" s="24"/>
      <c r="CY41" s="24"/>
      <c r="CZ41" s="24"/>
      <c r="DA41" s="24"/>
      <c r="DB41" s="24"/>
      <c r="DC41" s="24"/>
      <c r="DD41" s="24"/>
      <c r="DE41" s="24"/>
      <c r="DF41" s="24"/>
      <c r="DG41" s="24"/>
      <c r="DH41" s="24"/>
      <c r="DI41" s="24"/>
      <c r="DJ41" s="24"/>
      <c r="DK41" s="24"/>
      <c r="DL41" s="24"/>
      <c r="DM41" s="24"/>
      <c r="DN41" s="24"/>
      <c r="DO41" s="24"/>
      <c r="DP41" s="24"/>
      <c r="DQ41" s="24"/>
      <c r="DR41" s="24"/>
      <c r="DS41" s="24"/>
      <c r="DT41" s="24"/>
      <c r="DU41" s="24"/>
      <c r="DV41" s="24"/>
      <c r="DW41" s="24"/>
      <c r="DX41" s="24"/>
      <c r="DY41" s="24"/>
      <c r="DZ41" s="24"/>
      <c r="EA41" s="24"/>
    </row>
    <row r="42" spans="1:131">
      <c r="A42" s="24"/>
      <c r="B42" s="207" t="s">
        <v>457</v>
      </c>
      <c r="C42" s="208" t="s">
        <v>458</v>
      </c>
      <c r="D42" s="208" t="s">
        <v>457</v>
      </c>
      <c r="E42" s="209" t="s">
        <v>458</v>
      </c>
      <c r="F42" s="24"/>
      <c r="G42" s="207" t="s">
        <v>459</v>
      </c>
      <c r="H42" s="208" t="s">
        <v>460</v>
      </c>
      <c r="I42" s="208"/>
      <c r="J42" s="208"/>
      <c r="K42" s="208" t="s">
        <v>461</v>
      </c>
      <c r="L42" s="208"/>
      <c r="M42" s="208"/>
      <c r="N42" s="208"/>
      <c r="O42" s="209"/>
      <c r="P42" s="24"/>
      <c r="Q42" s="207" t="s">
        <v>462</v>
      </c>
      <c r="R42" s="208">
        <v>6.8012888465852586E-2</v>
      </c>
      <c r="S42" s="208">
        <v>4.387844424080023E-2</v>
      </c>
      <c r="T42" s="208">
        <v>5.3289007766645871E-2</v>
      </c>
      <c r="U42" s="209">
        <v>5.447903102274565E-2</v>
      </c>
      <c r="V42" s="24"/>
      <c r="W42" s="207" t="s">
        <v>463</v>
      </c>
      <c r="X42" s="209">
        <v>2016</v>
      </c>
      <c r="Y42" s="24"/>
      <c r="Z42" s="207" t="s">
        <v>464</v>
      </c>
      <c r="AA42" s="208">
        <v>4.03890184699085E-3</v>
      </c>
      <c r="AB42" s="209">
        <v>0.01</v>
      </c>
      <c r="AC42" s="24"/>
      <c r="AD42" s="24"/>
      <c r="AE42" s="24"/>
      <c r="AF42" s="24"/>
      <c r="AG42" s="24"/>
      <c r="AH42" s="24"/>
      <c r="AI42" s="24"/>
      <c r="AJ42" s="24"/>
      <c r="AK42" s="24"/>
      <c r="AL42" s="24"/>
      <c r="AM42" s="24"/>
      <c r="AN42" s="24"/>
      <c r="AO42" s="24"/>
      <c r="AP42" s="24"/>
      <c r="AQ42" s="24"/>
      <c r="AR42" s="24"/>
      <c r="AS42" s="24"/>
      <c r="AT42" s="24"/>
      <c r="AU42" s="24"/>
      <c r="AV42" s="24"/>
      <c r="AW42" s="24"/>
      <c r="AX42" s="24"/>
      <c r="AY42" s="24"/>
      <c r="AZ42" s="24"/>
      <c r="BA42" s="24"/>
      <c r="BB42" s="24"/>
      <c r="BC42" s="24"/>
      <c r="BD42" s="24"/>
      <c r="BE42" s="24"/>
      <c r="BF42" s="24"/>
      <c r="BG42" s="24"/>
      <c r="BH42" s="24"/>
      <c r="BI42" s="24"/>
      <c r="BJ42" s="24"/>
      <c r="BK42" s="24"/>
      <c r="BL42" s="24"/>
      <c r="BM42" s="24"/>
      <c r="BN42" s="24"/>
      <c r="BO42" s="24"/>
      <c r="BP42" s="24"/>
      <c r="BQ42" s="24"/>
      <c r="BR42" s="24"/>
      <c r="BS42" s="24"/>
      <c r="BT42" s="24"/>
      <c r="BU42" s="24"/>
      <c r="BV42" s="24"/>
      <c r="BW42" s="24"/>
      <c r="BX42" s="24"/>
      <c r="BY42" s="24"/>
      <c r="BZ42" s="24"/>
      <c r="CA42" s="24"/>
      <c r="CB42" s="24"/>
      <c r="CC42" s="24"/>
      <c r="CD42" s="24"/>
      <c r="CE42" s="24"/>
      <c r="CF42" s="24"/>
      <c r="CG42" s="24"/>
      <c r="CH42" s="24"/>
      <c r="CI42" s="24"/>
      <c r="CJ42" s="24"/>
      <c r="CK42" s="24"/>
      <c r="CL42" s="24"/>
      <c r="CM42" s="24"/>
      <c r="CN42" s="24"/>
      <c r="CO42" s="24"/>
      <c r="CP42" s="24"/>
      <c r="CQ42" s="24"/>
      <c r="CR42" s="24"/>
      <c r="CS42" s="24"/>
      <c r="CT42" s="24"/>
      <c r="CU42" s="24"/>
      <c r="CV42" s="24"/>
      <c r="CW42" s="24"/>
      <c r="CX42" s="24"/>
      <c r="CY42" s="24"/>
      <c r="CZ42" s="24"/>
      <c r="DA42" s="24"/>
      <c r="DB42" s="24"/>
      <c r="DC42" s="24"/>
      <c r="DD42" s="24"/>
      <c r="DE42" s="24"/>
      <c r="DF42" s="24"/>
      <c r="DG42" s="24"/>
      <c r="DH42" s="24"/>
      <c r="DI42" s="24"/>
      <c r="DJ42" s="24"/>
      <c r="DK42" s="24"/>
      <c r="DL42" s="24"/>
      <c r="DM42" s="24"/>
      <c r="DN42" s="24"/>
      <c r="DO42" s="24"/>
      <c r="DP42" s="24"/>
      <c r="DQ42" s="24"/>
      <c r="DR42" s="24"/>
      <c r="DS42" s="24"/>
      <c r="DT42" s="24"/>
      <c r="DU42" s="24"/>
      <c r="DV42" s="24"/>
      <c r="DW42" s="24"/>
      <c r="DX42" s="24"/>
      <c r="DY42" s="24"/>
      <c r="DZ42" s="24"/>
      <c r="EA42" s="24"/>
    </row>
    <row r="43" spans="1:131">
      <c r="A43" s="24"/>
      <c r="B43" s="207" t="s">
        <v>465</v>
      </c>
      <c r="C43" s="208" t="s">
        <v>466</v>
      </c>
      <c r="D43" s="208" t="s">
        <v>465</v>
      </c>
      <c r="E43" s="209" t="s">
        <v>466</v>
      </c>
      <c r="F43" s="24"/>
      <c r="G43" s="207" t="s">
        <v>467</v>
      </c>
      <c r="H43" s="208" t="s">
        <v>468</v>
      </c>
      <c r="I43" s="208"/>
      <c r="J43" s="208"/>
      <c r="K43" s="208" t="s">
        <v>469</v>
      </c>
      <c r="L43" s="208"/>
      <c r="M43" s="208"/>
      <c r="N43" s="208"/>
      <c r="O43" s="209"/>
      <c r="P43" s="24"/>
      <c r="Q43" s="207" t="s">
        <v>470</v>
      </c>
      <c r="R43" s="208">
        <v>12</v>
      </c>
      <c r="S43" s="208">
        <v>12</v>
      </c>
      <c r="T43" s="208">
        <v>1</v>
      </c>
      <c r="U43" s="209">
        <v>1</v>
      </c>
      <c r="V43" s="24"/>
      <c r="W43" s="207" t="s">
        <v>471</v>
      </c>
      <c r="X43" s="209">
        <v>2016</v>
      </c>
      <c r="Y43" s="24"/>
      <c r="Z43" s="207" t="s">
        <v>472</v>
      </c>
      <c r="AA43" s="208">
        <v>26</v>
      </c>
      <c r="AB43" s="209">
        <v>0</v>
      </c>
      <c r="AC43" s="24"/>
      <c r="AD43" s="24"/>
      <c r="AE43" s="24"/>
      <c r="AF43" s="24"/>
      <c r="AG43" s="24"/>
      <c r="AH43" s="24"/>
      <c r="AI43" s="24"/>
      <c r="AJ43" s="24"/>
      <c r="AK43" s="24"/>
      <c r="AL43" s="24"/>
      <c r="AM43" s="24"/>
      <c r="AN43" s="24"/>
      <c r="AO43" s="24"/>
      <c r="AP43" s="24"/>
      <c r="AQ43" s="24"/>
      <c r="AR43" s="24"/>
      <c r="AS43" s="24"/>
      <c r="AT43" s="24"/>
      <c r="AU43" s="24"/>
      <c r="AV43" s="24"/>
      <c r="AW43" s="24"/>
      <c r="AX43" s="24"/>
      <c r="AY43" s="24"/>
      <c r="AZ43" s="24"/>
      <c r="BA43" s="24"/>
      <c r="BB43" s="24"/>
      <c r="BC43" s="24"/>
      <c r="BD43" s="24"/>
      <c r="BE43" s="24"/>
      <c r="BF43" s="24"/>
      <c r="BG43" s="24"/>
      <c r="BH43" s="24"/>
      <c r="BI43" s="24"/>
      <c r="BJ43" s="24"/>
      <c r="BK43" s="24"/>
      <c r="BL43" s="24"/>
      <c r="BM43" s="24"/>
      <c r="BN43" s="24"/>
      <c r="BO43" s="24"/>
      <c r="BP43" s="24"/>
      <c r="BQ43" s="24"/>
      <c r="BR43" s="24"/>
      <c r="BS43" s="24"/>
      <c r="BT43" s="24"/>
      <c r="BU43" s="24"/>
      <c r="BV43" s="24"/>
      <c r="BW43" s="24"/>
      <c r="BX43" s="24"/>
      <c r="BY43" s="24"/>
      <c r="BZ43" s="24"/>
      <c r="CA43" s="24"/>
      <c r="CB43" s="24"/>
      <c r="CC43" s="24"/>
      <c r="CD43" s="24"/>
      <c r="CE43" s="24"/>
      <c r="CF43" s="24"/>
      <c r="CG43" s="24"/>
      <c r="CH43" s="24"/>
      <c r="CI43" s="24"/>
      <c r="CJ43" s="24"/>
      <c r="CK43" s="24"/>
      <c r="CL43" s="24"/>
      <c r="CM43" s="24"/>
      <c r="CN43" s="24"/>
      <c r="CO43" s="24"/>
      <c r="CP43" s="24"/>
      <c r="CQ43" s="24"/>
      <c r="CR43" s="24"/>
      <c r="CS43" s="24"/>
      <c r="CT43" s="24"/>
      <c r="CU43" s="24"/>
      <c r="CV43" s="24"/>
      <c r="CW43" s="24"/>
      <c r="CX43" s="24"/>
      <c r="CY43" s="24"/>
      <c r="CZ43" s="24"/>
      <c r="DA43" s="24"/>
      <c r="DB43" s="24"/>
      <c r="DC43" s="24"/>
      <c r="DD43" s="24"/>
      <c r="DE43" s="24"/>
      <c r="DF43" s="24"/>
      <c r="DG43" s="24"/>
      <c r="DH43" s="24"/>
      <c r="DI43" s="24"/>
      <c r="DJ43" s="24"/>
      <c r="DK43" s="24"/>
      <c r="DL43" s="24"/>
      <c r="DM43" s="24"/>
      <c r="DN43" s="24"/>
      <c r="DO43" s="24"/>
      <c r="DP43" s="24"/>
      <c r="DQ43" s="24"/>
      <c r="DR43" s="24"/>
      <c r="DS43" s="24"/>
      <c r="DT43" s="24"/>
      <c r="DU43" s="24"/>
      <c r="DV43" s="24"/>
      <c r="DW43" s="24"/>
      <c r="DX43" s="24"/>
      <c r="DY43" s="24"/>
      <c r="DZ43" s="24"/>
      <c r="EA43" s="24"/>
    </row>
    <row r="44" spans="1:131" ht="13.5" thickBot="1">
      <c r="A44" s="24"/>
      <c r="B44" s="210" t="s">
        <v>473</v>
      </c>
      <c r="C44" s="211" t="s">
        <v>466</v>
      </c>
      <c r="D44" s="211" t="s">
        <v>473</v>
      </c>
      <c r="E44" s="212" t="s">
        <v>466</v>
      </c>
      <c r="F44" s="24"/>
      <c r="G44" s="207" t="s">
        <v>474</v>
      </c>
      <c r="H44" s="208" t="s">
        <v>475</v>
      </c>
      <c r="I44" s="208"/>
      <c r="J44" s="208"/>
      <c r="K44" s="208" t="s">
        <v>461</v>
      </c>
      <c r="L44" s="208"/>
      <c r="M44" s="208"/>
      <c r="N44" s="208"/>
      <c r="O44" s="209"/>
      <c r="P44" s="24"/>
      <c r="Q44" s="207"/>
      <c r="R44" s="208" t="s">
        <v>451</v>
      </c>
      <c r="S44" s="208" t="s">
        <v>452</v>
      </c>
      <c r="T44" s="208" t="s">
        <v>453</v>
      </c>
      <c r="U44" s="209" t="s">
        <v>454</v>
      </c>
      <c r="V44" s="24"/>
      <c r="W44" s="207" t="s">
        <v>476</v>
      </c>
      <c r="X44" s="209">
        <v>2012</v>
      </c>
      <c r="Y44" s="24"/>
      <c r="Z44" s="207" t="s">
        <v>477</v>
      </c>
      <c r="AA44" s="208">
        <v>0.9</v>
      </c>
      <c r="AB44" s="209" t="s">
        <v>274</v>
      </c>
      <c r="AC44" s="24"/>
      <c r="AD44" s="24"/>
      <c r="AE44" s="24"/>
      <c r="AF44" s="24"/>
      <c r="AG44" s="24"/>
      <c r="AH44" s="24"/>
      <c r="AI44" s="24"/>
      <c r="AJ44" s="24"/>
      <c r="AK44" s="24"/>
      <c r="AL44" s="24"/>
      <c r="AM44" s="24"/>
      <c r="AN44" s="24"/>
      <c r="AO44" s="24"/>
      <c r="AP44" s="24"/>
      <c r="AQ44" s="24"/>
      <c r="AR44" s="24"/>
      <c r="AS44" s="24"/>
      <c r="AT44" s="24"/>
      <c r="AU44" s="24"/>
      <c r="AV44" s="24"/>
      <c r="AW44" s="24"/>
      <c r="AX44" s="24"/>
      <c r="AY44" s="24"/>
      <c r="AZ44" s="24"/>
      <c r="BA44" s="24"/>
      <c r="BB44" s="24"/>
      <c r="BC44" s="24"/>
      <c r="BD44" s="24"/>
      <c r="BE44" s="24"/>
      <c r="BF44" s="24"/>
      <c r="BG44" s="24"/>
      <c r="BH44" s="24"/>
      <c r="BI44" s="24"/>
      <c r="BJ44" s="24"/>
      <c r="BK44" s="24"/>
      <c r="BL44" s="24"/>
      <c r="BM44" s="24"/>
      <c r="BN44" s="24"/>
      <c r="BO44" s="24"/>
      <c r="BP44" s="24"/>
      <c r="BQ44" s="24"/>
      <c r="BR44" s="24"/>
      <c r="BS44" s="24"/>
      <c r="BT44" s="24"/>
      <c r="BU44" s="24"/>
      <c r="BV44" s="24"/>
      <c r="BW44" s="24"/>
      <c r="BX44" s="24"/>
      <c r="BY44" s="24"/>
      <c r="BZ44" s="24"/>
      <c r="CA44" s="24"/>
      <c r="CB44" s="24"/>
      <c r="CC44" s="24"/>
      <c r="CD44" s="24"/>
      <c r="CE44" s="24"/>
      <c r="CF44" s="24"/>
      <c r="CG44" s="24"/>
      <c r="CH44" s="24"/>
      <c r="CI44" s="24"/>
      <c r="CJ44" s="24"/>
      <c r="CK44" s="24"/>
      <c r="CL44" s="24"/>
      <c r="CM44" s="24"/>
      <c r="CN44" s="24"/>
      <c r="CO44" s="24"/>
      <c r="CP44" s="24"/>
      <c r="CQ44" s="24"/>
      <c r="CR44" s="24"/>
      <c r="CS44" s="24"/>
      <c r="CT44" s="24"/>
      <c r="CU44" s="24"/>
      <c r="CV44" s="24"/>
      <c r="CW44" s="24"/>
      <c r="CX44" s="24"/>
      <c r="CY44" s="24"/>
      <c r="CZ44" s="24"/>
      <c r="DA44" s="24"/>
      <c r="DB44" s="24"/>
      <c r="DC44" s="24"/>
      <c r="DD44" s="24"/>
      <c r="DE44" s="24"/>
      <c r="DF44" s="24"/>
      <c r="DG44" s="24"/>
      <c r="DH44" s="24"/>
      <c r="DI44" s="24"/>
      <c r="DJ44" s="24"/>
      <c r="DK44" s="24"/>
      <c r="DL44" s="24"/>
      <c r="DM44" s="24"/>
      <c r="DN44" s="24"/>
      <c r="DO44" s="24"/>
      <c r="DP44" s="24"/>
      <c r="DQ44" s="24"/>
      <c r="DR44" s="24"/>
      <c r="DS44" s="24"/>
      <c r="DT44" s="24"/>
      <c r="DU44" s="24"/>
      <c r="DV44" s="24"/>
      <c r="DW44" s="24"/>
      <c r="DX44" s="24"/>
      <c r="DY44" s="24"/>
      <c r="DZ44" s="24"/>
      <c r="EA44" s="24"/>
    </row>
    <row r="45" spans="1:131">
      <c r="A45" s="24"/>
      <c r="B45" s="24"/>
      <c r="C45" s="24"/>
      <c r="D45" s="24"/>
      <c r="E45" s="24"/>
      <c r="F45" s="24"/>
      <c r="G45" s="207" t="s">
        <v>478</v>
      </c>
      <c r="H45" s="208" t="s">
        <v>468</v>
      </c>
      <c r="I45" s="208"/>
      <c r="J45" s="208"/>
      <c r="K45" s="208"/>
      <c r="L45" s="208"/>
      <c r="M45" s="208"/>
      <c r="N45" s="208"/>
      <c r="O45" s="209"/>
      <c r="P45" s="24"/>
      <c r="Q45" s="207" t="s">
        <v>479</v>
      </c>
      <c r="R45" s="208">
        <v>0.35</v>
      </c>
      <c r="S45" s="208">
        <v>0.19500000000000001</v>
      </c>
      <c r="T45" s="208">
        <v>0.45499999999999996</v>
      </c>
      <c r="U45" s="209">
        <v>0</v>
      </c>
      <c r="V45" s="24"/>
      <c r="W45" s="207" t="s">
        <v>480</v>
      </c>
      <c r="X45" s="209">
        <v>0.04</v>
      </c>
      <c r="Y45" s="24"/>
      <c r="Z45" s="207" t="s">
        <v>481</v>
      </c>
      <c r="AA45" s="208">
        <v>4.7399348199455904E-2</v>
      </c>
      <c r="AB45" s="209">
        <v>0</v>
      </c>
      <c r="AC45" s="24"/>
      <c r="AD45" s="24"/>
      <c r="AE45" s="24"/>
      <c r="AF45" s="24"/>
      <c r="AG45" s="24"/>
      <c r="AH45" s="24"/>
      <c r="AI45" s="24"/>
      <c r="AJ45" s="24"/>
      <c r="AK45" s="24"/>
      <c r="AL45" s="24"/>
      <c r="AM45" s="24"/>
      <c r="AN45" s="24"/>
      <c r="AO45" s="24"/>
      <c r="AP45" s="24"/>
      <c r="AQ45" s="24"/>
      <c r="AR45" s="24"/>
      <c r="AS45" s="24"/>
      <c r="AT45" s="24"/>
      <c r="AU45" s="24"/>
      <c r="AV45" s="24"/>
      <c r="AW45" s="24"/>
      <c r="AX45" s="24"/>
      <c r="AY45" s="24"/>
      <c r="AZ45" s="24"/>
      <c r="BA45" s="24"/>
      <c r="BB45" s="24"/>
      <c r="BC45" s="24"/>
      <c r="BD45" s="24"/>
      <c r="BE45" s="24"/>
      <c r="BF45" s="24"/>
      <c r="BG45" s="24"/>
      <c r="BH45" s="24"/>
      <c r="BI45" s="24"/>
      <c r="BJ45" s="24"/>
      <c r="BK45" s="24"/>
      <c r="BL45" s="24"/>
      <c r="BM45" s="24"/>
      <c r="BN45" s="24"/>
      <c r="BO45" s="24"/>
      <c r="BP45" s="24"/>
      <c r="BQ45" s="24"/>
      <c r="BR45" s="24"/>
      <c r="BS45" s="24"/>
      <c r="BT45" s="24"/>
      <c r="BU45" s="24"/>
      <c r="BV45" s="24"/>
      <c r="BW45" s="24"/>
      <c r="BX45" s="24"/>
      <c r="BY45" s="24"/>
      <c r="BZ45" s="24"/>
      <c r="CA45" s="24"/>
      <c r="CB45" s="24"/>
      <c r="CC45" s="24"/>
      <c r="CD45" s="24"/>
      <c r="CE45" s="24"/>
      <c r="CF45" s="24"/>
      <c r="CG45" s="24"/>
      <c r="CH45" s="24"/>
      <c r="CI45" s="24"/>
      <c r="CJ45" s="24"/>
      <c r="CK45" s="24"/>
      <c r="CL45" s="24"/>
      <c r="CM45" s="24"/>
      <c r="CN45" s="24"/>
      <c r="CO45" s="24"/>
      <c r="CP45" s="24"/>
      <c r="CQ45" s="24"/>
      <c r="CR45" s="24"/>
      <c r="CS45" s="24"/>
      <c r="CT45" s="24"/>
      <c r="CU45" s="24"/>
      <c r="CV45" s="24"/>
      <c r="CW45" s="24"/>
      <c r="CX45" s="24"/>
      <c r="CY45" s="24"/>
      <c r="CZ45" s="24"/>
      <c r="DA45" s="24"/>
      <c r="DB45" s="24"/>
      <c r="DC45" s="24"/>
      <c r="DD45" s="24"/>
      <c r="DE45" s="24"/>
      <c r="DF45" s="24"/>
      <c r="DG45" s="24"/>
      <c r="DH45" s="24"/>
      <c r="DI45" s="24"/>
      <c r="DJ45" s="24"/>
      <c r="DK45" s="24"/>
      <c r="DL45" s="24"/>
      <c r="DM45" s="24"/>
      <c r="DN45" s="24"/>
      <c r="DO45" s="24"/>
      <c r="DP45" s="24"/>
      <c r="DQ45" s="24"/>
      <c r="DR45" s="24"/>
      <c r="DS45" s="24"/>
      <c r="DT45" s="24"/>
      <c r="DU45" s="24"/>
      <c r="DV45" s="24"/>
      <c r="DW45" s="24"/>
      <c r="DX45" s="24"/>
      <c r="DY45" s="24"/>
      <c r="DZ45" s="24"/>
      <c r="EA45" s="24"/>
    </row>
    <row r="46" spans="1:131">
      <c r="A46" s="24"/>
      <c r="B46" s="24" t="s">
        <v>482</v>
      </c>
      <c r="C46" s="24" t="s">
        <v>448</v>
      </c>
      <c r="D46" s="24"/>
      <c r="E46" s="24"/>
      <c r="F46" s="24"/>
      <c r="G46" s="207" t="s">
        <v>483</v>
      </c>
      <c r="H46" s="208" t="s">
        <v>484</v>
      </c>
      <c r="I46" s="208"/>
      <c r="J46" s="208"/>
      <c r="K46" s="208" t="s">
        <v>485</v>
      </c>
      <c r="L46" s="208"/>
      <c r="M46" s="208"/>
      <c r="N46" s="208"/>
      <c r="O46" s="209"/>
      <c r="P46" s="24"/>
      <c r="Q46" s="207" t="s">
        <v>486</v>
      </c>
      <c r="R46" s="208">
        <v>1</v>
      </c>
      <c r="S46" s="208">
        <v>0</v>
      </c>
      <c r="T46" s="208">
        <v>0</v>
      </c>
      <c r="U46" s="209">
        <v>0</v>
      </c>
      <c r="V46" s="24"/>
      <c r="W46" s="207" t="s">
        <v>487</v>
      </c>
      <c r="X46" s="209">
        <v>0</v>
      </c>
      <c r="Y46" s="24"/>
      <c r="Z46" s="207" t="s">
        <v>488</v>
      </c>
      <c r="AA46" s="208">
        <v>31</v>
      </c>
      <c r="AB46" s="209">
        <v>0</v>
      </c>
      <c r="AC46" s="24"/>
      <c r="AD46" s="24"/>
      <c r="AE46" s="24"/>
      <c r="AF46" s="24"/>
      <c r="AG46" s="24"/>
      <c r="AH46" s="24"/>
      <c r="AI46" s="24"/>
      <c r="AJ46" s="24"/>
      <c r="AK46" s="24"/>
      <c r="AL46" s="24"/>
      <c r="AM46" s="24"/>
      <c r="AN46" s="24"/>
      <c r="AO46" s="24"/>
      <c r="AP46" s="24"/>
      <c r="AQ46" s="24"/>
      <c r="AR46" s="24"/>
      <c r="AS46" s="24"/>
      <c r="AT46" s="24"/>
      <c r="AU46" s="24"/>
      <c r="AV46" s="24"/>
      <c r="AW46" s="24"/>
      <c r="AX46" s="24"/>
      <c r="AY46" s="24"/>
      <c r="AZ46" s="24"/>
      <c r="BA46" s="24"/>
      <c r="BB46" s="24"/>
      <c r="BC46" s="24"/>
      <c r="BD46" s="24"/>
      <c r="BE46" s="24"/>
      <c r="BF46" s="24"/>
      <c r="BG46" s="24"/>
      <c r="BH46" s="24"/>
      <c r="BI46" s="24"/>
      <c r="BJ46" s="24"/>
      <c r="BK46" s="24"/>
      <c r="BL46" s="24"/>
      <c r="BM46" s="24"/>
      <c r="BN46" s="24"/>
      <c r="BO46" s="24"/>
      <c r="BP46" s="24"/>
      <c r="BQ46" s="24"/>
      <c r="BR46" s="24"/>
      <c r="BS46" s="24"/>
      <c r="BT46" s="24"/>
      <c r="BU46" s="24"/>
      <c r="BV46" s="24"/>
      <c r="BW46" s="24"/>
      <c r="BX46" s="24"/>
      <c r="BY46" s="24"/>
      <c r="BZ46" s="24"/>
      <c r="CA46" s="24"/>
      <c r="CB46" s="24"/>
      <c r="CC46" s="24"/>
      <c r="CD46" s="24"/>
      <c r="CE46" s="24"/>
      <c r="CF46" s="24"/>
      <c r="CG46" s="24"/>
      <c r="CH46" s="24"/>
      <c r="CI46" s="24"/>
      <c r="CJ46" s="24"/>
      <c r="CK46" s="24"/>
      <c r="CL46" s="24"/>
      <c r="CM46" s="24"/>
      <c r="CN46" s="24"/>
      <c r="CO46" s="24"/>
      <c r="CP46" s="24"/>
      <c r="CQ46" s="24"/>
      <c r="CR46" s="24"/>
      <c r="CS46" s="24"/>
      <c r="CT46" s="24"/>
      <c r="CU46" s="24"/>
      <c r="CV46" s="24"/>
      <c r="CW46" s="24"/>
      <c r="CX46" s="24"/>
      <c r="CY46" s="24"/>
      <c r="CZ46" s="24"/>
      <c r="DA46" s="24"/>
      <c r="DB46" s="24"/>
      <c r="DC46" s="24"/>
      <c r="DD46" s="24"/>
      <c r="DE46" s="24"/>
      <c r="DF46" s="24"/>
      <c r="DG46" s="24"/>
      <c r="DH46" s="24"/>
      <c r="DI46" s="24"/>
      <c r="DJ46" s="24"/>
      <c r="DK46" s="24"/>
      <c r="DL46" s="24"/>
      <c r="DM46" s="24"/>
      <c r="DN46" s="24"/>
      <c r="DO46" s="24"/>
      <c r="DP46" s="24"/>
      <c r="DQ46" s="24"/>
      <c r="DR46" s="24"/>
      <c r="DS46" s="24"/>
      <c r="DT46" s="24"/>
      <c r="DU46" s="24"/>
      <c r="DV46" s="24"/>
      <c r="DW46" s="24"/>
      <c r="DX46" s="24"/>
      <c r="DY46" s="24"/>
      <c r="DZ46" s="24"/>
      <c r="EA46" s="24"/>
    </row>
    <row r="47" spans="1:131">
      <c r="A47" s="24"/>
      <c r="B47" s="24" t="s">
        <v>489</v>
      </c>
      <c r="C47" s="24" t="s">
        <v>490</v>
      </c>
      <c r="D47" s="24"/>
      <c r="E47" s="24"/>
      <c r="F47" s="24"/>
      <c r="G47" s="207" t="s">
        <v>491</v>
      </c>
      <c r="H47" s="208" t="s">
        <v>485</v>
      </c>
      <c r="I47" s="208"/>
      <c r="J47" s="208"/>
      <c r="K47" s="208" t="s">
        <v>492</v>
      </c>
      <c r="L47" s="208"/>
      <c r="M47" s="208"/>
      <c r="N47" s="208"/>
      <c r="O47" s="209"/>
      <c r="P47" s="24"/>
      <c r="Q47" s="207" t="s">
        <v>493</v>
      </c>
      <c r="R47" s="208">
        <v>1</v>
      </c>
      <c r="S47" s="208">
        <v>0</v>
      </c>
      <c r="T47" s="208">
        <v>0</v>
      </c>
      <c r="U47" s="209">
        <v>0</v>
      </c>
      <c r="V47" s="24"/>
      <c r="W47" s="207" t="s">
        <v>494</v>
      </c>
      <c r="X47" s="209">
        <v>0.2</v>
      </c>
      <c r="Y47" s="24"/>
      <c r="Z47" s="207" t="s">
        <v>495</v>
      </c>
      <c r="AA47" s="208">
        <v>0.7</v>
      </c>
      <c r="AB47" s="209" t="s">
        <v>274</v>
      </c>
      <c r="AC47" s="24"/>
      <c r="AD47" s="24"/>
      <c r="AE47" s="24"/>
      <c r="AF47" s="24"/>
      <c r="AG47" s="24"/>
      <c r="AH47" s="24"/>
      <c r="AI47" s="24"/>
      <c r="AJ47" s="24"/>
      <c r="AK47" s="24"/>
      <c r="AL47" s="24"/>
      <c r="AM47" s="24"/>
      <c r="AN47" s="24"/>
      <c r="AO47" s="24"/>
      <c r="AP47" s="24"/>
      <c r="AQ47" s="24"/>
      <c r="AR47" s="24"/>
      <c r="AS47" s="24"/>
      <c r="AT47" s="24"/>
      <c r="AU47" s="24"/>
      <c r="AV47" s="24"/>
      <c r="AW47" s="24"/>
      <c r="AX47" s="24"/>
      <c r="AY47" s="24"/>
      <c r="AZ47" s="24"/>
      <c r="BA47" s="24"/>
      <c r="BB47" s="24"/>
      <c r="BC47" s="24"/>
      <c r="BD47" s="24"/>
      <c r="BE47" s="24"/>
      <c r="BF47" s="24"/>
      <c r="BG47" s="24"/>
      <c r="BH47" s="24"/>
      <c r="BI47" s="24"/>
      <c r="BJ47" s="24"/>
      <c r="BK47" s="24"/>
      <c r="BL47" s="24"/>
      <c r="BM47" s="24"/>
      <c r="BN47" s="24"/>
      <c r="BO47" s="24"/>
      <c r="BP47" s="24"/>
      <c r="BQ47" s="24"/>
      <c r="BR47" s="24"/>
      <c r="BS47" s="24"/>
      <c r="BT47" s="24"/>
      <c r="BU47" s="24"/>
      <c r="BV47" s="24"/>
      <c r="BW47" s="24"/>
      <c r="BX47" s="24"/>
      <c r="BY47" s="24"/>
      <c r="BZ47" s="24"/>
      <c r="CA47" s="24"/>
      <c r="CB47" s="24"/>
      <c r="CC47" s="24"/>
      <c r="CD47" s="24"/>
      <c r="CE47" s="24"/>
      <c r="CF47" s="24"/>
      <c r="CG47" s="24"/>
      <c r="CH47" s="24"/>
      <c r="CI47" s="24"/>
      <c r="CJ47" s="24"/>
      <c r="CK47" s="24"/>
      <c r="CL47" s="24"/>
      <c r="CM47" s="24"/>
      <c r="CN47" s="24"/>
      <c r="CO47" s="24"/>
      <c r="CP47" s="24"/>
      <c r="CQ47" s="24"/>
      <c r="CR47" s="24"/>
      <c r="CS47" s="24"/>
      <c r="CT47" s="24"/>
      <c r="CU47" s="24"/>
      <c r="CV47" s="24"/>
      <c r="CW47" s="24"/>
      <c r="CX47" s="24"/>
      <c r="CY47" s="24"/>
      <c r="CZ47" s="24"/>
      <c r="DA47" s="24"/>
      <c r="DB47" s="24"/>
      <c r="DC47" s="24"/>
      <c r="DD47" s="24"/>
      <c r="DE47" s="24"/>
      <c r="DF47" s="24"/>
      <c r="DG47" s="24"/>
      <c r="DH47" s="24"/>
      <c r="DI47" s="24"/>
      <c r="DJ47" s="24"/>
      <c r="DK47" s="24"/>
      <c r="DL47" s="24"/>
      <c r="DM47" s="24"/>
      <c r="DN47" s="24"/>
      <c r="DO47" s="24"/>
      <c r="DP47" s="24"/>
      <c r="DQ47" s="24"/>
      <c r="DR47" s="24"/>
      <c r="DS47" s="24"/>
      <c r="DT47" s="24"/>
      <c r="DU47" s="24"/>
      <c r="DV47" s="24"/>
      <c r="DW47" s="24"/>
      <c r="DX47" s="24"/>
      <c r="DY47" s="24"/>
      <c r="DZ47" s="24"/>
      <c r="EA47" s="24"/>
    </row>
    <row r="48" spans="1:131">
      <c r="A48" s="24"/>
      <c r="B48" s="24" t="s">
        <v>496</v>
      </c>
      <c r="C48" s="24" t="s">
        <v>497</v>
      </c>
      <c r="D48" s="24"/>
      <c r="E48" s="24"/>
      <c r="F48" s="24"/>
      <c r="G48" s="207" t="s">
        <v>498</v>
      </c>
      <c r="H48" s="208" t="s">
        <v>492</v>
      </c>
      <c r="I48" s="208"/>
      <c r="J48" s="208"/>
      <c r="K48" s="208" t="s">
        <v>499</v>
      </c>
      <c r="L48" s="208"/>
      <c r="M48" s="208"/>
      <c r="N48" s="208"/>
      <c r="O48" s="209"/>
      <c r="P48" s="24"/>
      <c r="Q48" s="207" t="s">
        <v>500</v>
      </c>
      <c r="R48" s="208"/>
      <c r="S48" s="208">
        <v>0.3</v>
      </c>
      <c r="T48" s="208">
        <v>0.7</v>
      </c>
      <c r="U48" s="209">
        <v>0</v>
      </c>
      <c r="V48" s="24"/>
      <c r="W48" s="207" t="s">
        <v>501</v>
      </c>
      <c r="X48" s="209">
        <v>0</v>
      </c>
      <c r="Y48" s="24"/>
      <c r="Z48" s="207" t="s">
        <v>502</v>
      </c>
      <c r="AA48" s="208">
        <v>0</v>
      </c>
      <c r="AB48" s="209">
        <v>0</v>
      </c>
      <c r="AC48" s="24"/>
      <c r="AD48" s="24"/>
      <c r="AE48" s="24"/>
      <c r="AF48" s="24"/>
      <c r="AG48" s="24"/>
      <c r="AH48" s="24"/>
      <c r="AI48" s="24"/>
      <c r="AJ48" s="24"/>
      <c r="AK48" s="24"/>
      <c r="AL48" s="24"/>
      <c r="AM48" s="24"/>
      <c r="AN48" s="24"/>
      <c r="AO48" s="24"/>
      <c r="AP48" s="24"/>
      <c r="AQ48" s="24"/>
      <c r="AR48" s="24"/>
      <c r="AS48" s="24"/>
      <c r="AT48" s="24"/>
      <c r="AU48" s="24"/>
      <c r="AV48" s="24"/>
      <c r="AW48" s="24"/>
      <c r="AX48" s="24"/>
      <c r="AY48" s="24"/>
      <c r="AZ48" s="24"/>
      <c r="BA48" s="24"/>
      <c r="BB48" s="24"/>
      <c r="BC48" s="24"/>
      <c r="BD48" s="24"/>
      <c r="BE48" s="24"/>
      <c r="BF48" s="24"/>
      <c r="BG48" s="24"/>
      <c r="BH48" s="24"/>
      <c r="BI48" s="24"/>
      <c r="BJ48" s="24"/>
      <c r="BK48" s="24"/>
      <c r="BL48" s="24"/>
      <c r="BM48" s="24"/>
      <c r="BN48" s="24"/>
      <c r="BO48" s="24"/>
      <c r="BP48" s="24"/>
      <c r="BQ48" s="24"/>
      <c r="BR48" s="24"/>
      <c r="BS48" s="24"/>
      <c r="BT48" s="24"/>
      <c r="BU48" s="24"/>
      <c r="BV48" s="24"/>
      <c r="BW48" s="24"/>
      <c r="BX48" s="24"/>
      <c r="BY48" s="24"/>
      <c r="BZ48" s="24"/>
      <c r="CA48" s="24"/>
      <c r="CB48" s="24"/>
      <c r="CC48" s="24"/>
      <c r="CD48" s="24"/>
      <c r="CE48" s="24"/>
      <c r="CF48" s="24"/>
      <c r="CG48" s="24"/>
      <c r="CH48" s="24"/>
      <c r="CI48" s="24"/>
      <c r="CJ48" s="24"/>
      <c r="CK48" s="24"/>
      <c r="CL48" s="24"/>
      <c r="CM48" s="24"/>
      <c r="CN48" s="24"/>
      <c r="CO48" s="24"/>
      <c r="CP48" s="24"/>
      <c r="CQ48" s="24"/>
      <c r="CR48" s="24"/>
      <c r="CS48" s="24"/>
      <c r="CT48" s="24"/>
      <c r="CU48" s="24"/>
      <c r="CV48" s="24"/>
      <c r="CW48" s="24"/>
      <c r="CX48" s="24"/>
      <c r="CY48" s="24"/>
      <c r="CZ48" s="24"/>
      <c r="DA48" s="24"/>
      <c r="DB48" s="24"/>
      <c r="DC48" s="24"/>
      <c r="DD48" s="24"/>
      <c r="DE48" s="24"/>
      <c r="DF48" s="24"/>
      <c r="DG48" s="24"/>
      <c r="DH48" s="24"/>
      <c r="DI48" s="24"/>
      <c r="DJ48" s="24"/>
      <c r="DK48" s="24"/>
      <c r="DL48" s="24"/>
      <c r="DM48" s="24"/>
      <c r="DN48" s="24"/>
      <c r="DO48" s="24"/>
      <c r="DP48" s="24"/>
      <c r="DQ48" s="24"/>
      <c r="DR48" s="24"/>
      <c r="DS48" s="24"/>
      <c r="DT48" s="24"/>
      <c r="DU48" s="24"/>
      <c r="DV48" s="24"/>
      <c r="DW48" s="24"/>
      <c r="DX48" s="24"/>
      <c r="DY48" s="24"/>
      <c r="DZ48" s="24"/>
      <c r="EA48" s="24"/>
    </row>
    <row r="49" spans="1:131" ht="13.5" thickBot="1">
      <c r="A49" s="24"/>
      <c r="B49" s="24" t="s">
        <v>503</v>
      </c>
      <c r="C49" s="24" t="s">
        <v>504</v>
      </c>
      <c r="D49" s="24"/>
      <c r="E49" s="24"/>
      <c r="F49" s="24"/>
      <c r="G49" s="210" t="s">
        <v>505</v>
      </c>
      <c r="H49" s="211" t="s">
        <v>499</v>
      </c>
      <c r="I49" s="211"/>
      <c r="J49" s="211"/>
      <c r="K49" s="211"/>
      <c r="L49" s="211"/>
      <c r="M49" s="211"/>
      <c r="N49" s="211"/>
      <c r="O49" s="212"/>
      <c r="P49" s="24"/>
      <c r="Q49" s="210" t="s">
        <v>506</v>
      </c>
      <c r="R49" s="211"/>
      <c r="S49" s="211">
        <v>20</v>
      </c>
      <c r="T49" s="211"/>
      <c r="U49" s="212"/>
      <c r="V49" s="24"/>
      <c r="W49" s="210" t="s">
        <v>507</v>
      </c>
      <c r="X49" s="212">
        <v>2018</v>
      </c>
      <c r="Y49" s="24"/>
      <c r="Z49" s="210" t="s">
        <v>508</v>
      </c>
      <c r="AA49" s="211">
        <v>0</v>
      </c>
      <c r="AB49" s="212">
        <v>0</v>
      </c>
      <c r="AC49" s="24"/>
      <c r="AD49" s="24"/>
      <c r="AE49" s="24"/>
      <c r="AF49" s="24"/>
      <c r="AG49" s="24"/>
      <c r="AH49" s="24"/>
      <c r="AI49" s="24"/>
      <c r="AJ49" s="24"/>
      <c r="AK49" s="24"/>
      <c r="AL49" s="24"/>
      <c r="AM49" s="24"/>
      <c r="AN49" s="24"/>
      <c r="AO49" s="24"/>
      <c r="AP49" s="24"/>
      <c r="AQ49" s="24"/>
      <c r="AR49" s="24"/>
      <c r="AS49" s="24"/>
      <c r="AT49" s="24"/>
      <c r="AU49" s="24"/>
      <c r="AV49" s="24"/>
      <c r="AW49" s="24"/>
      <c r="AX49" s="24"/>
      <c r="AY49" s="24"/>
      <c r="AZ49" s="24"/>
      <c r="BA49" s="24"/>
      <c r="BB49" s="24"/>
      <c r="BC49" s="24"/>
      <c r="BD49" s="24"/>
      <c r="BE49" s="24"/>
      <c r="BF49" s="24"/>
      <c r="BG49" s="24"/>
      <c r="BH49" s="24"/>
      <c r="BI49" s="24"/>
      <c r="BJ49" s="24"/>
      <c r="BK49" s="24"/>
      <c r="BL49" s="24"/>
      <c r="BM49" s="24"/>
      <c r="BN49" s="24"/>
      <c r="BO49" s="24"/>
      <c r="BP49" s="24"/>
      <c r="BQ49" s="24"/>
      <c r="BR49" s="24"/>
      <c r="BS49" s="24"/>
      <c r="BT49" s="24"/>
      <c r="BU49" s="24"/>
      <c r="BV49" s="24"/>
      <c r="BW49" s="24"/>
      <c r="BX49" s="24"/>
      <c r="BY49" s="24"/>
      <c r="BZ49" s="24"/>
      <c r="CA49" s="24"/>
      <c r="CB49" s="24"/>
      <c r="CC49" s="24"/>
      <c r="CD49" s="24"/>
      <c r="CE49" s="24"/>
      <c r="CF49" s="24"/>
      <c r="CG49" s="24"/>
      <c r="CH49" s="24"/>
      <c r="CI49" s="24"/>
      <c r="CJ49" s="24"/>
      <c r="CK49" s="24"/>
      <c r="CL49" s="24"/>
      <c r="CM49" s="24"/>
      <c r="CN49" s="24"/>
      <c r="CO49" s="24"/>
      <c r="CP49" s="24"/>
      <c r="CQ49" s="24"/>
      <c r="CR49" s="24"/>
      <c r="CS49" s="24"/>
      <c r="CT49" s="24"/>
      <c r="CU49" s="24"/>
      <c r="CV49" s="24"/>
      <c r="CW49" s="24"/>
      <c r="CX49" s="24"/>
      <c r="CY49" s="24"/>
      <c r="CZ49" s="24"/>
      <c r="DA49" s="24"/>
      <c r="DB49" s="24"/>
      <c r="DC49" s="24"/>
      <c r="DD49" s="24"/>
      <c r="DE49" s="24"/>
      <c r="DF49" s="24"/>
      <c r="DG49" s="24"/>
      <c r="DH49" s="24"/>
      <c r="DI49" s="24"/>
      <c r="DJ49" s="24"/>
      <c r="DK49" s="24"/>
      <c r="DL49" s="24"/>
      <c r="DM49" s="24"/>
      <c r="DN49" s="24"/>
      <c r="DO49" s="24"/>
      <c r="DP49" s="24"/>
      <c r="DQ49" s="24"/>
      <c r="DR49" s="24"/>
      <c r="DS49" s="24"/>
      <c r="DT49" s="24"/>
      <c r="DU49" s="24"/>
      <c r="DV49" s="24"/>
      <c r="DW49" s="24"/>
      <c r="DX49" s="24"/>
      <c r="DY49" s="24"/>
      <c r="DZ49" s="24"/>
      <c r="EA49" s="24"/>
    </row>
    <row r="50" spans="1:131">
      <c r="A50" s="24"/>
      <c r="B50" s="24"/>
      <c r="C50" s="24"/>
      <c r="D50" s="24"/>
      <c r="E50" s="24"/>
      <c r="F50" s="24"/>
      <c r="G50" s="24"/>
      <c r="H50" s="24"/>
      <c r="I50" s="24"/>
      <c r="J50" s="24"/>
      <c r="K50" s="24"/>
      <c r="L50" s="24"/>
      <c r="M50" s="24"/>
      <c r="N50" s="24"/>
      <c r="O50" s="24"/>
      <c r="P50" s="24"/>
      <c r="Q50" s="24"/>
      <c r="R50" s="24"/>
      <c r="S50" s="24"/>
      <c r="T50" s="24"/>
      <c r="U50" s="24"/>
      <c r="V50" s="24"/>
      <c r="W50" s="24"/>
      <c r="X50" s="24"/>
      <c r="Y50" s="24"/>
      <c r="Z50" s="24"/>
      <c r="AA50" s="24"/>
      <c r="AB50" s="24"/>
      <c r="AC50" s="24"/>
      <c r="AD50" s="24"/>
      <c r="AE50" s="24"/>
      <c r="AF50" s="24"/>
      <c r="AG50" s="24"/>
      <c r="AH50" s="24"/>
      <c r="AI50" s="24"/>
      <c r="AJ50" s="24"/>
      <c r="AK50" s="24"/>
      <c r="AL50" s="24"/>
      <c r="AM50" s="24"/>
      <c r="AN50" s="24"/>
      <c r="AO50" s="24"/>
      <c r="AP50" s="24"/>
      <c r="AQ50" s="24"/>
      <c r="AR50" s="24"/>
      <c r="AS50" s="24"/>
      <c r="AT50" s="24"/>
      <c r="AU50" s="24"/>
      <c r="AV50" s="24"/>
      <c r="AW50" s="24"/>
      <c r="AX50" s="24"/>
      <c r="AY50" s="24"/>
      <c r="AZ50" s="24"/>
      <c r="BA50" s="24"/>
      <c r="BB50" s="24"/>
      <c r="BC50" s="24"/>
      <c r="BD50" s="24"/>
      <c r="BE50" s="24"/>
      <c r="BF50" s="24"/>
      <c r="BG50" s="24"/>
      <c r="BH50" s="24"/>
      <c r="BI50" s="24"/>
      <c r="BJ50" s="24"/>
      <c r="BK50" s="24"/>
      <c r="BL50" s="24"/>
      <c r="BM50" s="24"/>
      <c r="BN50" s="24"/>
      <c r="BO50" s="24"/>
      <c r="BP50" s="24"/>
      <c r="BQ50" s="24"/>
      <c r="BR50" s="24"/>
      <c r="BS50" s="24"/>
      <c r="BT50" s="24"/>
      <c r="BU50" s="24"/>
      <c r="BV50" s="24"/>
      <c r="BW50" s="24"/>
      <c r="BX50" s="24"/>
      <c r="BY50" s="24"/>
      <c r="BZ50" s="24"/>
      <c r="CA50" s="24"/>
      <c r="CB50" s="24"/>
      <c r="CC50" s="24"/>
      <c r="CD50" s="24"/>
      <c r="CE50" s="24"/>
      <c r="CF50" s="24"/>
      <c r="CG50" s="24"/>
      <c r="CH50" s="24"/>
      <c r="CI50" s="24"/>
      <c r="CJ50" s="24"/>
      <c r="CK50" s="24"/>
      <c r="CL50" s="24"/>
      <c r="CM50" s="24"/>
      <c r="CN50" s="24"/>
      <c r="CO50" s="24"/>
      <c r="CP50" s="24"/>
      <c r="CQ50" s="24"/>
      <c r="CR50" s="24"/>
      <c r="CS50" s="24"/>
      <c r="CT50" s="24"/>
      <c r="CU50" s="24"/>
      <c r="CV50" s="24"/>
      <c r="CW50" s="24"/>
      <c r="CX50" s="24"/>
      <c r="CY50" s="24"/>
      <c r="CZ50" s="24"/>
      <c r="DA50" s="24"/>
      <c r="DB50" s="24"/>
      <c r="DC50" s="24"/>
      <c r="DD50" s="24"/>
      <c r="DE50" s="24"/>
      <c r="DF50" s="24"/>
      <c r="DG50" s="24"/>
      <c r="DH50" s="24"/>
      <c r="DI50" s="24"/>
      <c r="DJ50" s="24"/>
      <c r="DK50" s="24"/>
      <c r="DL50" s="24"/>
      <c r="DM50" s="24"/>
      <c r="DN50" s="24"/>
      <c r="DO50" s="24"/>
      <c r="DP50" s="24"/>
      <c r="DQ50" s="24"/>
      <c r="DR50" s="24"/>
      <c r="DS50" s="24"/>
      <c r="DT50" s="24"/>
      <c r="DU50" s="24"/>
      <c r="DV50" s="24"/>
      <c r="DW50" s="24"/>
      <c r="DX50" s="24"/>
      <c r="DY50" s="24"/>
      <c r="DZ50" s="24"/>
      <c r="EA50" s="24"/>
    </row>
    <row r="51" spans="1:131">
      <c r="A51" s="24"/>
      <c r="B51" s="24"/>
      <c r="C51" s="24"/>
      <c r="D51" s="24"/>
      <c r="E51" s="24"/>
      <c r="F51" s="24"/>
      <c r="G51" s="24"/>
      <c r="H51" s="24"/>
      <c r="I51" s="24"/>
      <c r="J51" s="24"/>
      <c r="K51" s="24"/>
      <c r="L51" s="24"/>
      <c r="M51" s="24"/>
      <c r="N51" s="24"/>
      <c r="O51" s="24"/>
      <c r="P51" s="24"/>
      <c r="Q51" s="24"/>
      <c r="R51" s="24"/>
      <c r="S51" s="24"/>
      <c r="T51" s="24"/>
      <c r="U51" s="24"/>
      <c r="V51" s="24"/>
      <c r="W51" s="24"/>
      <c r="X51" s="24"/>
      <c r="Y51" s="24"/>
      <c r="Z51" s="24"/>
      <c r="AA51" s="24"/>
      <c r="AB51" s="24"/>
      <c r="AC51" s="24"/>
      <c r="AD51" s="24"/>
      <c r="AE51" s="24"/>
      <c r="AF51" s="24"/>
      <c r="AG51" s="24"/>
      <c r="AH51" s="24"/>
      <c r="AI51" s="24"/>
      <c r="AJ51" s="24"/>
      <c r="AK51" s="24"/>
      <c r="AL51" s="24"/>
      <c r="AM51" s="24"/>
      <c r="AN51" s="24"/>
      <c r="AO51" s="24"/>
      <c r="AP51" s="24"/>
      <c r="AQ51" s="24"/>
      <c r="AR51" s="24"/>
      <c r="AS51" s="24"/>
      <c r="AT51" s="24"/>
      <c r="AU51" s="24"/>
      <c r="AV51" s="24"/>
      <c r="AW51" s="24"/>
      <c r="AX51" s="24"/>
      <c r="AY51" s="24"/>
      <c r="AZ51" s="24"/>
      <c r="BA51" s="24"/>
      <c r="BB51" s="24"/>
      <c r="BC51" s="24"/>
      <c r="BD51" s="24"/>
      <c r="BE51" s="24"/>
      <c r="BF51" s="24"/>
      <c r="BG51" s="24"/>
      <c r="BH51" s="24"/>
      <c r="BI51" s="24"/>
      <c r="BJ51" s="24"/>
      <c r="BK51" s="24"/>
      <c r="BL51" s="24"/>
      <c r="BM51" s="24"/>
      <c r="BN51" s="24"/>
      <c r="BO51" s="24"/>
      <c r="BP51" s="24"/>
      <c r="BQ51" s="24"/>
      <c r="BR51" s="24"/>
      <c r="BS51" s="24"/>
      <c r="BT51" s="24"/>
      <c r="BU51" s="24"/>
      <c r="BV51" s="24"/>
      <c r="BW51" s="24"/>
      <c r="BX51" s="24"/>
      <c r="BY51" s="24"/>
      <c r="BZ51" s="24"/>
      <c r="CA51" s="24"/>
      <c r="CB51" s="24"/>
      <c r="CC51" s="24"/>
      <c r="CD51" s="24"/>
      <c r="CE51" s="24"/>
      <c r="CF51" s="24"/>
      <c r="CG51" s="24"/>
      <c r="CH51" s="24"/>
      <c r="CI51" s="24"/>
      <c r="CJ51" s="24"/>
      <c r="CK51" s="24"/>
      <c r="CL51" s="24"/>
      <c r="CM51" s="24"/>
      <c r="CN51" s="24"/>
      <c r="CO51" s="24"/>
      <c r="CP51" s="24"/>
      <c r="CQ51" s="24"/>
      <c r="CR51" s="24"/>
      <c r="CS51" s="24"/>
      <c r="CT51" s="24"/>
      <c r="CU51" s="24"/>
      <c r="CV51" s="24"/>
      <c r="CW51" s="24"/>
      <c r="CX51" s="24"/>
      <c r="CY51" s="24"/>
      <c r="CZ51" s="24"/>
      <c r="DA51" s="24"/>
      <c r="DB51" s="24"/>
      <c r="DC51" s="24"/>
      <c r="DD51" s="24"/>
      <c r="DE51" s="24"/>
      <c r="DF51" s="24"/>
      <c r="DG51" s="24"/>
      <c r="DH51" s="24"/>
      <c r="DI51" s="24"/>
      <c r="DJ51" s="24"/>
      <c r="DK51" s="24"/>
      <c r="DL51" s="24"/>
      <c r="DM51" s="24"/>
      <c r="DN51" s="24"/>
      <c r="DO51" s="24"/>
      <c r="DP51" s="24"/>
      <c r="DQ51" s="24"/>
      <c r="DR51" s="24"/>
      <c r="DS51" s="24"/>
      <c r="DT51" s="24"/>
      <c r="DU51" s="24"/>
      <c r="DV51" s="24"/>
      <c r="DW51" s="24"/>
      <c r="DX51" s="24"/>
      <c r="DY51" s="24"/>
      <c r="DZ51" s="24"/>
      <c r="EA51" s="24"/>
    </row>
    <row r="52" spans="1:131">
      <c r="A52" s="24"/>
      <c r="B52" s="24"/>
      <c r="C52" s="24"/>
      <c r="D52" s="24"/>
      <c r="E52" s="24"/>
      <c r="F52" s="24"/>
      <c r="G52" s="24"/>
      <c r="H52" s="24"/>
      <c r="I52" s="24"/>
      <c r="J52" s="24"/>
      <c r="K52" s="24"/>
      <c r="L52" s="24"/>
      <c r="M52" s="24"/>
      <c r="N52" s="24"/>
      <c r="O52" s="24"/>
      <c r="P52" s="24"/>
      <c r="Q52" s="24"/>
      <c r="R52" s="24"/>
      <c r="S52" s="24"/>
      <c r="T52" s="24"/>
      <c r="U52" s="24"/>
      <c r="V52" s="24"/>
      <c r="W52" s="24"/>
      <c r="X52" s="24"/>
      <c r="Y52" s="24"/>
      <c r="Z52" s="24"/>
      <c r="AA52" s="24"/>
      <c r="AB52" s="24"/>
      <c r="AC52" s="24"/>
      <c r="AD52" s="24"/>
      <c r="AE52" s="24"/>
      <c r="AF52" s="24"/>
      <c r="AG52" s="24"/>
      <c r="AH52" s="24"/>
      <c r="AI52" s="24"/>
      <c r="AJ52" s="24"/>
      <c r="AK52" s="24"/>
      <c r="AL52" s="24"/>
      <c r="AM52" s="24"/>
      <c r="AN52" s="24"/>
      <c r="AO52" s="24"/>
      <c r="AP52" s="24"/>
      <c r="AQ52" s="24"/>
      <c r="AR52" s="24"/>
      <c r="AS52" s="24"/>
      <c r="AT52" s="24"/>
      <c r="AU52" s="24"/>
      <c r="AV52" s="24"/>
      <c r="AW52" s="24"/>
      <c r="AX52" s="24"/>
      <c r="AY52" s="24"/>
      <c r="AZ52" s="24"/>
      <c r="BA52" s="24"/>
      <c r="BB52" s="24"/>
      <c r="BC52" s="24"/>
      <c r="BD52" s="24"/>
      <c r="BE52" s="24"/>
      <c r="BF52" s="24"/>
      <c r="BG52" s="24"/>
      <c r="BH52" s="24"/>
      <c r="BI52" s="24"/>
      <c r="BJ52" s="24"/>
      <c r="BK52" s="24"/>
      <c r="BL52" s="24"/>
      <c r="BM52" s="24"/>
      <c r="BN52" s="24"/>
      <c r="BO52" s="24"/>
      <c r="BP52" s="24"/>
      <c r="BQ52" s="24"/>
      <c r="BR52" s="24"/>
      <c r="BS52" s="24"/>
      <c r="BT52" s="24"/>
      <c r="BU52" s="24"/>
      <c r="BV52" s="24"/>
      <c r="BW52" s="24"/>
      <c r="BX52" s="24"/>
      <c r="BY52" s="24"/>
      <c r="BZ52" s="24"/>
      <c r="CA52" s="24"/>
      <c r="CB52" s="24"/>
      <c r="CC52" s="24"/>
      <c r="CD52" s="24"/>
      <c r="CE52" s="24"/>
      <c r="CF52" s="24"/>
      <c r="CG52" s="24"/>
      <c r="CH52" s="24"/>
      <c r="CI52" s="24"/>
      <c r="CJ52" s="24"/>
      <c r="CK52" s="24"/>
      <c r="CL52" s="24"/>
      <c r="CM52" s="24"/>
      <c r="CN52" s="24"/>
      <c r="CO52" s="24"/>
      <c r="CP52" s="24"/>
      <c r="CQ52" s="24"/>
      <c r="CR52" s="24"/>
      <c r="CS52" s="24"/>
      <c r="CT52" s="24"/>
      <c r="CU52" s="24"/>
      <c r="CV52" s="24"/>
      <c r="CW52" s="24"/>
      <c r="CX52" s="24"/>
      <c r="CY52" s="24"/>
      <c r="CZ52" s="24"/>
      <c r="DA52" s="24"/>
      <c r="DB52" s="24"/>
      <c r="DC52" s="24"/>
      <c r="DD52" s="24"/>
      <c r="DE52" s="24"/>
      <c r="DF52" s="24"/>
      <c r="DG52" s="24"/>
      <c r="DH52" s="24"/>
      <c r="DI52" s="24"/>
      <c r="DJ52" s="24"/>
      <c r="DK52" s="24"/>
      <c r="DL52" s="24"/>
      <c r="DM52" s="24"/>
      <c r="DN52" s="24"/>
      <c r="DO52" s="24"/>
      <c r="DP52" s="24"/>
      <c r="DQ52" s="24"/>
      <c r="DR52" s="24"/>
      <c r="DS52" s="24"/>
      <c r="DT52" s="24"/>
      <c r="DU52" s="24"/>
      <c r="DV52" s="24"/>
      <c r="DW52" s="24"/>
      <c r="DX52" s="24"/>
      <c r="DY52" s="24"/>
      <c r="DZ52" s="24"/>
      <c r="EA52" s="24"/>
    </row>
    <row r="53" spans="1:131">
      <c r="A53" s="24"/>
      <c r="B53" s="24"/>
      <c r="C53" s="24"/>
      <c r="D53" s="24"/>
      <c r="E53" s="24"/>
      <c r="F53" s="24"/>
      <c r="G53" s="24"/>
      <c r="H53" s="24"/>
      <c r="I53" s="24"/>
      <c r="J53" s="24"/>
      <c r="K53" s="24"/>
      <c r="L53" s="24"/>
      <c r="M53" s="24"/>
      <c r="N53" s="24"/>
      <c r="O53" s="24"/>
      <c r="P53" s="24"/>
      <c r="Q53" s="24"/>
      <c r="R53" s="24"/>
      <c r="S53" s="24"/>
      <c r="T53" s="24"/>
      <c r="U53" s="24"/>
      <c r="V53" s="24"/>
      <c r="W53" s="24"/>
      <c r="X53" s="24"/>
      <c r="Y53" s="24"/>
      <c r="Z53" s="24"/>
      <c r="AA53" s="24"/>
      <c r="AB53" s="24"/>
      <c r="AC53" s="24"/>
      <c r="AD53" s="24"/>
      <c r="AE53" s="24"/>
      <c r="AF53" s="24"/>
      <c r="AG53" s="24"/>
      <c r="AH53" s="24"/>
      <c r="AI53" s="24"/>
      <c r="AJ53" s="24"/>
      <c r="AK53" s="24"/>
      <c r="AL53" s="24"/>
      <c r="AM53" s="24"/>
      <c r="AN53" s="24"/>
      <c r="AO53" s="24"/>
      <c r="AP53" s="24"/>
      <c r="AQ53" s="24"/>
      <c r="AR53" s="24"/>
      <c r="AS53" s="24"/>
      <c r="AT53" s="24"/>
      <c r="AU53" s="24"/>
      <c r="AV53" s="24"/>
      <c r="AW53" s="24"/>
      <c r="AX53" s="24"/>
      <c r="AY53" s="24"/>
      <c r="AZ53" s="24"/>
      <c r="BA53" s="24"/>
      <c r="BB53" s="24"/>
      <c r="BC53" s="24"/>
      <c r="BD53" s="24"/>
      <c r="BE53" s="24"/>
      <c r="BF53" s="24"/>
      <c r="BG53" s="24"/>
      <c r="BH53" s="24"/>
      <c r="BI53" s="24"/>
      <c r="BJ53" s="24"/>
      <c r="BK53" s="24"/>
      <c r="BL53" s="24"/>
      <c r="BM53" s="24"/>
      <c r="BN53" s="24"/>
      <c r="BO53" s="24"/>
      <c r="BP53" s="24"/>
      <c r="BQ53" s="24"/>
      <c r="BR53" s="24"/>
      <c r="BS53" s="24"/>
      <c r="BT53" s="24"/>
      <c r="BU53" s="24"/>
      <c r="BV53" s="24"/>
      <c r="BW53" s="24"/>
      <c r="BX53" s="24"/>
      <c r="BY53" s="24"/>
      <c r="BZ53" s="24"/>
      <c r="CA53" s="24"/>
      <c r="CB53" s="24"/>
      <c r="CC53" s="24"/>
      <c r="CD53" s="24"/>
      <c r="CE53" s="24"/>
      <c r="CF53" s="24"/>
      <c r="CG53" s="24"/>
      <c r="CH53" s="24"/>
      <c r="CI53" s="24"/>
      <c r="CJ53" s="24"/>
      <c r="CK53" s="24"/>
      <c r="CL53" s="24"/>
      <c r="CM53" s="24"/>
      <c r="CN53" s="24"/>
      <c r="CO53" s="24"/>
      <c r="CP53" s="24"/>
      <c r="CQ53" s="24"/>
      <c r="CR53" s="24"/>
      <c r="CS53" s="24"/>
      <c r="CT53" s="24"/>
      <c r="CU53" s="24"/>
      <c r="CV53" s="24"/>
      <c r="CW53" s="24"/>
      <c r="CX53" s="24"/>
      <c r="CY53" s="24"/>
      <c r="CZ53" s="24"/>
      <c r="DA53" s="24"/>
      <c r="DB53" s="24"/>
      <c r="DC53" s="24"/>
      <c r="DD53" s="24"/>
      <c r="DE53" s="24"/>
      <c r="DF53" s="24"/>
      <c r="DG53" s="24"/>
      <c r="DH53" s="24"/>
      <c r="DI53" s="24"/>
      <c r="DJ53" s="24"/>
      <c r="DK53" s="24"/>
      <c r="DL53" s="24"/>
      <c r="DM53" s="24"/>
      <c r="DN53" s="24"/>
      <c r="DO53" s="24"/>
      <c r="DP53" s="24"/>
      <c r="DQ53" s="24"/>
      <c r="DR53" s="24"/>
      <c r="DS53" s="24"/>
      <c r="DT53" s="24"/>
      <c r="DU53" s="24"/>
      <c r="DV53" s="24"/>
      <c r="DW53" s="24"/>
      <c r="DX53" s="24"/>
      <c r="DY53" s="24"/>
      <c r="DZ53" s="24"/>
      <c r="EA53" s="24"/>
    </row>
    <row r="54" spans="1:131">
      <c r="A54" s="24"/>
      <c r="B54" s="24"/>
      <c r="C54" s="24"/>
      <c r="D54" s="24"/>
      <c r="E54" s="24"/>
      <c r="F54" s="24"/>
      <c r="G54" s="24"/>
      <c r="H54" s="24"/>
      <c r="I54" s="24"/>
      <c r="J54" s="24"/>
      <c r="K54" s="24"/>
      <c r="L54" s="24"/>
      <c r="M54" s="24"/>
      <c r="N54" s="24"/>
      <c r="O54" s="24"/>
      <c r="P54" s="24"/>
      <c r="Q54" s="24"/>
      <c r="R54" s="24"/>
      <c r="S54" s="24"/>
      <c r="T54" s="24"/>
      <c r="U54" s="24"/>
      <c r="V54" s="24"/>
      <c r="W54" s="24"/>
      <c r="X54" s="24"/>
      <c r="Y54" s="24"/>
      <c r="Z54" s="24"/>
      <c r="AA54" s="24"/>
      <c r="AB54" s="24"/>
      <c r="AC54" s="24"/>
      <c r="AD54" s="24"/>
      <c r="AE54" s="24"/>
      <c r="AF54" s="24"/>
      <c r="AG54" s="24"/>
      <c r="AH54" s="24"/>
      <c r="AI54" s="24"/>
      <c r="AJ54" s="24"/>
      <c r="AK54" s="24"/>
      <c r="AL54" s="24"/>
      <c r="AM54" s="24"/>
      <c r="AN54" s="24"/>
      <c r="AO54" s="24"/>
      <c r="AP54" s="24"/>
      <c r="AQ54" s="24"/>
      <c r="AR54" s="24"/>
      <c r="AS54" s="24"/>
      <c r="AT54" s="24"/>
      <c r="AU54" s="24"/>
      <c r="AV54" s="24"/>
      <c r="AW54" s="24"/>
      <c r="AX54" s="24"/>
      <c r="AY54" s="24"/>
      <c r="AZ54" s="24"/>
      <c r="BA54" s="24"/>
      <c r="BB54" s="24"/>
      <c r="BC54" s="24"/>
      <c r="BD54" s="24"/>
      <c r="BE54" s="24"/>
      <c r="BF54" s="24"/>
      <c r="BG54" s="24"/>
      <c r="BH54" s="24"/>
      <c r="BI54" s="24"/>
      <c r="BJ54" s="24"/>
      <c r="BK54" s="24"/>
      <c r="BL54" s="24"/>
      <c r="BM54" s="24"/>
      <c r="BN54" s="24"/>
      <c r="BO54" s="24"/>
      <c r="BP54" s="24"/>
      <c r="BQ54" s="24"/>
      <c r="BR54" s="24"/>
      <c r="BS54" s="24"/>
      <c r="BT54" s="24"/>
      <c r="BU54" s="24"/>
      <c r="BV54" s="24"/>
      <c r="BW54" s="24"/>
      <c r="BX54" s="24"/>
      <c r="BY54" s="24"/>
      <c r="BZ54" s="24"/>
      <c r="CA54" s="24"/>
      <c r="CB54" s="24"/>
      <c r="CC54" s="24"/>
      <c r="CD54" s="24"/>
      <c r="CE54" s="24"/>
      <c r="CF54" s="24"/>
      <c r="CG54" s="24"/>
      <c r="CH54" s="24"/>
      <c r="CI54" s="24"/>
      <c r="CJ54" s="24"/>
      <c r="CK54" s="24"/>
      <c r="CL54" s="24"/>
      <c r="CM54" s="24"/>
      <c r="CN54" s="24"/>
      <c r="CO54" s="24"/>
      <c r="CP54" s="24"/>
      <c r="CQ54" s="24"/>
      <c r="CR54" s="24"/>
      <c r="CS54" s="24"/>
      <c r="CT54" s="24"/>
      <c r="CU54" s="24"/>
      <c r="CV54" s="24"/>
      <c r="CW54" s="24"/>
      <c r="CX54" s="24"/>
      <c r="CY54" s="24"/>
      <c r="CZ54" s="24"/>
      <c r="DA54" s="24"/>
      <c r="DB54" s="24"/>
      <c r="DC54" s="24"/>
      <c r="DD54" s="24"/>
      <c r="DE54" s="24"/>
      <c r="DF54" s="24"/>
      <c r="DG54" s="24"/>
      <c r="DH54" s="24"/>
      <c r="DI54" s="24"/>
      <c r="DJ54" s="24"/>
      <c r="DK54" s="24"/>
      <c r="DL54" s="24"/>
      <c r="DM54" s="24"/>
      <c r="DN54" s="24"/>
      <c r="DO54" s="24"/>
      <c r="DP54" s="24"/>
      <c r="DQ54" s="24"/>
      <c r="DR54" s="24"/>
      <c r="DS54" s="24"/>
      <c r="DT54" s="24"/>
      <c r="DU54" s="24"/>
      <c r="DV54" s="24"/>
      <c r="DW54" s="24"/>
      <c r="DX54" s="24"/>
      <c r="DY54" s="24"/>
      <c r="DZ54" s="24"/>
      <c r="EA54" s="24"/>
    </row>
    <row r="55" spans="1:131">
      <c r="A55" s="24"/>
      <c r="B55" s="24"/>
      <c r="C55" s="24"/>
      <c r="D55" s="24"/>
      <c r="E55" s="24"/>
      <c r="F55" s="24"/>
      <c r="G55" s="2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c r="BD55" s="24"/>
      <c r="BE55" s="24"/>
      <c r="BF55" s="24"/>
      <c r="BG55" s="24"/>
      <c r="BH55" s="24"/>
      <c r="BI55" s="24"/>
      <c r="BJ55" s="24"/>
      <c r="BK55" s="24"/>
      <c r="BL55" s="24"/>
      <c r="BM55" s="24"/>
      <c r="BN55" s="24"/>
      <c r="BO55" s="24"/>
      <c r="BP55" s="24"/>
      <c r="BQ55" s="24"/>
      <c r="BR55" s="24"/>
      <c r="BS55" s="24"/>
      <c r="BT55" s="24"/>
      <c r="BU55" s="24"/>
      <c r="BV55" s="24"/>
      <c r="BW55" s="24"/>
      <c r="BX55" s="24"/>
      <c r="BY55" s="24"/>
      <c r="BZ55" s="24"/>
      <c r="CA55" s="24"/>
      <c r="CB55" s="24"/>
      <c r="CC55" s="24"/>
      <c r="CD55" s="24"/>
      <c r="CE55" s="24"/>
      <c r="CF55" s="24"/>
      <c r="CG55" s="24"/>
      <c r="CH55" s="24"/>
      <c r="CI55" s="24"/>
      <c r="CJ55" s="24"/>
      <c r="CK55" s="24"/>
      <c r="CL55" s="24"/>
      <c r="CM55" s="24"/>
      <c r="CN55" s="24"/>
      <c r="CO55" s="24"/>
      <c r="CP55" s="24"/>
      <c r="CQ55" s="24"/>
      <c r="CR55" s="24"/>
      <c r="CS55" s="24"/>
      <c r="CT55" s="24"/>
      <c r="CU55" s="24"/>
      <c r="CV55" s="24"/>
      <c r="CW55" s="24"/>
      <c r="CX55" s="24"/>
      <c r="CY55" s="24"/>
      <c r="CZ55" s="24"/>
      <c r="DA55" s="24"/>
      <c r="DB55" s="24"/>
      <c r="DC55" s="24"/>
      <c r="DD55" s="24"/>
      <c r="DE55" s="24"/>
      <c r="DF55" s="24"/>
      <c r="DG55" s="24"/>
      <c r="DH55" s="24"/>
      <c r="DI55" s="24"/>
      <c r="DJ55" s="24"/>
      <c r="DK55" s="24"/>
      <c r="DL55" s="24"/>
      <c r="DM55" s="24"/>
      <c r="DN55" s="24"/>
      <c r="DO55" s="24"/>
      <c r="DP55" s="24"/>
      <c r="DQ55" s="24"/>
      <c r="DR55" s="24"/>
      <c r="DS55" s="24"/>
      <c r="DT55" s="24"/>
      <c r="DU55" s="24"/>
      <c r="DV55" s="24"/>
      <c r="DW55" s="24"/>
      <c r="DX55" s="24"/>
      <c r="DY55" s="24"/>
      <c r="DZ55" s="24"/>
      <c r="EA55" s="24"/>
    </row>
    <row r="56" spans="1:131">
      <c r="A56" s="24"/>
      <c r="B56" s="24"/>
      <c r="C56" s="24"/>
      <c r="D56" s="24"/>
      <c r="E56" s="24"/>
      <c r="F56" s="24"/>
      <c r="G56" s="2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c r="BD56" s="24"/>
      <c r="BE56" s="24"/>
      <c r="BF56" s="24"/>
      <c r="BG56" s="24"/>
      <c r="BH56" s="24"/>
      <c r="BI56" s="24"/>
      <c r="BJ56" s="24"/>
      <c r="BK56" s="24"/>
      <c r="BL56" s="24"/>
      <c r="BM56" s="24"/>
      <c r="BN56" s="24"/>
      <c r="BO56" s="24"/>
      <c r="BP56" s="24"/>
      <c r="BQ56" s="24"/>
      <c r="BR56" s="24"/>
      <c r="BS56" s="24"/>
      <c r="BT56" s="24"/>
      <c r="BU56" s="24"/>
      <c r="BV56" s="24"/>
      <c r="BW56" s="24"/>
      <c r="BX56" s="24"/>
      <c r="BY56" s="24"/>
      <c r="BZ56" s="24"/>
      <c r="CA56" s="24"/>
      <c r="CB56" s="24"/>
      <c r="CC56" s="24"/>
      <c r="CD56" s="24"/>
      <c r="CE56" s="24"/>
      <c r="CF56" s="24"/>
      <c r="CG56" s="24"/>
      <c r="CH56" s="24"/>
      <c r="CI56" s="24"/>
      <c r="CJ56" s="24"/>
      <c r="CK56" s="24"/>
      <c r="CL56" s="24"/>
      <c r="CM56" s="24"/>
      <c r="CN56" s="24"/>
      <c r="CO56" s="24"/>
      <c r="CP56" s="24"/>
      <c r="CQ56" s="24"/>
      <c r="CR56" s="24"/>
      <c r="CS56" s="24"/>
      <c r="CT56" s="24"/>
      <c r="CU56" s="24"/>
      <c r="CV56" s="24"/>
      <c r="CW56" s="24"/>
      <c r="CX56" s="24"/>
      <c r="CY56" s="24"/>
      <c r="CZ56" s="24"/>
      <c r="DA56" s="24"/>
      <c r="DB56" s="24"/>
      <c r="DC56" s="24"/>
      <c r="DD56" s="24"/>
      <c r="DE56" s="24"/>
      <c r="DF56" s="24"/>
      <c r="DG56" s="24"/>
      <c r="DH56" s="24"/>
      <c r="DI56" s="24"/>
      <c r="DJ56" s="24"/>
      <c r="DK56" s="24"/>
      <c r="DL56" s="24"/>
      <c r="DM56" s="24"/>
      <c r="DN56" s="24"/>
      <c r="DO56" s="24"/>
      <c r="DP56" s="24"/>
      <c r="DQ56" s="24"/>
      <c r="DR56" s="24"/>
      <c r="DS56" s="24"/>
      <c r="DT56" s="24"/>
      <c r="DU56" s="24"/>
      <c r="DV56" s="24"/>
      <c r="DW56" s="24"/>
      <c r="DX56" s="24"/>
      <c r="DY56" s="24"/>
      <c r="DZ56" s="24"/>
      <c r="EA56" s="24"/>
    </row>
    <row r="57" spans="1:131" ht="13.5" thickBot="1">
      <c r="A57" s="187" t="s">
        <v>509</v>
      </c>
      <c r="B57" s="188"/>
      <c r="C57" s="45"/>
      <c r="D57" s="45"/>
      <c r="E57" s="45"/>
      <c r="F57" s="45"/>
      <c r="G57" s="45"/>
      <c r="H57" s="45"/>
      <c r="I57" s="45"/>
      <c r="J57" s="45"/>
      <c r="K57" s="45"/>
      <c r="L57" s="45"/>
      <c r="M57" s="45"/>
      <c r="N57" s="45"/>
      <c r="O57" s="45"/>
      <c r="P57" s="45"/>
      <c r="Q57" s="45"/>
      <c r="R57" s="45"/>
      <c r="S57" s="45"/>
      <c r="T57" s="45"/>
      <c r="U57" s="45"/>
      <c r="V57" s="45"/>
      <c r="W57" s="45"/>
      <c r="X57" s="45"/>
      <c r="Y57" s="45"/>
      <c r="Z57" s="45"/>
      <c r="AA57" s="45"/>
      <c r="AB57" s="45"/>
      <c r="AC57" s="45"/>
      <c r="AD57" s="45"/>
      <c r="AE57" s="45"/>
      <c r="AF57" s="45"/>
      <c r="AG57" s="45"/>
      <c r="AH57" s="45"/>
      <c r="AI57" s="45"/>
      <c r="AJ57" s="45"/>
      <c r="AK57" s="45"/>
      <c r="AL57" s="45"/>
      <c r="AM57" s="45"/>
      <c r="AN57" s="45"/>
      <c r="AO57" s="45"/>
      <c r="AP57" s="45"/>
      <c r="AQ57" s="45"/>
      <c r="AR57" s="45"/>
      <c r="AS57" s="45"/>
      <c r="AT57" s="45"/>
      <c r="AU57" s="45"/>
      <c r="AV57" s="45"/>
      <c r="AW57" s="45"/>
      <c r="AX57" s="45"/>
      <c r="AY57" s="45"/>
      <c r="AZ57" s="45"/>
      <c r="BA57" s="45"/>
      <c r="BB57" s="45"/>
      <c r="BC57" s="45"/>
      <c r="BD57" s="45"/>
      <c r="BE57" s="45"/>
      <c r="BF57" s="45"/>
      <c r="BG57" s="45"/>
      <c r="BH57" s="45"/>
      <c r="BI57" s="45"/>
      <c r="BJ57" s="45"/>
      <c r="BK57" s="45"/>
      <c r="BL57" s="45"/>
      <c r="BM57" s="45"/>
      <c r="BN57" s="45"/>
      <c r="BO57" s="45"/>
      <c r="BP57" s="45"/>
      <c r="BQ57" s="45"/>
      <c r="BR57" s="45"/>
      <c r="BS57" s="45"/>
      <c r="BT57" s="45"/>
      <c r="BU57" s="45"/>
      <c r="BV57" s="45"/>
      <c r="BW57" s="45"/>
      <c r="BX57" s="45"/>
      <c r="BY57" s="45"/>
      <c r="BZ57" s="45"/>
      <c r="CA57" s="45"/>
      <c r="CB57" s="45"/>
      <c r="CC57" s="45"/>
      <c r="CD57" s="45"/>
      <c r="CE57" s="45"/>
      <c r="CF57" s="45"/>
      <c r="CG57" s="45"/>
      <c r="CH57" s="45"/>
      <c r="CI57" s="45"/>
      <c r="CJ57" s="45"/>
      <c r="CK57" s="45"/>
      <c r="CL57" s="45"/>
      <c r="CM57" s="45"/>
      <c r="CN57" s="45"/>
      <c r="CO57" s="45"/>
      <c r="CP57" s="45"/>
      <c r="CQ57" s="45"/>
      <c r="CR57" s="45"/>
      <c r="CS57" s="45"/>
      <c r="CT57" s="45"/>
      <c r="CU57" s="45"/>
      <c r="CV57" s="45"/>
      <c r="CW57" s="45"/>
      <c r="CX57" s="24"/>
      <c r="CY57" s="24"/>
      <c r="CZ57" s="24"/>
      <c r="DA57" s="24"/>
      <c r="DB57" s="24"/>
      <c r="DC57" s="24"/>
      <c r="DD57" s="24"/>
      <c r="DE57" s="24"/>
      <c r="DF57" s="24"/>
      <c r="DG57" s="24"/>
      <c r="DH57" s="24"/>
      <c r="DI57" s="24"/>
      <c r="DJ57" s="24"/>
      <c r="DK57" s="24"/>
      <c r="DL57" s="24"/>
      <c r="DM57" s="24"/>
      <c r="DN57" s="24"/>
      <c r="DO57" s="24"/>
      <c r="DP57" s="24"/>
      <c r="DQ57" s="24"/>
      <c r="DR57" s="24"/>
      <c r="DS57" s="24"/>
      <c r="DT57" s="24"/>
      <c r="DU57" s="24"/>
      <c r="DV57" s="24"/>
      <c r="DW57" s="24"/>
      <c r="DX57" s="24"/>
      <c r="DY57" s="24"/>
      <c r="DZ57" s="24"/>
      <c r="EA57" s="24"/>
    </row>
    <row r="58" spans="1:131" ht="26.25" thickBot="1">
      <c r="A58" s="213" t="s">
        <v>510</v>
      </c>
      <c r="B58" s="214"/>
      <c r="C58" s="215" t="s">
        <v>511</v>
      </c>
      <c r="D58" s="216"/>
      <c r="E58" s="216"/>
      <c r="F58" s="216"/>
      <c r="G58" s="216"/>
      <c r="H58" s="216"/>
      <c r="I58" s="216"/>
      <c r="J58" s="216"/>
      <c r="K58" s="217"/>
      <c r="L58" s="215" t="s">
        <v>512</v>
      </c>
      <c r="M58" s="216"/>
      <c r="N58" s="216"/>
      <c r="O58" s="216"/>
      <c r="P58" s="216"/>
      <c r="Q58" s="217"/>
      <c r="R58" s="215" t="s">
        <v>513</v>
      </c>
      <c r="S58" s="216"/>
      <c r="T58" s="216"/>
      <c r="U58" s="217"/>
      <c r="V58" s="215" t="s">
        <v>514</v>
      </c>
      <c r="W58" s="216"/>
      <c r="X58" s="216"/>
      <c r="Y58" s="217"/>
      <c r="Z58" s="215" t="s">
        <v>515</v>
      </c>
      <c r="AA58" s="216"/>
      <c r="AB58" s="216"/>
      <c r="AC58" s="217"/>
      <c r="AD58" s="215" t="s">
        <v>516</v>
      </c>
      <c r="AE58" s="216"/>
      <c r="AF58" s="216"/>
      <c r="AG58" s="217"/>
      <c r="AH58" s="215" t="s">
        <v>517</v>
      </c>
      <c r="AI58" s="216"/>
      <c r="AJ58" s="216"/>
      <c r="AK58" s="216"/>
      <c r="AL58" s="217"/>
      <c r="AM58" s="215" t="s">
        <v>518</v>
      </c>
      <c r="AN58" s="216"/>
      <c r="AO58" s="216"/>
      <c r="AP58" s="216"/>
      <c r="AQ58" s="216"/>
      <c r="AR58" s="216"/>
      <c r="AS58" s="217"/>
      <c r="AT58" s="215" t="s">
        <v>519</v>
      </c>
      <c r="AU58" s="216"/>
      <c r="AV58" s="216"/>
      <c r="AW58" s="216"/>
      <c r="AX58" s="216"/>
      <c r="AY58" s="216"/>
      <c r="AZ58" s="217"/>
      <c r="BA58" s="215" t="s">
        <v>520</v>
      </c>
      <c r="BB58" s="216"/>
      <c r="BC58" s="216"/>
      <c r="BD58" s="216"/>
      <c r="BE58" s="216"/>
      <c r="BF58" s="217"/>
      <c r="BG58" s="215" t="s">
        <v>521</v>
      </c>
      <c r="BH58" s="217"/>
      <c r="BI58" s="215" t="s">
        <v>522</v>
      </c>
      <c r="BJ58" s="216"/>
      <c r="BK58" s="216"/>
      <c r="BL58" s="216"/>
      <c r="BM58" s="217"/>
      <c r="BN58" s="215" t="s">
        <v>523</v>
      </c>
      <c r="BO58" s="216"/>
      <c r="BP58" s="216"/>
      <c r="BQ58" s="216"/>
      <c r="BR58" s="216"/>
      <c r="BS58" s="216"/>
      <c r="BT58" s="216"/>
      <c r="BU58" s="216"/>
      <c r="BV58" s="216"/>
      <c r="BW58" s="216"/>
      <c r="BX58" s="216"/>
      <c r="BY58" s="216"/>
      <c r="BZ58" s="216"/>
      <c r="CA58" s="216"/>
      <c r="CB58" s="216"/>
      <c r="CC58" s="217"/>
      <c r="CD58" s="215" t="s">
        <v>524</v>
      </c>
      <c r="CE58" s="217"/>
      <c r="CF58" s="215" t="s">
        <v>525</v>
      </c>
      <c r="CG58" s="216"/>
      <c r="CH58" s="216"/>
      <c r="CI58" s="216"/>
      <c r="CJ58" s="216"/>
      <c r="CK58" s="217"/>
      <c r="CL58" s="218"/>
      <c r="CM58" s="215" t="s">
        <v>19</v>
      </c>
      <c r="CN58" s="216"/>
      <c r="CO58" s="216"/>
      <c r="CP58" s="217"/>
      <c r="CQ58" s="215" t="s">
        <v>526</v>
      </c>
      <c r="CR58" s="216"/>
      <c r="CS58" s="216"/>
      <c r="CT58" s="216"/>
      <c r="CU58" s="217"/>
      <c r="CV58" s="215" t="s">
        <v>527</v>
      </c>
      <c r="CW58" s="217"/>
      <c r="CX58" s="24"/>
      <c r="CY58" s="24"/>
      <c r="CZ58" s="24"/>
      <c r="DA58" s="24"/>
      <c r="DB58" s="24"/>
      <c r="DC58" s="24"/>
      <c r="DD58" s="24"/>
      <c r="DE58" s="24"/>
      <c r="DF58" s="24"/>
      <c r="DG58" s="24"/>
      <c r="DH58" s="24"/>
      <c r="DI58" s="24"/>
      <c r="DJ58" s="24"/>
      <c r="DK58" s="24"/>
      <c r="DL58" s="24"/>
      <c r="DM58" s="24"/>
      <c r="DN58" s="24"/>
      <c r="DO58" s="24"/>
      <c r="DP58" s="24"/>
      <c r="DQ58" s="24"/>
      <c r="DR58" s="24"/>
      <c r="DS58" s="24"/>
      <c r="DT58" s="24"/>
      <c r="DU58" s="24"/>
      <c r="DV58" s="24"/>
      <c r="DW58" s="24"/>
      <c r="DX58" s="24"/>
      <c r="DY58" s="24"/>
      <c r="DZ58" s="24"/>
      <c r="EA58" s="24"/>
    </row>
    <row r="59" spans="1:131" ht="127.5">
      <c r="A59" s="195" t="s">
        <v>387</v>
      </c>
      <c r="B59" s="196" t="s">
        <v>388</v>
      </c>
      <c r="C59" s="197" t="s">
        <v>11</v>
      </c>
      <c r="D59" s="197" t="s">
        <v>528</v>
      </c>
      <c r="E59" s="197" t="s">
        <v>529</v>
      </c>
      <c r="F59" s="197" t="s">
        <v>530</v>
      </c>
      <c r="G59" s="197" t="s">
        <v>531</v>
      </c>
      <c r="H59" s="197" t="s">
        <v>532</v>
      </c>
      <c r="I59" s="197" t="s">
        <v>533</v>
      </c>
      <c r="J59" s="197" t="s">
        <v>534</v>
      </c>
      <c r="K59" s="197" t="s">
        <v>535</v>
      </c>
      <c r="L59" s="197" t="s">
        <v>536</v>
      </c>
      <c r="M59" s="197" t="s">
        <v>537</v>
      </c>
      <c r="N59" s="197" t="s">
        <v>538</v>
      </c>
      <c r="O59" s="197" t="s">
        <v>539</v>
      </c>
      <c r="P59" s="197" t="s">
        <v>540</v>
      </c>
      <c r="Q59" s="197" t="s">
        <v>541</v>
      </c>
      <c r="R59" s="197" t="s">
        <v>542</v>
      </c>
      <c r="S59" s="197" t="s">
        <v>543</v>
      </c>
      <c r="T59" s="197" t="s">
        <v>544</v>
      </c>
      <c r="U59" s="197" t="s">
        <v>451</v>
      </c>
      <c r="V59" s="197" t="s">
        <v>542</v>
      </c>
      <c r="W59" s="197" t="s">
        <v>543</v>
      </c>
      <c r="X59" s="197" t="s">
        <v>544</v>
      </c>
      <c r="Y59" s="197" t="s">
        <v>451</v>
      </c>
      <c r="Z59" s="197" t="s">
        <v>542</v>
      </c>
      <c r="AA59" s="197" t="s">
        <v>543</v>
      </c>
      <c r="AB59" s="197" t="s">
        <v>544</v>
      </c>
      <c r="AC59" s="197" t="s">
        <v>451</v>
      </c>
      <c r="AD59" s="197" t="s">
        <v>542</v>
      </c>
      <c r="AE59" s="197" t="s">
        <v>543</v>
      </c>
      <c r="AF59" s="197" t="s">
        <v>544</v>
      </c>
      <c r="AG59" s="197" t="s">
        <v>451</v>
      </c>
      <c r="AH59" s="197" t="s">
        <v>542</v>
      </c>
      <c r="AI59" s="197" t="s">
        <v>543</v>
      </c>
      <c r="AJ59" s="197" t="s">
        <v>544</v>
      </c>
      <c r="AK59" s="197" t="s">
        <v>451</v>
      </c>
      <c r="AL59" s="197" t="s">
        <v>545</v>
      </c>
      <c r="AM59" s="197" t="s">
        <v>546</v>
      </c>
      <c r="AN59" s="197" t="s">
        <v>547</v>
      </c>
      <c r="AO59" s="197" t="s">
        <v>548</v>
      </c>
      <c r="AP59" s="197" t="s">
        <v>549</v>
      </c>
      <c r="AQ59" s="197" t="s">
        <v>550</v>
      </c>
      <c r="AR59" s="197" t="s">
        <v>551</v>
      </c>
      <c r="AS59" s="197" t="s">
        <v>552</v>
      </c>
      <c r="AT59" s="197" t="s">
        <v>553</v>
      </c>
      <c r="AU59" s="197" t="s">
        <v>554</v>
      </c>
      <c r="AV59" s="197" t="s">
        <v>555</v>
      </c>
      <c r="AW59" s="197" t="s">
        <v>556</v>
      </c>
      <c r="AX59" s="197" t="s">
        <v>557</v>
      </c>
      <c r="AY59" s="197" t="s">
        <v>558</v>
      </c>
      <c r="AZ59" s="197" t="s">
        <v>559</v>
      </c>
      <c r="BA59" s="197" t="s">
        <v>560</v>
      </c>
      <c r="BB59" s="197" t="s">
        <v>561</v>
      </c>
      <c r="BC59" s="197" t="s">
        <v>562</v>
      </c>
      <c r="BD59" s="197" t="s">
        <v>563</v>
      </c>
      <c r="BE59" s="197" t="s">
        <v>564</v>
      </c>
      <c r="BF59" s="197" t="s">
        <v>565</v>
      </c>
      <c r="BG59" s="197" t="s">
        <v>566</v>
      </c>
      <c r="BH59" s="197" t="s">
        <v>567</v>
      </c>
      <c r="BI59" s="197" t="s">
        <v>568</v>
      </c>
      <c r="BJ59" s="197" t="s">
        <v>569</v>
      </c>
      <c r="BK59" s="197" t="s">
        <v>570</v>
      </c>
      <c r="BL59" s="197" t="s">
        <v>571</v>
      </c>
      <c r="BM59" s="197" t="s">
        <v>572</v>
      </c>
      <c r="BN59" s="197" t="s">
        <v>573</v>
      </c>
      <c r="BO59" s="197" t="s">
        <v>574</v>
      </c>
      <c r="BP59" s="197" t="s">
        <v>575</v>
      </c>
      <c r="BQ59" s="197" t="s">
        <v>576</v>
      </c>
      <c r="BR59" s="197" t="s">
        <v>577</v>
      </c>
      <c r="BS59" s="197" t="s">
        <v>578</v>
      </c>
      <c r="BT59" s="197" t="s">
        <v>579</v>
      </c>
      <c r="BU59" s="197" t="s">
        <v>580</v>
      </c>
      <c r="BV59" s="197" t="s">
        <v>581</v>
      </c>
      <c r="BW59" s="197" t="s">
        <v>582</v>
      </c>
      <c r="BX59" s="197" t="s">
        <v>583</v>
      </c>
      <c r="BY59" s="197" t="s">
        <v>584</v>
      </c>
      <c r="BZ59" s="197" t="s">
        <v>585</v>
      </c>
      <c r="CA59" s="197" t="s">
        <v>586</v>
      </c>
      <c r="CB59" s="197" t="s">
        <v>587</v>
      </c>
      <c r="CC59" s="197" t="s">
        <v>588</v>
      </c>
      <c r="CD59" s="197" t="s">
        <v>398</v>
      </c>
      <c r="CE59" s="197" t="s">
        <v>397</v>
      </c>
      <c r="CF59" s="197" t="s">
        <v>589</v>
      </c>
      <c r="CG59" s="197" t="s">
        <v>590</v>
      </c>
      <c r="CH59" s="197" t="s">
        <v>591</v>
      </c>
      <c r="CI59" s="197" t="s">
        <v>592</v>
      </c>
      <c r="CJ59" s="197" t="s">
        <v>593</v>
      </c>
      <c r="CK59" s="197" t="s">
        <v>594</v>
      </c>
      <c r="CL59" s="197"/>
      <c r="CM59" s="197" t="s">
        <v>595</v>
      </c>
      <c r="CN59" s="197" t="s">
        <v>596</v>
      </c>
      <c r="CO59" s="197" t="s">
        <v>597</v>
      </c>
      <c r="CP59" s="197" t="s">
        <v>598</v>
      </c>
      <c r="CQ59" s="197" t="s">
        <v>599</v>
      </c>
      <c r="CR59" s="197" t="s">
        <v>600</v>
      </c>
      <c r="CS59" s="197" t="s">
        <v>601</v>
      </c>
      <c r="CT59" s="197" t="s">
        <v>602</v>
      </c>
      <c r="CU59" s="197" t="s">
        <v>603</v>
      </c>
      <c r="CV59" s="197" t="s">
        <v>604</v>
      </c>
      <c r="CW59" s="219" t="s">
        <v>605</v>
      </c>
      <c r="CX59" s="24"/>
      <c r="CY59" s="24"/>
      <c r="CZ59" s="24"/>
      <c r="DA59" s="24"/>
      <c r="DB59" s="24"/>
      <c r="DC59" s="24"/>
      <c r="DD59" s="24"/>
      <c r="DE59" s="24"/>
      <c r="DF59" s="24"/>
      <c r="DG59" s="24"/>
      <c r="DH59" s="24"/>
      <c r="DI59" s="24"/>
      <c r="DJ59" s="24"/>
      <c r="DK59" s="24"/>
      <c r="DL59" s="24"/>
      <c r="DM59" s="24"/>
      <c r="DN59" s="24"/>
      <c r="DO59" s="24"/>
      <c r="DP59" s="24"/>
      <c r="DQ59" s="24"/>
      <c r="DR59" s="24"/>
      <c r="DS59" s="24"/>
      <c r="DT59" s="24"/>
      <c r="DU59" s="24"/>
      <c r="DV59" s="24"/>
      <c r="DW59" s="24"/>
      <c r="DX59" s="24"/>
      <c r="DY59" s="24"/>
      <c r="DZ59" s="24"/>
      <c r="EA59" s="24"/>
    </row>
    <row r="60" spans="1:131">
      <c r="A60" s="24" t="s">
        <v>413</v>
      </c>
      <c r="B60" s="24" t="s">
        <v>606</v>
      </c>
      <c r="C60" s="45">
        <v>11.627906976744185</v>
      </c>
      <c r="D60" s="45">
        <v>743.50510204081638</v>
      </c>
      <c r="E60" s="45">
        <v>0</v>
      </c>
      <c r="F60" s="45">
        <v>83.017365819435099</v>
      </c>
      <c r="G60" s="45">
        <v>0</v>
      </c>
      <c r="H60" s="45">
        <v>0</v>
      </c>
      <c r="I60" s="45" t="s">
        <v>368</v>
      </c>
      <c r="J60" s="45"/>
      <c r="K60" s="45"/>
      <c r="L60" s="45">
        <v>797.11017216400808</v>
      </c>
      <c r="M60" s="45">
        <v>0.18605727234504985</v>
      </c>
      <c r="N60" s="45">
        <v>0.18471439438945222</v>
      </c>
      <c r="O60" s="45">
        <v>0</v>
      </c>
      <c r="P60" s="45">
        <v>0</v>
      </c>
      <c r="Q60" s="45">
        <v>0</v>
      </c>
      <c r="R60" s="45">
        <v>16.554771732056992</v>
      </c>
      <c r="S60" s="45">
        <v>38.255559506217139</v>
      </c>
      <c r="T60" s="45">
        <v>0</v>
      </c>
      <c r="U60" s="45">
        <v>80.982999892927637</v>
      </c>
      <c r="V60" s="45" t="s">
        <v>607</v>
      </c>
      <c r="W60" s="45" t="s">
        <v>607</v>
      </c>
      <c r="X60" s="45" t="s">
        <v>607</v>
      </c>
      <c r="Y60" s="45" t="s">
        <v>607</v>
      </c>
      <c r="Z60" s="45">
        <v>0</v>
      </c>
      <c r="AA60" s="45">
        <v>0</v>
      </c>
      <c r="AB60" s="45">
        <v>0</v>
      </c>
      <c r="AC60" s="45">
        <v>0</v>
      </c>
      <c r="AD60" s="45">
        <v>0</v>
      </c>
      <c r="AE60" s="45">
        <v>0</v>
      </c>
      <c r="AF60" s="45">
        <v>0</v>
      </c>
      <c r="AG60" s="45">
        <v>0</v>
      </c>
      <c r="AH60" s="45">
        <v>16.554771732056992</v>
      </c>
      <c r="AI60" s="45">
        <v>38.255559506217139</v>
      </c>
      <c r="AJ60" s="45">
        <v>0</v>
      </c>
      <c r="AK60" s="45">
        <v>80.982999892927637</v>
      </c>
      <c r="AL60" s="45">
        <v>135.79333113120177</v>
      </c>
      <c r="AM60" s="45">
        <v>382.06298648166677</v>
      </c>
      <c r="AN60" s="45">
        <v>65.743055300617698</v>
      </c>
      <c r="AO60" s="45">
        <v>0</v>
      </c>
      <c r="AP60" s="45">
        <v>0</v>
      </c>
      <c r="AQ60" s="45">
        <v>447.80604178228447</v>
      </c>
      <c r="AR60" s="45">
        <v>16.554771732056992</v>
      </c>
      <c r="AS60" s="199">
        <v>27.049967769422267</v>
      </c>
      <c r="AT60" s="45">
        <v>382.06298648166677</v>
      </c>
      <c r="AU60" s="45">
        <v>77.820195911337436</v>
      </c>
      <c r="AV60" s="45">
        <v>0</v>
      </c>
      <c r="AW60" s="45">
        <v>0</v>
      </c>
      <c r="AX60" s="45">
        <v>459.88318239300418</v>
      </c>
      <c r="AY60" s="45">
        <v>38.255559506217139</v>
      </c>
      <c r="AZ60" s="199">
        <v>12.021342474896121</v>
      </c>
      <c r="BA60" s="45">
        <v>382.06298648166677</v>
      </c>
      <c r="BB60" s="45">
        <v>143.56325121195513</v>
      </c>
      <c r="BC60" s="45">
        <v>0</v>
      </c>
      <c r="BD60" s="45">
        <v>0</v>
      </c>
      <c r="BE60" s="45">
        <v>525.62623769362187</v>
      </c>
      <c r="BF60" s="45">
        <v>54.810331238274131</v>
      </c>
      <c r="BG60" s="45">
        <v>-8.192838865311181</v>
      </c>
      <c r="BH60" s="199">
        <v>9.5899117158879044</v>
      </c>
      <c r="BI60" s="45">
        <v>1.5281815774959473</v>
      </c>
      <c r="BJ60" s="45">
        <v>3.5313951904872898</v>
      </c>
      <c r="BK60" s="45">
        <v>0</v>
      </c>
      <c r="BL60" s="45">
        <v>7.4755925680982527</v>
      </c>
      <c r="BM60" s="45">
        <v>12.53516933608149</v>
      </c>
      <c r="BN60" s="45">
        <v>382.06298648166677</v>
      </c>
      <c r="BO60" s="45">
        <v>0</v>
      </c>
      <c r="BP60" s="45">
        <v>143.56325121195513</v>
      </c>
      <c r="BQ60" s="45">
        <v>0</v>
      </c>
      <c r="BR60" s="45">
        <v>0</v>
      </c>
      <c r="BS60" s="45">
        <v>0</v>
      </c>
      <c r="BT60" s="45">
        <v>0</v>
      </c>
      <c r="BU60" s="45">
        <v>0</v>
      </c>
      <c r="BV60" s="45">
        <v>0</v>
      </c>
      <c r="BW60" s="45">
        <v>0</v>
      </c>
      <c r="BX60" s="45">
        <v>135.79333113120177</v>
      </c>
      <c r="BY60" s="45"/>
      <c r="BZ60" s="45">
        <v>0</v>
      </c>
      <c r="CA60" s="45">
        <v>0</v>
      </c>
      <c r="CB60" s="45">
        <v>525.62623769362187</v>
      </c>
      <c r="CC60" s="45">
        <v>135.79333113120177</v>
      </c>
      <c r="CD60" s="199">
        <v>3.8707809383199279</v>
      </c>
      <c r="CE60" s="45">
        <v>-0.71724629721292732</v>
      </c>
      <c r="CF60" s="45">
        <v>7.5725666984285294</v>
      </c>
      <c r="CG60" s="45">
        <v>0</v>
      </c>
      <c r="CH60" s="45">
        <v>7.5725666984285294</v>
      </c>
      <c r="CI60" s="45">
        <v>0.37862733177790386</v>
      </c>
      <c r="CJ60" s="45">
        <v>0</v>
      </c>
      <c r="CK60" s="45">
        <v>0.37862733177790386</v>
      </c>
      <c r="CL60" s="45"/>
      <c r="CM60" s="45">
        <v>0</v>
      </c>
      <c r="CN60" s="45"/>
      <c r="CO60" s="45">
        <v>0</v>
      </c>
      <c r="CP60" s="45">
        <v>0</v>
      </c>
      <c r="CQ60" s="45">
        <v>0</v>
      </c>
      <c r="CR60" s="45">
        <v>0</v>
      </c>
      <c r="CS60" s="45">
        <v>0</v>
      </c>
      <c r="CT60" s="45">
        <v>0</v>
      </c>
      <c r="CU60" s="45">
        <v>0</v>
      </c>
      <c r="CV60" s="45">
        <v>9999</v>
      </c>
      <c r="CW60" s="199">
        <v>9999</v>
      </c>
      <c r="CX60" s="24"/>
      <c r="CY60" s="24"/>
      <c r="CZ60" s="24"/>
      <c r="DA60" s="24"/>
      <c r="DB60" s="24"/>
      <c r="DC60" s="24"/>
      <c r="DD60" s="24"/>
      <c r="DE60" s="24"/>
      <c r="DF60" s="24"/>
      <c r="DG60" s="24"/>
      <c r="DH60" s="24"/>
      <c r="DI60" s="24"/>
      <c r="DJ60" s="24"/>
      <c r="DK60" s="24"/>
      <c r="DL60" s="24"/>
      <c r="DM60" s="24"/>
      <c r="DN60" s="24"/>
      <c r="DO60" s="24"/>
      <c r="DP60" s="24"/>
      <c r="DQ60" s="24"/>
      <c r="DR60" s="24"/>
      <c r="DS60" s="24"/>
      <c r="DT60" s="24"/>
      <c r="DU60" s="24"/>
      <c r="DV60" s="24"/>
      <c r="DW60" s="24"/>
      <c r="DX60" s="24"/>
      <c r="DY60" s="24"/>
      <c r="DZ60" s="24"/>
      <c r="EA60" s="24"/>
    </row>
    <row r="61" spans="1:131">
      <c r="A61" s="24" t="s">
        <v>423</v>
      </c>
      <c r="B61" s="24" t="s">
        <v>608</v>
      </c>
      <c r="C61" s="45">
        <v>11.627906976744185</v>
      </c>
      <c r="D61" s="45">
        <v>1298.0734693877553</v>
      </c>
      <c r="E61" s="45">
        <v>0</v>
      </c>
      <c r="F61" s="45">
        <v>134.02315442591345</v>
      </c>
      <c r="G61" s="45">
        <v>0</v>
      </c>
      <c r="H61" s="45">
        <v>0</v>
      </c>
      <c r="I61" s="45" t="s">
        <v>368</v>
      </c>
      <c r="J61" s="45"/>
      <c r="K61" s="45"/>
      <c r="L61" s="45">
        <v>1391.6616897786967</v>
      </c>
      <c r="M61" s="45">
        <v>0.32483436677816196</v>
      </c>
      <c r="N61" s="45">
        <v>0.32248985798864294</v>
      </c>
      <c r="O61" s="45">
        <v>0</v>
      </c>
      <c r="P61" s="45">
        <v>0</v>
      </c>
      <c r="Q61" s="45">
        <v>0</v>
      </c>
      <c r="R61" s="45">
        <v>26.726007341126671</v>
      </c>
      <c r="S61" s="45">
        <v>61.759737962574029</v>
      </c>
      <c r="T61" s="45">
        <v>0</v>
      </c>
      <c r="U61" s="45">
        <v>130.73887605793738</v>
      </c>
      <c r="V61" s="45" t="s">
        <v>607</v>
      </c>
      <c r="W61" s="45" t="s">
        <v>607</v>
      </c>
      <c r="X61" s="45" t="s">
        <v>607</v>
      </c>
      <c r="Y61" s="45" t="s">
        <v>607</v>
      </c>
      <c r="Z61" s="45">
        <v>0</v>
      </c>
      <c r="AA61" s="45">
        <v>0</v>
      </c>
      <c r="AB61" s="45">
        <v>0</v>
      </c>
      <c r="AC61" s="45">
        <v>0</v>
      </c>
      <c r="AD61" s="45">
        <v>0</v>
      </c>
      <c r="AE61" s="45">
        <v>0</v>
      </c>
      <c r="AF61" s="45">
        <v>0</v>
      </c>
      <c r="AG61" s="45">
        <v>0</v>
      </c>
      <c r="AH61" s="45">
        <v>26.726007341126671</v>
      </c>
      <c r="AI61" s="45">
        <v>61.759737962574029</v>
      </c>
      <c r="AJ61" s="45">
        <v>0</v>
      </c>
      <c r="AK61" s="45">
        <v>130.73887605793738</v>
      </c>
      <c r="AL61" s="45">
        <v>219.22462136163807</v>
      </c>
      <c r="AM61" s="45">
        <v>667.03755633364551</v>
      </c>
      <c r="AN61" s="45">
        <v>114.77973136697989</v>
      </c>
      <c r="AO61" s="45">
        <v>0</v>
      </c>
      <c r="AP61" s="45">
        <v>0</v>
      </c>
      <c r="AQ61" s="45">
        <v>781.81728770062546</v>
      </c>
      <c r="AR61" s="45">
        <v>26.726007341126671</v>
      </c>
      <c r="AS61" s="199">
        <v>29.253052194502125</v>
      </c>
      <c r="AT61" s="45">
        <v>667.03755633364551</v>
      </c>
      <c r="AU61" s="45">
        <v>135.86501480324617</v>
      </c>
      <c r="AV61" s="45">
        <v>0</v>
      </c>
      <c r="AW61" s="45">
        <v>0</v>
      </c>
      <c r="AX61" s="45">
        <v>802.90257113689165</v>
      </c>
      <c r="AY61" s="45">
        <v>61.759737962574029</v>
      </c>
      <c r="AZ61" s="199">
        <v>13.000420623925656</v>
      </c>
      <c r="BA61" s="45">
        <v>667.03755633364551</v>
      </c>
      <c r="BB61" s="45">
        <v>250.64474617022606</v>
      </c>
      <c r="BC61" s="45">
        <v>0</v>
      </c>
      <c r="BD61" s="45">
        <v>0</v>
      </c>
      <c r="BE61" s="45">
        <v>917.6823025038716</v>
      </c>
      <c r="BF61" s="45">
        <v>88.485745303700696</v>
      </c>
      <c r="BG61" s="45">
        <v>-8.5738820023119331</v>
      </c>
      <c r="BH61" s="199">
        <v>10.370962004718423</v>
      </c>
      <c r="BI61" s="45">
        <v>1.4130922866523732</v>
      </c>
      <c r="BJ61" s="45">
        <v>3.265441344330112</v>
      </c>
      <c r="BK61" s="45">
        <v>0</v>
      </c>
      <c r="BL61" s="45">
        <v>6.9125962200414373</v>
      </c>
      <c r="BM61" s="45">
        <v>11.591129851023922</v>
      </c>
      <c r="BN61" s="45">
        <v>667.03755633364551</v>
      </c>
      <c r="BO61" s="45">
        <v>0</v>
      </c>
      <c r="BP61" s="45">
        <v>250.64474617022606</v>
      </c>
      <c r="BQ61" s="45">
        <v>0</v>
      </c>
      <c r="BR61" s="45">
        <v>0</v>
      </c>
      <c r="BS61" s="45">
        <v>0</v>
      </c>
      <c r="BT61" s="45">
        <v>0</v>
      </c>
      <c r="BU61" s="45">
        <v>0</v>
      </c>
      <c r="BV61" s="45">
        <v>0</v>
      </c>
      <c r="BW61" s="45">
        <v>0</v>
      </c>
      <c r="BX61" s="45">
        <v>219.22462136163807</v>
      </c>
      <c r="BY61" s="45"/>
      <c r="BZ61" s="45">
        <v>0</v>
      </c>
      <c r="CA61" s="45">
        <v>0</v>
      </c>
      <c r="CB61" s="45">
        <v>917.6823025038716</v>
      </c>
      <c r="CC61" s="45">
        <v>219.22462136163807</v>
      </c>
      <c r="CD61" s="199">
        <v>4.1860366632361128</v>
      </c>
      <c r="CE61" s="45">
        <v>-1.6612857822704914</v>
      </c>
      <c r="CF61" s="45">
        <v>13.220821080336949</v>
      </c>
      <c r="CG61" s="45">
        <v>0</v>
      </c>
      <c r="CH61" s="45">
        <v>13.220821080336949</v>
      </c>
      <c r="CI61" s="45">
        <v>0.66103930264488109</v>
      </c>
      <c r="CJ61" s="45">
        <v>0</v>
      </c>
      <c r="CK61" s="45">
        <v>0.66103930264488109</v>
      </c>
      <c r="CL61" s="45"/>
      <c r="CM61" s="45">
        <v>0</v>
      </c>
      <c r="CN61" s="45"/>
      <c r="CO61" s="45">
        <v>0</v>
      </c>
      <c r="CP61" s="45">
        <v>0</v>
      </c>
      <c r="CQ61" s="45">
        <v>0</v>
      </c>
      <c r="CR61" s="45">
        <v>0</v>
      </c>
      <c r="CS61" s="45">
        <v>0</v>
      </c>
      <c r="CT61" s="45">
        <v>0</v>
      </c>
      <c r="CU61" s="45">
        <v>0</v>
      </c>
      <c r="CV61" s="45">
        <v>9999</v>
      </c>
      <c r="CW61" s="199">
        <v>9999</v>
      </c>
      <c r="CX61" s="24"/>
      <c r="CY61" s="24"/>
      <c r="CZ61" s="24"/>
      <c r="DA61" s="24"/>
      <c r="DB61" s="24"/>
      <c r="DC61" s="24"/>
      <c r="DD61" s="24"/>
      <c r="DE61" s="24"/>
      <c r="DF61" s="24"/>
      <c r="DG61" s="24"/>
      <c r="DH61" s="24"/>
      <c r="DI61" s="24"/>
      <c r="DJ61" s="24"/>
      <c r="DK61" s="24"/>
      <c r="DL61" s="24"/>
      <c r="DM61" s="24"/>
      <c r="DN61" s="24"/>
      <c r="DO61" s="24"/>
      <c r="DP61" s="24"/>
      <c r="DQ61" s="24"/>
      <c r="DR61" s="24"/>
      <c r="DS61" s="24"/>
      <c r="DT61" s="24"/>
      <c r="DU61" s="24"/>
      <c r="DV61" s="24"/>
      <c r="DW61" s="24"/>
      <c r="DX61" s="24"/>
      <c r="DY61" s="24"/>
      <c r="DZ61" s="24"/>
      <c r="EA61" s="24"/>
    </row>
    <row r="62" spans="1:131">
      <c r="A62" s="24" t="s">
        <v>424</v>
      </c>
      <c r="B62" s="24" t="s">
        <v>609</v>
      </c>
      <c r="C62" s="45">
        <v>11.627906976744185</v>
      </c>
      <c r="D62" s="45">
        <v>3159.841836734694</v>
      </c>
      <c r="E62" s="45">
        <v>0</v>
      </c>
      <c r="F62" s="45">
        <v>532.0694632777404</v>
      </c>
      <c r="G62" s="45">
        <v>0</v>
      </c>
      <c r="H62" s="45">
        <v>0</v>
      </c>
      <c r="I62" s="45" t="s">
        <v>368</v>
      </c>
      <c r="J62" s="45"/>
      <c r="K62" s="45"/>
      <c r="L62" s="45">
        <v>3387.6594304155228</v>
      </c>
      <c r="M62" s="45">
        <v>0.7907296823799802</v>
      </c>
      <c r="N62" s="45">
        <v>0.7850225501302095</v>
      </c>
      <c r="O62" s="45">
        <v>0</v>
      </c>
      <c r="P62" s="45">
        <v>0</v>
      </c>
      <c r="Q62" s="45">
        <v>0</v>
      </c>
      <c r="R62" s="45">
        <v>106.10175862866241</v>
      </c>
      <c r="S62" s="45">
        <v>245.18502620445005</v>
      </c>
      <c r="T62" s="45">
        <v>0</v>
      </c>
      <c r="U62" s="45">
        <v>519.03093843485806</v>
      </c>
      <c r="V62" s="45" t="s">
        <v>607</v>
      </c>
      <c r="W62" s="45" t="s">
        <v>607</v>
      </c>
      <c r="X62" s="45" t="s">
        <v>607</v>
      </c>
      <c r="Y62" s="45" t="s">
        <v>607</v>
      </c>
      <c r="Z62" s="45">
        <v>0</v>
      </c>
      <c r="AA62" s="45">
        <v>0</v>
      </c>
      <c r="AB62" s="45">
        <v>0</v>
      </c>
      <c r="AC62" s="45">
        <v>0</v>
      </c>
      <c r="AD62" s="45">
        <v>0</v>
      </c>
      <c r="AE62" s="45">
        <v>0</v>
      </c>
      <c r="AF62" s="45">
        <v>0</v>
      </c>
      <c r="AG62" s="45">
        <v>0</v>
      </c>
      <c r="AH62" s="45">
        <v>106.10175862866241</v>
      </c>
      <c r="AI62" s="45">
        <v>245.18502620445005</v>
      </c>
      <c r="AJ62" s="45">
        <v>0</v>
      </c>
      <c r="AK62" s="45">
        <v>519.03093843485806</v>
      </c>
      <c r="AL62" s="45">
        <v>870.31772326797045</v>
      </c>
      <c r="AM62" s="45">
        <v>1623.7395084967363</v>
      </c>
      <c r="AN62" s="45">
        <v>279.40313528911093</v>
      </c>
      <c r="AO62" s="45">
        <v>0</v>
      </c>
      <c r="AP62" s="45">
        <v>0</v>
      </c>
      <c r="AQ62" s="45">
        <v>1903.1426437858472</v>
      </c>
      <c r="AR62" s="45">
        <v>106.10175862866241</v>
      </c>
      <c r="AS62" s="199">
        <v>17.936956638452276</v>
      </c>
      <c r="AT62" s="45">
        <v>1623.7395084967363</v>
      </c>
      <c r="AU62" s="45">
        <v>330.73009197727737</v>
      </c>
      <c r="AV62" s="45">
        <v>0</v>
      </c>
      <c r="AW62" s="45">
        <v>0</v>
      </c>
      <c r="AX62" s="45">
        <v>1954.4696004740138</v>
      </c>
      <c r="AY62" s="45">
        <v>245.18502620445005</v>
      </c>
      <c r="AZ62" s="199">
        <v>7.9714068625229144</v>
      </c>
      <c r="BA62" s="45">
        <v>1623.7395084967363</v>
      </c>
      <c r="BB62" s="45">
        <v>610.1332272663883</v>
      </c>
      <c r="BC62" s="45">
        <v>0</v>
      </c>
      <c r="BD62" s="45">
        <v>0</v>
      </c>
      <c r="BE62" s="45">
        <v>2233.8727357631246</v>
      </c>
      <c r="BF62" s="45">
        <v>351.28678483311245</v>
      </c>
      <c r="BG62" s="45">
        <v>-5.6222813100911129</v>
      </c>
      <c r="BH62" s="199">
        <v>6.3591140692194887</v>
      </c>
      <c r="BI62" s="45">
        <v>2.3045861820546318</v>
      </c>
      <c r="BJ62" s="45">
        <v>5.3255481411486745</v>
      </c>
      <c r="BK62" s="45">
        <v>0</v>
      </c>
      <c r="BL62" s="45">
        <v>11.273625849710402</v>
      </c>
      <c r="BM62" s="45">
        <v>18.903760172913707</v>
      </c>
      <c r="BN62" s="45">
        <v>1623.7395084967363</v>
      </c>
      <c r="BO62" s="45">
        <v>0</v>
      </c>
      <c r="BP62" s="45">
        <v>610.1332272663883</v>
      </c>
      <c r="BQ62" s="45">
        <v>0</v>
      </c>
      <c r="BR62" s="45">
        <v>0</v>
      </c>
      <c r="BS62" s="45">
        <v>0</v>
      </c>
      <c r="BT62" s="45">
        <v>0</v>
      </c>
      <c r="BU62" s="45">
        <v>0</v>
      </c>
      <c r="BV62" s="45">
        <v>0</v>
      </c>
      <c r="BW62" s="45">
        <v>0</v>
      </c>
      <c r="BX62" s="45">
        <v>870.31772326797045</v>
      </c>
      <c r="BY62" s="45"/>
      <c r="BZ62" s="45">
        <v>0</v>
      </c>
      <c r="CA62" s="45">
        <v>0</v>
      </c>
      <c r="CB62" s="45">
        <v>2233.8727357631246</v>
      </c>
      <c r="CC62" s="45">
        <v>870.31772326797045</v>
      </c>
      <c r="CD62" s="199">
        <v>2.5667324426935934</v>
      </c>
      <c r="CE62" s="45">
        <v>5.651344539619287</v>
      </c>
      <c r="CF62" s="45">
        <v>32.182849854666841</v>
      </c>
      <c r="CG62" s="45">
        <v>0</v>
      </c>
      <c r="CH62" s="45">
        <v>32.182849854666841</v>
      </c>
      <c r="CI62" s="45">
        <v>1.6091382294473737</v>
      </c>
      <c r="CJ62" s="45">
        <v>0</v>
      </c>
      <c r="CK62" s="45">
        <v>1.6091382294473737</v>
      </c>
      <c r="CL62" s="45"/>
      <c r="CM62" s="45">
        <v>0</v>
      </c>
      <c r="CN62" s="45"/>
      <c r="CO62" s="45">
        <v>0</v>
      </c>
      <c r="CP62" s="45">
        <v>0</v>
      </c>
      <c r="CQ62" s="45">
        <v>0</v>
      </c>
      <c r="CR62" s="45">
        <v>0</v>
      </c>
      <c r="CS62" s="45">
        <v>0</v>
      </c>
      <c r="CT62" s="45">
        <v>0</v>
      </c>
      <c r="CU62" s="45">
        <v>0</v>
      </c>
      <c r="CV62" s="45">
        <v>9999</v>
      </c>
      <c r="CW62" s="199">
        <v>9999</v>
      </c>
      <c r="CX62" s="24"/>
      <c r="CY62" s="24"/>
      <c r="CZ62" s="24"/>
      <c r="DA62" s="24"/>
      <c r="DB62" s="24"/>
      <c r="DC62" s="24"/>
      <c r="DD62" s="24"/>
      <c r="DE62" s="24"/>
      <c r="DF62" s="24"/>
      <c r="DG62" s="24"/>
      <c r="DH62" s="24"/>
      <c r="DI62" s="24"/>
      <c r="DJ62" s="24"/>
      <c r="DK62" s="24"/>
      <c r="DL62" s="24"/>
      <c r="DM62" s="24"/>
      <c r="DN62" s="24"/>
      <c r="DO62" s="24"/>
      <c r="DP62" s="24"/>
      <c r="DQ62" s="24"/>
      <c r="DR62" s="24"/>
      <c r="DS62" s="24"/>
      <c r="DT62" s="24"/>
      <c r="DU62" s="24"/>
      <c r="DV62" s="24"/>
      <c r="DW62" s="24"/>
      <c r="DX62" s="24"/>
      <c r="DY62" s="24"/>
      <c r="DZ62" s="24"/>
      <c r="EA62" s="24"/>
    </row>
    <row r="63" spans="1:131">
      <c r="A63" s="24" t="s">
        <v>427</v>
      </c>
      <c r="B63" s="24" t="s">
        <v>610</v>
      </c>
      <c r="C63" s="45">
        <v>11.627906976744185</v>
      </c>
      <c r="D63" s="45">
        <v>743.50510204081638</v>
      </c>
      <c r="E63" s="45">
        <v>0</v>
      </c>
      <c r="F63" s="45">
        <v>260.08403248610176</v>
      </c>
      <c r="G63" s="45">
        <v>0</v>
      </c>
      <c r="H63" s="45">
        <v>0</v>
      </c>
      <c r="I63" s="45" t="s">
        <v>368</v>
      </c>
      <c r="J63" s="45"/>
      <c r="K63" s="45"/>
      <c r="L63" s="45">
        <v>797.11017216400808</v>
      </c>
      <c r="M63" s="45">
        <v>0.18605727234504985</v>
      </c>
      <c r="N63" s="45">
        <v>0.18471439438945222</v>
      </c>
      <c r="O63" s="45">
        <v>0</v>
      </c>
      <c r="P63" s="45">
        <v>0</v>
      </c>
      <c r="Q63" s="45">
        <v>0</v>
      </c>
      <c r="R63" s="45">
        <v>51.864230410841614</v>
      </c>
      <c r="S63" s="45">
        <v>119.85034797453999</v>
      </c>
      <c r="T63" s="45">
        <v>0</v>
      </c>
      <c r="U63" s="45">
        <v>253.71059376643433</v>
      </c>
      <c r="V63" s="45" t="s">
        <v>607</v>
      </c>
      <c r="W63" s="45" t="s">
        <v>607</v>
      </c>
      <c r="X63" s="45" t="s">
        <v>607</v>
      </c>
      <c r="Y63" s="45" t="s">
        <v>607</v>
      </c>
      <c r="Z63" s="45">
        <v>0</v>
      </c>
      <c r="AA63" s="45">
        <v>0</v>
      </c>
      <c r="AB63" s="45">
        <v>0</v>
      </c>
      <c r="AC63" s="45">
        <v>0</v>
      </c>
      <c r="AD63" s="45">
        <v>0</v>
      </c>
      <c r="AE63" s="45">
        <v>0</v>
      </c>
      <c r="AF63" s="45">
        <v>0</v>
      </c>
      <c r="AG63" s="45">
        <v>0</v>
      </c>
      <c r="AH63" s="45">
        <v>51.864230410841614</v>
      </c>
      <c r="AI63" s="45">
        <v>119.85034797453999</v>
      </c>
      <c r="AJ63" s="45">
        <v>0</v>
      </c>
      <c r="AK63" s="45">
        <v>253.71059376643433</v>
      </c>
      <c r="AL63" s="45">
        <v>425.4251721518159</v>
      </c>
      <c r="AM63" s="45">
        <v>382.06298648166677</v>
      </c>
      <c r="AN63" s="45">
        <v>65.743055300617698</v>
      </c>
      <c r="AO63" s="45">
        <v>0</v>
      </c>
      <c r="AP63" s="45">
        <v>0</v>
      </c>
      <c r="AQ63" s="45">
        <v>447.80604178228447</v>
      </c>
      <c r="AR63" s="45">
        <v>51.864230410841614</v>
      </c>
      <c r="AS63" s="199">
        <v>8.6341981407030737</v>
      </c>
      <c r="AT63" s="45">
        <v>382.06298648166677</v>
      </c>
      <c r="AU63" s="45">
        <v>77.820195911337436</v>
      </c>
      <c r="AV63" s="45">
        <v>0</v>
      </c>
      <c r="AW63" s="45">
        <v>0</v>
      </c>
      <c r="AX63" s="45">
        <v>459.88318239300418</v>
      </c>
      <c r="AY63" s="45">
        <v>119.85034797453999</v>
      </c>
      <c r="AZ63" s="199">
        <v>3.8371451578154612</v>
      </c>
      <c r="BA63" s="45">
        <v>382.06298648166677</v>
      </c>
      <c r="BB63" s="45">
        <v>143.56325121195513</v>
      </c>
      <c r="BC63" s="45">
        <v>0</v>
      </c>
      <c r="BD63" s="45">
        <v>0</v>
      </c>
      <c r="BE63" s="45">
        <v>525.62623769362187</v>
      </c>
      <c r="BF63" s="45">
        <v>171.7145783853816</v>
      </c>
      <c r="BG63" s="45">
        <v>2.5986670347852652</v>
      </c>
      <c r="BH63" s="199">
        <v>3.0610460837748503</v>
      </c>
      <c r="BI63" s="45">
        <v>4.7876203144122202</v>
      </c>
      <c r="BJ63" s="45">
        <v>11.063462353667457</v>
      </c>
      <c r="BK63" s="45">
        <v>0</v>
      </c>
      <c r="BL63" s="45">
        <v>23.420187344452618</v>
      </c>
      <c r="BM63" s="45">
        <v>39.271270012532291</v>
      </c>
      <c r="BN63" s="45">
        <v>382.06298648166677</v>
      </c>
      <c r="BO63" s="45">
        <v>0</v>
      </c>
      <c r="BP63" s="45">
        <v>143.56325121195513</v>
      </c>
      <c r="BQ63" s="45">
        <v>0</v>
      </c>
      <c r="BR63" s="45">
        <v>0</v>
      </c>
      <c r="BS63" s="45">
        <v>0</v>
      </c>
      <c r="BT63" s="45">
        <v>0</v>
      </c>
      <c r="BU63" s="45">
        <v>0</v>
      </c>
      <c r="BV63" s="45">
        <v>0</v>
      </c>
      <c r="BW63" s="45">
        <v>0</v>
      </c>
      <c r="BX63" s="45">
        <v>425.4251721518159</v>
      </c>
      <c r="BY63" s="45"/>
      <c r="BZ63" s="45">
        <v>0</v>
      </c>
      <c r="CA63" s="45">
        <v>0</v>
      </c>
      <c r="CB63" s="45">
        <v>525.62623769362187</v>
      </c>
      <c r="CC63" s="45">
        <v>425.4251721518159</v>
      </c>
      <c r="CD63" s="199">
        <v>1.2355315860483416</v>
      </c>
      <c r="CE63" s="45">
        <v>26.018854379237879</v>
      </c>
      <c r="CF63" s="45">
        <v>7.5725666984285294</v>
      </c>
      <c r="CG63" s="45">
        <v>0</v>
      </c>
      <c r="CH63" s="45">
        <v>7.5725666984285294</v>
      </c>
      <c r="CI63" s="45">
        <v>0.37862733177790386</v>
      </c>
      <c r="CJ63" s="45">
        <v>0</v>
      </c>
      <c r="CK63" s="45">
        <v>0.37862733177790386</v>
      </c>
      <c r="CL63" s="45"/>
      <c r="CM63" s="45">
        <v>0</v>
      </c>
      <c r="CN63" s="45"/>
      <c r="CO63" s="45">
        <v>0</v>
      </c>
      <c r="CP63" s="45">
        <v>0</v>
      </c>
      <c r="CQ63" s="45">
        <v>0</v>
      </c>
      <c r="CR63" s="45">
        <v>0</v>
      </c>
      <c r="CS63" s="45">
        <v>0</v>
      </c>
      <c r="CT63" s="45">
        <v>0</v>
      </c>
      <c r="CU63" s="45">
        <v>0</v>
      </c>
      <c r="CV63" s="45">
        <v>9999</v>
      </c>
      <c r="CW63" s="199">
        <v>9999</v>
      </c>
      <c r="CX63" s="24"/>
      <c r="CY63" s="24"/>
      <c r="CZ63" s="24"/>
      <c r="DA63" s="24"/>
      <c r="DB63" s="24"/>
      <c r="DC63" s="24"/>
      <c r="DD63" s="24"/>
      <c r="DE63" s="24"/>
      <c r="DF63" s="24"/>
      <c r="DG63" s="24"/>
      <c r="DH63" s="24"/>
      <c r="DI63" s="24"/>
      <c r="DJ63" s="24"/>
      <c r="DK63" s="24"/>
      <c r="DL63" s="24"/>
      <c r="DM63" s="24"/>
      <c r="DN63" s="24"/>
      <c r="DO63" s="24"/>
      <c r="DP63" s="24"/>
      <c r="DQ63" s="24"/>
      <c r="DR63" s="24"/>
      <c r="DS63" s="24"/>
      <c r="DT63" s="24"/>
      <c r="DU63" s="24"/>
      <c r="DV63" s="24"/>
      <c r="DW63" s="24"/>
      <c r="DX63" s="24"/>
      <c r="DY63" s="24"/>
      <c r="DZ63" s="24"/>
      <c r="EA63" s="24"/>
    </row>
    <row r="64" spans="1:131">
      <c r="A64" s="24" t="s">
        <v>429</v>
      </c>
      <c r="B64" s="24" t="s">
        <v>611</v>
      </c>
      <c r="C64" s="45">
        <v>11.627906976744185</v>
      </c>
      <c r="D64" s="45">
        <v>1298.0734693877553</v>
      </c>
      <c r="E64" s="45">
        <v>0</v>
      </c>
      <c r="F64" s="45">
        <v>338.08982109258011</v>
      </c>
      <c r="G64" s="45">
        <v>0</v>
      </c>
      <c r="H64" s="45">
        <v>0</v>
      </c>
      <c r="I64" s="45" t="s">
        <v>368</v>
      </c>
      <c r="J64" s="45"/>
      <c r="K64" s="45"/>
      <c r="L64" s="45">
        <v>1391.6616897786967</v>
      </c>
      <c r="M64" s="45">
        <v>0.32483436677816196</v>
      </c>
      <c r="N64" s="45">
        <v>0.32248985798864294</v>
      </c>
      <c r="O64" s="45">
        <v>0</v>
      </c>
      <c r="P64" s="45">
        <v>0</v>
      </c>
      <c r="Q64" s="45">
        <v>0</v>
      </c>
      <c r="R64" s="45">
        <v>67.419626699469944</v>
      </c>
      <c r="S64" s="45">
        <v>155.79650283514036</v>
      </c>
      <c r="T64" s="45">
        <v>0</v>
      </c>
      <c r="U64" s="45">
        <v>329.80482667796895</v>
      </c>
      <c r="V64" s="45" t="s">
        <v>607</v>
      </c>
      <c r="W64" s="45" t="s">
        <v>607</v>
      </c>
      <c r="X64" s="45" t="s">
        <v>607</v>
      </c>
      <c r="Y64" s="45" t="s">
        <v>607</v>
      </c>
      <c r="Z64" s="45">
        <v>0</v>
      </c>
      <c r="AA64" s="45">
        <v>0</v>
      </c>
      <c r="AB64" s="45">
        <v>0</v>
      </c>
      <c r="AC64" s="45">
        <v>0</v>
      </c>
      <c r="AD64" s="45">
        <v>0</v>
      </c>
      <c r="AE64" s="45">
        <v>0</v>
      </c>
      <c r="AF64" s="45">
        <v>0</v>
      </c>
      <c r="AG64" s="45">
        <v>0</v>
      </c>
      <c r="AH64" s="45">
        <v>67.419626699469944</v>
      </c>
      <c r="AI64" s="45">
        <v>155.79650283514036</v>
      </c>
      <c r="AJ64" s="45">
        <v>0</v>
      </c>
      <c r="AK64" s="45">
        <v>329.80482667796895</v>
      </c>
      <c r="AL64" s="45">
        <v>553.02095621257922</v>
      </c>
      <c r="AM64" s="45">
        <v>667.03755633364551</v>
      </c>
      <c r="AN64" s="45">
        <v>114.77973136697989</v>
      </c>
      <c r="AO64" s="45">
        <v>0</v>
      </c>
      <c r="AP64" s="45">
        <v>0</v>
      </c>
      <c r="AQ64" s="45">
        <v>781.81728770062546</v>
      </c>
      <c r="AR64" s="45">
        <v>67.419626699469944</v>
      </c>
      <c r="AS64" s="199">
        <v>11.596286214779237</v>
      </c>
      <c r="AT64" s="45">
        <v>667.03755633364551</v>
      </c>
      <c r="AU64" s="45">
        <v>135.86501480324617</v>
      </c>
      <c r="AV64" s="45">
        <v>0</v>
      </c>
      <c r="AW64" s="45">
        <v>0</v>
      </c>
      <c r="AX64" s="45">
        <v>802.90257113689165</v>
      </c>
      <c r="AY64" s="45">
        <v>155.79650283514036</v>
      </c>
      <c r="AZ64" s="199">
        <v>5.1535339787857843</v>
      </c>
      <c r="BA64" s="45">
        <v>667.03755633364551</v>
      </c>
      <c r="BB64" s="45">
        <v>250.64474617022606</v>
      </c>
      <c r="BC64" s="45">
        <v>0</v>
      </c>
      <c r="BD64" s="45">
        <v>0</v>
      </c>
      <c r="BE64" s="45">
        <v>917.6823025038716</v>
      </c>
      <c r="BF64" s="45">
        <v>223.2161295346103</v>
      </c>
      <c r="BG64" s="45">
        <v>-1.450241560836885</v>
      </c>
      <c r="BH64" s="199">
        <v>4.1111827555525391</v>
      </c>
      <c r="BI64" s="45">
        <v>3.5646983569969763</v>
      </c>
      <c r="BJ64" s="45">
        <v>8.2374757154605547</v>
      </c>
      <c r="BK64" s="45">
        <v>0</v>
      </c>
      <c r="BL64" s="45">
        <v>17.437870562962811</v>
      </c>
      <c r="BM64" s="45">
        <v>29.240044635420343</v>
      </c>
      <c r="BN64" s="45">
        <v>667.03755633364551</v>
      </c>
      <c r="BO64" s="45">
        <v>0</v>
      </c>
      <c r="BP64" s="45">
        <v>250.64474617022606</v>
      </c>
      <c r="BQ64" s="45">
        <v>0</v>
      </c>
      <c r="BR64" s="45">
        <v>0</v>
      </c>
      <c r="BS64" s="45">
        <v>0</v>
      </c>
      <c r="BT64" s="45">
        <v>0</v>
      </c>
      <c r="BU64" s="45">
        <v>0</v>
      </c>
      <c r="BV64" s="45">
        <v>0</v>
      </c>
      <c r="BW64" s="45">
        <v>0</v>
      </c>
      <c r="BX64" s="45">
        <v>553.02095621257922</v>
      </c>
      <c r="BY64" s="45"/>
      <c r="BZ64" s="45">
        <v>0</v>
      </c>
      <c r="CA64" s="45">
        <v>0</v>
      </c>
      <c r="CB64" s="45">
        <v>917.6823025038716</v>
      </c>
      <c r="CC64" s="45">
        <v>553.02095621257922</v>
      </c>
      <c r="CD64" s="199">
        <v>1.6593987844307259</v>
      </c>
      <c r="CE64" s="45">
        <v>15.987629002125923</v>
      </c>
      <c r="CF64" s="45">
        <v>13.220821080336949</v>
      </c>
      <c r="CG64" s="45">
        <v>0</v>
      </c>
      <c r="CH64" s="45">
        <v>13.220821080336949</v>
      </c>
      <c r="CI64" s="45">
        <v>0.66103930264488109</v>
      </c>
      <c r="CJ64" s="45">
        <v>0</v>
      </c>
      <c r="CK64" s="45">
        <v>0.66103930264488109</v>
      </c>
      <c r="CL64" s="45"/>
      <c r="CM64" s="45">
        <v>0</v>
      </c>
      <c r="CN64" s="45"/>
      <c r="CO64" s="45">
        <v>0</v>
      </c>
      <c r="CP64" s="45">
        <v>0</v>
      </c>
      <c r="CQ64" s="45">
        <v>0</v>
      </c>
      <c r="CR64" s="45">
        <v>0</v>
      </c>
      <c r="CS64" s="45">
        <v>0</v>
      </c>
      <c r="CT64" s="45">
        <v>0</v>
      </c>
      <c r="CU64" s="45">
        <v>0</v>
      </c>
      <c r="CV64" s="45">
        <v>9999</v>
      </c>
      <c r="CW64" s="199">
        <v>9999</v>
      </c>
      <c r="CX64" s="24"/>
      <c r="CY64" s="24"/>
      <c r="CZ64" s="24"/>
      <c r="DA64" s="24"/>
      <c r="DB64" s="24"/>
      <c r="DC64" s="24"/>
      <c r="DD64" s="24"/>
      <c r="DE64" s="24"/>
      <c r="DF64" s="24"/>
      <c r="DG64" s="24"/>
      <c r="DH64" s="24"/>
      <c r="DI64" s="24"/>
      <c r="DJ64" s="24"/>
      <c r="DK64" s="24"/>
      <c r="DL64" s="24"/>
      <c r="DM64" s="24"/>
      <c r="DN64" s="24"/>
      <c r="DO64" s="24"/>
      <c r="DP64" s="24"/>
      <c r="DQ64" s="24"/>
      <c r="DR64" s="24"/>
      <c r="DS64" s="24"/>
      <c r="DT64" s="24"/>
      <c r="DU64" s="24"/>
      <c r="DV64" s="24"/>
      <c r="DW64" s="24"/>
      <c r="DX64" s="24"/>
      <c r="DY64" s="24"/>
      <c r="DZ64" s="24"/>
      <c r="EA64" s="24"/>
    </row>
    <row r="65" spans="1:131">
      <c r="A65" s="24" t="s">
        <v>433</v>
      </c>
      <c r="B65" s="24" t="s">
        <v>612</v>
      </c>
      <c r="C65" s="45">
        <v>11.627906976744185</v>
      </c>
      <c r="D65" s="45">
        <v>3159.841836734694</v>
      </c>
      <c r="E65" s="45">
        <v>0</v>
      </c>
      <c r="F65" s="45">
        <v>984.136129944407</v>
      </c>
      <c r="G65" s="45">
        <v>0</v>
      </c>
      <c r="H65" s="45">
        <v>0</v>
      </c>
      <c r="I65" s="45" t="s">
        <v>368</v>
      </c>
      <c r="J65" s="45"/>
      <c r="K65" s="45"/>
      <c r="L65" s="45">
        <v>3387.6594304155228</v>
      </c>
      <c r="M65" s="45">
        <v>0.7907296823799802</v>
      </c>
      <c r="N65" s="45">
        <v>0.7850225501302095</v>
      </c>
      <c r="O65" s="45">
        <v>0</v>
      </c>
      <c r="P65" s="45">
        <v>0</v>
      </c>
      <c r="Q65" s="45">
        <v>0</v>
      </c>
      <c r="R65" s="45">
        <v>196.24989089554438</v>
      </c>
      <c r="S65" s="45">
        <v>453.50364841969747</v>
      </c>
      <c r="T65" s="45">
        <v>0</v>
      </c>
      <c r="U65" s="45">
        <v>960.01957324519276</v>
      </c>
      <c r="V65" s="45" t="s">
        <v>607</v>
      </c>
      <c r="W65" s="45" t="s">
        <v>607</v>
      </c>
      <c r="X65" s="45" t="s">
        <v>607</v>
      </c>
      <c r="Y65" s="45" t="s">
        <v>607</v>
      </c>
      <c r="Z65" s="45">
        <v>0</v>
      </c>
      <c r="AA65" s="45">
        <v>0</v>
      </c>
      <c r="AB65" s="45">
        <v>0</v>
      </c>
      <c r="AC65" s="45">
        <v>0</v>
      </c>
      <c r="AD65" s="45">
        <v>0</v>
      </c>
      <c r="AE65" s="45">
        <v>0</v>
      </c>
      <c r="AF65" s="45">
        <v>0</v>
      </c>
      <c r="AG65" s="45">
        <v>0</v>
      </c>
      <c r="AH65" s="45">
        <v>196.24989089554438</v>
      </c>
      <c r="AI65" s="45">
        <v>453.50364841969747</v>
      </c>
      <c r="AJ65" s="45">
        <v>0</v>
      </c>
      <c r="AK65" s="45">
        <v>960.01957324519276</v>
      </c>
      <c r="AL65" s="45">
        <v>1609.7731125604346</v>
      </c>
      <c r="AM65" s="45">
        <v>1623.7395084967363</v>
      </c>
      <c r="AN65" s="45">
        <v>279.40313528911093</v>
      </c>
      <c r="AO65" s="45">
        <v>0</v>
      </c>
      <c r="AP65" s="45">
        <v>0</v>
      </c>
      <c r="AQ65" s="45">
        <v>1903.1426437858472</v>
      </c>
      <c r="AR65" s="45">
        <v>196.24989089554438</v>
      </c>
      <c r="AS65" s="199">
        <v>9.6975475252560042</v>
      </c>
      <c r="AT65" s="45">
        <v>1623.7395084967363</v>
      </c>
      <c r="AU65" s="45">
        <v>330.73009197727737</v>
      </c>
      <c r="AV65" s="45">
        <v>0</v>
      </c>
      <c r="AW65" s="45">
        <v>0</v>
      </c>
      <c r="AX65" s="45">
        <v>1954.4696004740138</v>
      </c>
      <c r="AY65" s="45">
        <v>453.50364841969747</v>
      </c>
      <c r="AZ65" s="199">
        <v>4.3097108640352966</v>
      </c>
      <c r="BA65" s="45">
        <v>1623.7395084967363</v>
      </c>
      <c r="BB65" s="45">
        <v>610.1332272663883</v>
      </c>
      <c r="BC65" s="45">
        <v>0</v>
      </c>
      <c r="BD65" s="45">
        <v>0</v>
      </c>
      <c r="BE65" s="45">
        <v>2233.8727357631246</v>
      </c>
      <c r="BF65" s="45">
        <v>649.75353931524182</v>
      </c>
      <c r="BG65" s="45">
        <v>0.86057408337635544</v>
      </c>
      <c r="BH65" s="199">
        <v>3.4380308849373016</v>
      </c>
      <c r="BI65" s="45">
        <v>4.2626511815933545</v>
      </c>
      <c r="BJ65" s="45">
        <v>9.8503385350774231</v>
      </c>
      <c r="BK65" s="45">
        <v>0</v>
      </c>
      <c r="BL65" s="45">
        <v>20.852131685639975</v>
      </c>
      <c r="BM65" s="45">
        <v>34.96512140231075</v>
      </c>
      <c r="BN65" s="45">
        <v>1623.7395084967363</v>
      </c>
      <c r="BO65" s="45">
        <v>0</v>
      </c>
      <c r="BP65" s="45">
        <v>610.1332272663883</v>
      </c>
      <c r="BQ65" s="45">
        <v>0</v>
      </c>
      <c r="BR65" s="45">
        <v>0</v>
      </c>
      <c r="BS65" s="45">
        <v>0</v>
      </c>
      <c r="BT65" s="45">
        <v>0</v>
      </c>
      <c r="BU65" s="45">
        <v>0</v>
      </c>
      <c r="BV65" s="45">
        <v>0</v>
      </c>
      <c r="BW65" s="45">
        <v>0</v>
      </c>
      <c r="BX65" s="45">
        <v>1609.7731125604346</v>
      </c>
      <c r="BY65" s="45"/>
      <c r="BZ65" s="45">
        <v>0</v>
      </c>
      <c r="CA65" s="45">
        <v>0</v>
      </c>
      <c r="CB65" s="45">
        <v>2233.8727357631246</v>
      </c>
      <c r="CC65" s="45">
        <v>1609.7731125604346</v>
      </c>
      <c r="CD65" s="199">
        <v>1.3876941528797337</v>
      </c>
      <c r="CE65" s="45">
        <v>21.712705769016328</v>
      </c>
      <c r="CF65" s="45">
        <v>32.182849854666841</v>
      </c>
      <c r="CG65" s="45">
        <v>0</v>
      </c>
      <c r="CH65" s="45">
        <v>32.182849854666841</v>
      </c>
      <c r="CI65" s="45">
        <v>1.6091382294473737</v>
      </c>
      <c r="CJ65" s="45">
        <v>0</v>
      </c>
      <c r="CK65" s="45">
        <v>1.6091382294473737</v>
      </c>
      <c r="CL65" s="45"/>
      <c r="CM65" s="45">
        <v>0</v>
      </c>
      <c r="CN65" s="45"/>
      <c r="CO65" s="45">
        <v>0</v>
      </c>
      <c r="CP65" s="45">
        <v>0</v>
      </c>
      <c r="CQ65" s="45">
        <v>0</v>
      </c>
      <c r="CR65" s="45">
        <v>0</v>
      </c>
      <c r="CS65" s="45">
        <v>0</v>
      </c>
      <c r="CT65" s="45">
        <v>0</v>
      </c>
      <c r="CU65" s="45">
        <v>0</v>
      </c>
      <c r="CV65" s="45">
        <v>9999</v>
      </c>
      <c r="CW65" s="199">
        <v>9999</v>
      </c>
      <c r="CX65" s="24"/>
      <c r="CY65" s="24"/>
      <c r="CZ65" s="24"/>
      <c r="DA65" s="24"/>
      <c r="DB65" s="24"/>
      <c r="DC65" s="24"/>
      <c r="DD65" s="24"/>
      <c r="DE65" s="24"/>
      <c r="DF65" s="24"/>
      <c r="DG65" s="24"/>
      <c r="DH65" s="24"/>
      <c r="DI65" s="24"/>
      <c r="DJ65" s="24"/>
      <c r="DK65" s="24"/>
      <c r="DL65" s="24"/>
      <c r="DM65" s="24"/>
      <c r="DN65" s="24"/>
      <c r="DO65" s="24"/>
      <c r="DP65" s="24"/>
      <c r="DQ65" s="24"/>
      <c r="DR65" s="24"/>
      <c r="DS65" s="24"/>
      <c r="DT65" s="24"/>
      <c r="DU65" s="24"/>
      <c r="DV65" s="24"/>
      <c r="DW65" s="24"/>
      <c r="DX65" s="24"/>
      <c r="DY65" s="24"/>
      <c r="DZ65" s="24"/>
      <c r="EA65" s="24"/>
    </row>
    <row r="66" spans="1:131">
      <c r="A66" s="24" t="s">
        <v>431</v>
      </c>
      <c r="B66" s="24" t="s">
        <v>613</v>
      </c>
      <c r="C66" s="45">
        <v>11.627906976744185</v>
      </c>
      <c r="D66" s="45">
        <v>743.50510204081638</v>
      </c>
      <c r="E66" s="45">
        <v>0</v>
      </c>
      <c r="F66" s="45">
        <v>285.91736581943508</v>
      </c>
      <c r="G66" s="45">
        <v>0</v>
      </c>
      <c r="H66" s="45">
        <v>0</v>
      </c>
      <c r="I66" s="45" t="s">
        <v>368</v>
      </c>
      <c r="J66" s="45"/>
      <c r="K66" s="45"/>
      <c r="L66" s="45">
        <v>797.11017216400808</v>
      </c>
      <c r="M66" s="45">
        <v>0.18605727234504985</v>
      </c>
      <c r="N66" s="45">
        <v>0.18471439438945222</v>
      </c>
      <c r="O66" s="45">
        <v>0</v>
      </c>
      <c r="P66" s="45">
        <v>0</v>
      </c>
      <c r="Q66" s="45">
        <v>0</v>
      </c>
      <c r="R66" s="45">
        <v>57.015742172147732</v>
      </c>
      <c r="S66" s="45">
        <v>131.75470811440258</v>
      </c>
      <c r="T66" s="45">
        <v>0</v>
      </c>
      <c r="U66" s="45">
        <v>278.91087336959083</v>
      </c>
      <c r="V66" s="45" t="s">
        <v>607</v>
      </c>
      <c r="W66" s="45" t="s">
        <v>607</v>
      </c>
      <c r="X66" s="45" t="s">
        <v>607</v>
      </c>
      <c r="Y66" s="45" t="s">
        <v>607</v>
      </c>
      <c r="Z66" s="45">
        <v>0</v>
      </c>
      <c r="AA66" s="45">
        <v>0</v>
      </c>
      <c r="AB66" s="45">
        <v>0</v>
      </c>
      <c r="AC66" s="45">
        <v>0</v>
      </c>
      <c r="AD66" s="45">
        <v>0</v>
      </c>
      <c r="AE66" s="45">
        <v>0</v>
      </c>
      <c r="AF66" s="45">
        <v>0</v>
      </c>
      <c r="AG66" s="45">
        <v>0</v>
      </c>
      <c r="AH66" s="45">
        <v>57.015742172147732</v>
      </c>
      <c r="AI66" s="45">
        <v>131.75470811440258</v>
      </c>
      <c r="AJ66" s="45">
        <v>0</v>
      </c>
      <c r="AK66" s="45">
        <v>278.91087336959083</v>
      </c>
      <c r="AL66" s="45">
        <v>467.6813236561411</v>
      </c>
      <c r="AM66" s="45">
        <v>382.06298648166677</v>
      </c>
      <c r="AN66" s="45">
        <v>65.743055300617698</v>
      </c>
      <c r="AO66" s="45">
        <v>0</v>
      </c>
      <c r="AP66" s="45">
        <v>0</v>
      </c>
      <c r="AQ66" s="45">
        <v>447.80604178228447</v>
      </c>
      <c r="AR66" s="45">
        <v>57.015742172147732</v>
      </c>
      <c r="AS66" s="199">
        <v>7.8540772201162072</v>
      </c>
      <c r="AT66" s="45">
        <v>382.06298648166677</v>
      </c>
      <c r="AU66" s="45">
        <v>77.820195911337436</v>
      </c>
      <c r="AV66" s="45">
        <v>0</v>
      </c>
      <c r="AW66" s="45">
        <v>0</v>
      </c>
      <c r="AX66" s="45">
        <v>459.88318239300418</v>
      </c>
      <c r="AY66" s="45">
        <v>131.75470811440258</v>
      </c>
      <c r="AZ66" s="199">
        <v>3.49044970744945</v>
      </c>
      <c r="BA66" s="45">
        <v>382.06298648166677</v>
      </c>
      <c r="BB66" s="45">
        <v>143.56325121195513</v>
      </c>
      <c r="BC66" s="45">
        <v>0</v>
      </c>
      <c r="BD66" s="45">
        <v>0</v>
      </c>
      <c r="BE66" s="45">
        <v>525.62623769362187</v>
      </c>
      <c r="BF66" s="45">
        <v>188.7704502865503</v>
      </c>
      <c r="BG66" s="45">
        <v>4.1731054897127322</v>
      </c>
      <c r="BH66" s="199">
        <v>2.7844730830261319</v>
      </c>
      <c r="BI66" s="45">
        <v>5.26315966326578</v>
      </c>
      <c r="BJ66" s="45">
        <v>12.162361459741369</v>
      </c>
      <c r="BK66" s="45">
        <v>0</v>
      </c>
      <c r="BL66" s="45">
        <v>25.746441288668471</v>
      </c>
      <c r="BM66" s="45">
        <v>43.171962411675615</v>
      </c>
      <c r="BN66" s="45">
        <v>382.06298648166677</v>
      </c>
      <c r="BO66" s="45">
        <v>0</v>
      </c>
      <c r="BP66" s="45">
        <v>143.56325121195513</v>
      </c>
      <c r="BQ66" s="45">
        <v>0</v>
      </c>
      <c r="BR66" s="45">
        <v>0</v>
      </c>
      <c r="BS66" s="45">
        <v>0</v>
      </c>
      <c r="BT66" s="45">
        <v>0</v>
      </c>
      <c r="BU66" s="45">
        <v>0</v>
      </c>
      <c r="BV66" s="45">
        <v>0</v>
      </c>
      <c r="BW66" s="45">
        <v>0</v>
      </c>
      <c r="BX66" s="45">
        <v>467.6813236561411</v>
      </c>
      <c r="BY66" s="45"/>
      <c r="BZ66" s="45">
        <v>0</v>
      </c>
      <c r="CA66" s="45">
        <v>0</v>
      </c>
      <c r="CB66" s="45">
        <v>525.62623769362187</v>
      </c>
      <c r="CC66" s="45">
        <v>467.6813236561411</v>
      </c>
      <c r="CD66" s="199">
        <v>1.1238982852351065</v>
      </c>
      <c r="CE66" s="45">
        <v>29.919546778381203</v>
      </c>
      <c r="CF66" s="45">
        <v>7.5725666984285294</v>
      </c>
      <c r="CG66" s="45">
        <v>0</v>
      </c>
      <c r="CH66" s="45">
        <v>7.5725666984285294</v>
      </c>
      <c r="CI66" s="45">
        <v>0.37862733177790386</v>
      </c>
      <c r="CJ66" s="45">
        <v>0</v>
      </c>
      <c r="CK66" s="45">
        <v>0.37862733177790386</v>
      </c>
      <c r="CL66" s="45"/>
      <c r="CM66" s="45">
        <v>0</v>
      </c>
      <c r="CN66" s="45"/>
      <c r="CO66" s="45">
        <v>0</v>
      </c>
      <c r="CP66" s="45">
        <v>0</v>
      </c>
      <c r="CQ66" s="45">
        <v>0</v>
      </c>
      <c r="CR66" s="45">
        <v>0</v>
      </c>
      <c r="CS66" s="45">
        <v>0</v>
      </c>
      <c r="CT66" s="45">
        <v>0</v>
      </c>
      <c r="CU66" s="45">
        <v>0</v>
      </c>
      <c r="CV66" s="45">
        <v>9999</v>
      </c>
      <c r="CW66" s="199">
        <v>9999</v>
      </c>
      <c r="CX66" s="24"/>
      <c r="CY66" s="24"/>
      <c r="CZ66" s="24"/>
      <c r="DA66" s="24"/>
      <c r="DB66" s="24"/>
      <c r="DC66" s="24"/>
      <c r="DD66" s="24"/>
      <c r="DE66" s="24"/>
      <c r="DF66" s="24"/>
      <c r="DG66" s="24"/>
      <c r="DH66" s="24"/>
      <c r="DI66" s="24"/>
      <c r="DJ66" s="24"/>
      <c r="DK66" s="24"/>
      <c r="DL66" s="24"/>
      <c r="DM66" s="24"/>
      <c r="DN66" s="24"/>
      <c r="DO66" s="24"/>
      <c r="DP66" s="24"/>
      <c r="DQ66" s="24"/>
      <c r="DR66" s="24"/>
      <c r="DS66" s="24"/>
      <c r="DT66" s="24"/>
      <c r="DU66" s="24"/>
      <c r="DV66" s="24"/>
      <c r="DW66" s="24"/>
      <c r="DX66" s="24"/>
      <c r="DY66" s="24"/>
      <c r="DZ66" s="24"/>
      <c r="EA66" s="24"/>
    </row>
    <row r="67" spans="1:131">
      <c r="A67" s="24" t="s">
        <v>432</v>
      </c>
      <c r="B67" s="24" t="s">
        <v>614</v>
      </c>
      <c r="C67" s="45">
        <v>11.627906976744185</v>
      </c>
      <c r="D67" s="45">
        <v>1298.0734693877553</v>
      </c>
      <c r="E67" s="45">
        <v>0</v>
      </c>
      <c r="F67" s="45">
        <v>366.92315442591342</v>
      </c>
      <c r="G67" s="45">
        <v>0</v>
      </c>
      <c r="H67" s="45">
        <v>0</v>
      </c>
      <c r="I67" s="45" t="s">
        <v>368</v>
      </c>
      <c r="J67" s="45"/>
      <c r="K67" s="45"/>
      <c r="L67" s="45">
        <v>1391.6616897786967</v>
      </c>
      <c r="M67" s="45">
        <v>0.32483436677816196</v>
      </c>
      <c r="N67" s="45">
        <v>0.32248985798864294</v>
      </c>
      <c r="O67" s="45">
        <v>0</v>
      </c>
      <c r="P67" s="45">
        <v>0</v>
      </c>
      <c r="Q67" s="45">
        <v>0</v>
      </c>
      <c r="R67" s="45">
        <v>73.169378536282579</v>
      </c>
      <c r="S67" s="45">
        <v>169.08330479769668</v>
      </c>
      <c r="T67" s="45">
        <v>0</v>
      </c>
      <c r="U67" s="45">
        <v>357.93159036407275</v>
      </c>
      <c r="V67" s="45" t="s">
        <v>607</v>
      </c>
      <c r="W67" s="45" t="s">
        <v>607</v>
      </c>
      <c r="X67" s="45" t="s">
        <v>607</v>
      </c>
      <c r="Y67" s="45" t="s">
        <v>607</v>
      </c>
      <c r="Z67" s="45">
        <v>0</v>
      </c>
      <c r="AA67" s="45">
        <v>0</v>
      </c>
      <c r="AB67" s="45">
        <v>0</v>
      </c>
      <c r="AC67" s="45">
        <v>0</v>
      </c>
      <c r="AD67" s="45">
        <v>0</v>
      </c>
      <c r="AE67" s="45">
        <v>0</v>
      </c>
      <c r="AF67" s="45">
        <v>0</v>
      </c>
      <c r="AG67" s="45">
        <v>0</v>
      </c>
      <c r="AH67" s="45">
        <v>73.169378536282579</v>
      </c>
      <c r="AI67" s="45">
        <v>169.08330479769668</v>
      </c>
      <c r="AJ67" s="45">
        <v>0</v>
      </c>
      <c r="AK67" s="45">
        <v>357.93159036407275</v>
      </c>
      <c r="AL67" s="45">
        <v>600.18427369805204</v>
      </c>
      <c r="AM67" s="45">
        <v>667.03755633364551</v>
      </c>
      <c r="AN67" s="45">
        <v>114.77973136697989</v>
      </c>
      <c r="AO67" s="45">
        <v>0</v>
      </c>
      <c r="AP67" s="45">
        <v>0</v>
      </c>
      <c r="AQ67" s="45">
        <v>781.81728770062546</v>
      </c>
      <c r="AR67" s="45">
        <v>73.169378536282579</v>
      </c>
      <c r="AS67" s="199">
        <v>10.685033867179081</v>
      </c>
      <c r="AT67" s="45">
        <v>667.03755633364551</v>
      </c>
      <c r="AU67" s="45">
        <v>135.86501480324617</v>
      </c>
      <c r="AV67" s="45">
        <v>0</v>
      </c>
      <c r="AW67" s="45">
        <v>0</v>
      </c>
      <c r="AX67" s="45">
        <v>802.90257113689165</v>
      </c>
      <c r="AY67" s="45">
        <v>169.08330479769668</v>
      </c>
      <c r="AZ67" s="199">
        <v>4.748562089542439</v>
      </c>
      <c r="BA67" s="45">
        <v>667.03755633364551</v>
      </c>
      <c r="BB67" s="45">
        <v>250.64474617022606</v>
      </c>
      <c r="BC67" s="45">
        <v>0</v>
      </c>
      <c r="BD67" s="45">
        <v>0</v>
      </c>
      <c r="BE67" s="45">
        <v>917.6823025038716</v>
      </c>
      <c r="BF67" s="45">
        <v>242.25268333397926</v>
      </c>
      <c r="BG67" s="45">
        <v>-0.44371608192870238</v>
      </c>
      <c r="BH67" s="199">
        <v>3.788120279512933</v>
      </c>
      <c r="BI67" s="45">
        <v>3.8687067285827461</v>
      </c>
      <c r="BJ67" s="45">
        <v>8.939992822782969</v>
      </c>
      <c r="BK67" s="45">
        <v>0</v>
      </c>
      <c r="BL67" s="45">
        <v>18.925025464404662</v>
      </c>
      <c r="BM67" s="45">
        <v>31.733725015770379</v>
      </c>
      <c r="BN67" s="45">
        <v>667.03755633364551</v>
      </c>
      <c r="BO67" s="45">
        <v>0</v>
      </c>
      <c r="BP67" s="45">
        <v>250.64474617022606</v>
      </c>
      <c r="BQ67" s="45">
        <v>0</v>
      </c>
      <c r="BR67" s="45">
        <v>0</v>
      </c>
      <c r="BS67" s="45">
        <v>0</v>
      </c>
      <c r="BT67" s="45">
        <v>0</v>
      </c>
      <c r="BU67" s="45">
        <v>0</v>
      </c>
      <c r="BV67" s="45">
        <v>0</v>
      </c>
      <c r="BW67" s="45">
        <v>0</v>
      </c>
      <c r="BX67" s="45">
        <v>600.18427369805204</v>
      </c>
      <c r="BY67" s="45"/>
      <c r="BZ67" s="45">
        <v>0</v>
      </c>
      <c r="CA67" s="45">
        <v>0</v>
      </c>
      <c r="CB67" s="45">
        <v>917.6823025038716</v>
      </c>
      <c r="CC67" s="45">
        <v>600.18427369805204</v>
      </c>
      <c r="CD67" s="199">
        <v>1.5290009130854874</v>
      </c>
      <c r="CE67" s="45">
        <v>18.48130938247596</v>
      </c>
      <c r="CF67" s="45">
        <v>13.220821080336949</v>
      </c>
      <c r="CG67" s="45">
        <v>0</v>
      </c>
      <c r="CH67" s="45">
        <v>13.220821080336949</v>
      </c>
      <c r="CI67" s="45">
        <v>0.66103930264488109</v>
      </c>
      <c r="CJ67" s="45">
        <v>0</v>
      </c>
      <c r="CK67" s="45">
        <v>0.66103930264488109</v>
      </c>
      <c r="CL67" s="45"/>
      <c r="CM67" s="45">
        <v>0</v>
      </c>
      <c r="CN67" s="45"/>
      <c r="CO67" s="45">
        <v>0</v>
      </c>
      <c r="CP67" s="45">
        <v>0</v>
      </c>
      <c r="CQ67" s="45">
        <v>0</v>
      </c>
      <c r="CR67" s="45">
        <v>0</v>
      </c>
      <c r="CS67" s="45">
        <v>0</v>
      </c>
      <c r="CT67" s="45">
        <v>0</v>
      </c>
      <c r="CU67" s="45">
        <v>0</v>
      </c>
      <c r="CV67" s="45">
        <v>9999</v>
      </c>
      <c r="CW67" s="199">
        <v>9999</v>
      </c>
      <c r="CX67" s="24"/>
      <c r="CY67" s="24"/>
      <c r="CZ67" s="24"/>
      <c r="DA67" s="24"/>
      <c r="DB67" s="24"/>
      <c r="DC67" s="24"/>
      <c r="DD67" s="24"/>
      <c r="DE67" s="24"/>
      <c r="DF67" s="24"/>
      <c r="DG67" s="24"/>
      <c r="DH67" s="24"/>
      <c r="DI67" s="24"/>
      <c r="DJ67" s="24"/>
      <c r="DK67" s="24"/>
      <c r="DL67" s="24"/>
      <c r="DM67" s="24"/>
      <c r="DN67" s="24"/>
      <c r="DO67" s="24"/>
      <c r="DP67" s="24"/>
      <c r="DQ67" s="24"/>
      <c r="DR67" s="24"/>
      <c r="DS67" s="24"/>
      <c r="DT67" s="24"/>
      <c r="DU67" s="24"/>
      <c r="DV67" s="24"/>
      <c r="DW67" s="24"/>
      <c r="DX67" s="24"/>
      <c r="DY67" s="24"/>
      <c r="DZ67" s="24"/>
      <c r="EA67" s="24"/>
    </row>
    <row r="68" spans="1:131">
      <c r="A68" s="24" t="s">
        <v>434</v>
      </c>
      <c r="B68" s="24" t="s">
        <v>615</v>
      </c>
      <c r="C68" s="45">
        <v>11.627906976744185</v>
      </c>
      <c r="D68" s="45">
        <v>3159.841836734694</v>
      </c>
      <c r="E68" s="45">
        <v>0</v>
      </c>
      <c r="F68" s="45">
        <v>1014.9694632777404</v>
      </c>
      <c r="G68" s="45">
        <v>0</v>
      </c>
      <c r="H68" s="45">
        <v>0</v>
      </c>
      <c r="I68" s="45" t="s">
        <v>368</v>
      </c>
      <c r="J68" s="45"/>
      <c r="K68" s="45"/>
      <c r="L68" s="45">
        <v>3387.6594304155228</v>
      </c>
      <c r="M68" s="45">
        <v>0.7907296823799802</v>
      </c>
      <c r="N68" s="45">
        <v>0.7850225501302095</v>
      </c>
      <c r="O68" s="45">
        <v>0</v>
      </c>
      <c r="P68" s="45">
        <v>0</v>
      </c>
      <c r="Q68" s="45">
        <v>0</v>
      </c>
      <c r="R68" s="45">
        <v>202.39846944936139</v>
      </c>
      <c r="S68" s="45">
        <v>467.71207826404958</v>
      </c>
      <c r="T68" s="45">
        <v>0</v>
      </c>
      <c r="U68" s="45">
        <v>990.09732631992802</v>
      </c>
      <c r="V68" s="45" t="s">
        <v>607</v>
      </c>
      <c r="W68" s="45" t="s">
        <v>607</v>
      </c>
      <c r="X68" s="45" t="s">
        <v>607</v>
      </c>
      <c r="Y68" s="45" t="s">
        <v>607</v>
      </c>
      <c r="Z68" s="45">
        <v>0</v>
      </c>
      <c r="AA68" s="45">
        <v>0</v>
      </c>
      <c r="AB68" s="45">
        <v>0</v>
      </c>
      <c r="AC68" s="45">
        <v>0</v>
      </c>
      <c r="AD68" s="45">
        <v>0</v>
      </c>
      <c r="AE68" s="45">
        <v>0</v>
      </c>
      <c r="AF68" s="45">
        <v>0</v>
      </c>
      <c r="AG68" s="45">
        <v>0</v>
      </c>
      <c r="AH68" s="45">
        <v>202.39846944936139</v>
      </c>
      <c r="AI68" s="45">
        <v>467.71207826404958</v>
      </c>
      <c r="AJ68" s="45">
        <v>0</v>
      </c>
      <c r="AK68" s="45">
        <v>990.09732631992802</v>
      </c>
      <c r="AL68" s="45">
        <v>1660.2078740333391</v>
      </c>
      <c r="AM68" s="45">
        <v>1623.7395084967363</v>
      </c>
      <c r="AN68" s="45">
        <v>279.40313528911093</v>
      </c>
      <c r="AO68" s="45">
        <v>0</v>
      </c>
      <c r="AP68" s="45">
        <v>0</v>
      </c>
      <c r="AQ68" s="45">
        <v>1903.1426437858472</v>
      </c>
      <c r="AR68" s="45">
        <v>202.39846944936139</v>
      </c>
      <c r="AS68" s="199">
        <v>9.4029497800229151</v>
      </c>
      <c r="AT68" s="45">
        <v>1623.7395084967363</v>
      </c>
      <c r="AU68" s="45">
        <v>330.73009197727737</v>
      </c>
      <c r="AV68" s="45">
        <v>0</v>
      </c>
      <c r="AW68" s="45">
        <v>0</v>
      </c>
      <c r="AX68" s="45">
        <v>1954.4696004740138</v>
      </c>
      <c r="AY68" s="45">
        <v>467.71207826404958</v>
      </c>
      <c r="AZ68" s="199">
        <v>4.1787879580279013</v>
      </c>
      <c r="BA68" s="45">
        <v>1623.7395084967363</v>
      </c>
      <c r="BB68" s="45">
        <v>610.1332272663883</v>
      </c>
      <c r="BC68" s="45">
        <v>0</v>
      </c>
      <c r="BD68" s="45">
        <v>0</v>
      </c>
      <c r="BE68" s="45">
        <v>2233.8727357631246</v>
      </c>
      <c r="BF68" s="45">
        <v>670.11054771341094</v>
      </c>
      <c r="BG68" s="45">
        <v>1.3027390471691176</v>
      </c>
      <c r="BH68" s="199">
        <v>3.3335883808808431</v>
      </c>
      <c r="BI68" s="45">
        <v>4.3962015520824655</v>
      </c>
      <c r="BJ68" s="45">
        <v>10.158953128381071</v>
      </c>
      <c r="BK68" s="45">
        <v>0</v>
      </c>
      <c r="BL68" s="45">
        <v>21.505436352962999</v>
      </c>
      <c r="BM68" s="45">
        <v>36.060591033426533</v>
      </c>
      <c r="BN68" s="45">
        <v>1623.7395084967363</v>
      </c>
      <c r="BO68" s="45">
        <v>0</v>
      </c>
      <c r="BP68" s="45">
        <v>610.1332272663883</v>
      </c>
      <c r="BQ68" s="45">
        <v>0</v>
      </c>
      <c r="BR68" s="45">
        <v>0</v>
      </c>
      <c r="BS68" s="45">
        <v>0</v>
      </c>
      <c r="BT68" s="45">
        <v>0</v>
      </c>
      <c r="BU68" s="45">
        <v>0</v>
      </c>
      <c r="BV68" s="45">
        <v>0</v>
      </c>
      <c r="BW68" s="45">
        <v>0</v>
      </c>
      <c r="BX68" s="45">
        <v>1660.2078740333391</v>
      </c>
      <c r="BY68" s="45"/>
      <c r="BZ68" s="45">
        <v>0</v>
      </c>
      <c r="CA68" s="45">
        <v>0</v>
      </c>
      <c r="CB68" s="45">
        <v>2233.8727357631246</v>
      </c>
      <c r="CC68" s="45">
        <v>1660.2078740333391</v>
      </c>
      <c r="CD68" s="199">
        <v>1.3455379719023461</v>
      </c>
      <c r="CE68" s="45">
        <v>22.808175400132118</v>
      </c>
      <c r="CF68" s="45">
        <v>32.182849854666841</v>
      </c>
      <c r="CG68" s="45">
        <v>0</v>
      </c>
      <c r="CH68" s="45">
        <v>32.182849854666841</v>
      </c>
      <c r="CI68" s="45">
        <v>1.6091382294473737</v>
      </c>
      <c r="CJ68" s="45">
        <v>0</v>
      </c>
      <c r="CK68" s="45">
        <v>1.6091382294473737</v>
      </c>
      <c r="CL68" s="45"/>
      <c r="CM68" s="45">
        <v>0</v>
      </c>
      <c r="CN68" s="45"/>
      <c r="CO68" s="45">
        <v>0</v>
      </c>
      <c r="CP68" s="45">
        <v>0</v>
      </c>
      <c r="CQ68" s="45">
        <v>0</v>
      </c>
      <c r="CR68" s="45">
        <v>0</v>
      </c>
      <c r="CS68" s="45">
        <v>0</v>
      </c>
      <c r="CT68" s="45">
        <v>0</v>
      </c>
      <c r="CU68" s="45">
        <v>0</v>
      </c>
      <c r="CV68" s="45">
        <v>9999</v>
      </c>
      <c r="CW68" s="199">
        <v>9999</v>
      </c>
      <c r="CX68" s="24"/>
      <c r="CY68" s="24"/>
      <c r="CZ68" s="24"/>
      <c r="DA68" s="24"/>
      <c r="DB68" s="24"/>
      <c r="DC68" s="24"/>
      <c r="DD68" s="24"/>
      <c r="DE68" s="24"/>
      <c r="DF68" s="24"/>
      <c r="DG68" s="24"/>
      <c r="DH68" s="24"/>
      <c r="DI68" s="24"/>
      <c r="DJ68" s="24"/>
      <c r="DK68" s="24"/>
      <c r="DL68" s="24"/>
      <c r="DM68" s="24"/>
      <c r="DN68" s="24"/>
      <c r="DO68" s="24"/>
      <c r="DP68" s="24"/>
      <c r="DQ68" s="24"/>
      <c r="DR68" s="24"/>
      <c r="DS68" s="24"/>
      <c r="DT68" s="24"/>
      <c r="DU68" s="24"/>
      <c r="DV68" s="24"/>
      <c r="DW68" s="24"/>
      <c r="DX68" s="24"/>
      <c r="DY68" s="24"/>
      <c r="DZ68" s="24"/>
      <c r="EA68" s="24"/>
    </row>
    <row r="69" spans="1:131">
      <c r="A69" s="24" t="s">
        <v>415</v>
      </c>
      <c r="B69" s="24" t="s">
        <v>616</v>
      </c>
      <c r="C69" s="45">
        <v>16.279069767441861</v>
      </c>
      <c r="D69" s="45">
        <v>649.36581632653053</v>
      </c>
      <c r="E69" s="45">
        <v>0</v>
      </c>
      <c r="F69" s="45">
        <v>7.3019593555087283</v>
      </c>
      <c r="G69" s="45">
        <v>0</v>
      </c>
      <c r="H69" s="45">
        <v>0</v>
      </c>
      <c r="I69" s="45" t="s">
        <v>368</v>
      </c>
      <c r="J69" s="45"/>
      <c r="K69" s="45"/>
      <c r="L69" s="45">
        <v>696.18365257841458</v>
      </c>
      <c r="M69" s="45">
        <v>0.16249953390797076</v>
      </c>
      <c r="N69" s="45">
        <v>0.16132668514409546</v>
      </c>
      <c r="O69" s="45">
        <v>0</v>
      </c>
      <c r="P69" s="45">
        <v>0</v>
      </c>
      <c r="Q69" s="45">
        <v>0</v>
      </c>
      <c r="R69" s="45">
        <v>1.4561082387283526</v>
      </c>
      <c r="S69" s="45">
        <v>3.3648446668883225</v>
      </c>
      <c r="T69" s="45">
        <v>0</v>
      </c>
      <c r="U69" s="45">
        <v>4.2851339941471842</v>
      </c>
      <c r="V69" s="45" t="s">
        <v>607</v>
      </c>
      <c r="W69" s="45" t="s">
        <v>607</v>
      </c>
      <c r="X69" s="45" t="s">
        <v>607</v>
      </c>
      <c r="Y69" s="45" t="s">
        <v>607</v>
      </c>
      <c r="Z69" s="45">
        <v>0</v>
      </c>
      <c r="AA69" s="45">
        <v>0</v>
      </c>
      <c r="AB69" s="45">
        <v>0</v>
      </c>
      <c r="AC69" s="45">
        <v>0</v>
      </c>
      <c r="AD69" s="45">
        <v>0</v>
      </c>
      <c r="AE69" s="45">
        <v>0</v>
      </c>
      <c r="AF69" s="45">
        <v>0</v>
      </c>
      <c r="AG69" s="45">
        <v>0</v>
      </c>
      <c r="AH69" s="45">
        <v>1.4561082387283526</v>
      </c>
      <c r="AI69" s="45">
        <v>3.3648446668883225</v>
      </c>
      <c r="AJ69" s="45">
        <v>0</v>
      </c>
      <c r="AK69" s="45">
        <v>4.2851339941471842</v>
      </c>
      <c r="AL69" s="45">
        <v>9.1060868997638593</v>
      </c>
      <c r="AM69" s="45">
        <v>333.6878824688946</v>
      </c>
      <c r="AN69" s="45">
        <v>57.41896411457607</v>
      </c>
      <c r="AO69" s="45">
        <v>0</v>
      </c>
      <c r="AP69" s="45">
        <v>0</v>
      </c>
      <c r="AQ69" s="45">
        <v>391.10684658347066</v>
      </c>
      <c r="AR69" s="45">
        <v>1.4561082387283526</v>
      </c>
      <c r="AS69" s="199">
        <v>268.59737221529065</v>
      </c>
      <c r="AT69" s="45">
        <v>333.6878824688946</v>
      </c>
      <c r="AU69" s="45">
        <v>67.966951277063316</v>
      </c>
      <c r="AV69" s="45">
        <v>0</v>
      </c>
      <c r="AW69" s="45">
        <v>0</v>
      </c>
      <c r="AX69" s="45">
        <v>401.65483374595794</v>
      </c>
      <c r="AY69" s="45">
        <v>3.3648446668883225</v>
      </c>
      <c r="AZ69" s="199">
        <v>119.36801650858752</v>
      </c>
      <c r="BA69" s="45">
        <v>333.6878824688946</v>
      </c>
      <c r="BB69" s="45">
        <v>125.38591539163939</v>
      </c>
      <c r="BC69" s="45">
        <v>0</v>
      </c>
      <c r="BD69" s="45">
        <v>0</v>
      </c>
      <c r="BE69" s="45">
        <v>459.073797860534</v>
      </c>
      <c r="BF69" s="45">
        <v>4.8209529056166751</v>
      </c>
      <c r="BG69" s="45">
        <v>-12.742874577951687</v>
      </c>
      <c r="BH69" s="199">
        <v>95.224700769361959</v>
      </c>
      <c r="BI69" s="45">
        <v>0.15390047220550196</v>
      </c>
      <c r="BJ69" s="45">
        <v>0.35564058313723107</v>
      </c>
      <c r="BK69" s="45">
        <v>0</v>
      </c>
      <c r="BL69" s="45">
        <v>0.45290873825357969</v>
      </c>
      <c r="BM69" s="45">
        <v>0.96244979359631266</v>
      </c>
      <c r="BN69" s="45">
        <v>333.6878824688946</v>
      </c>
      <c r="BO69" s="45">
        <v>0</v>
      </c>
      <c r="BP69" s="45">
        <v>125.38591539163939</v>
      </c>
      <c r="BQ69" s="45">
        <v>0</v>
      </c>
      <c r="BR69" s="45">
        <v>0</v>
      </c>
      <c r="BS69" s="45">
        <v>0</v>
      </c>
      <c r="BT69" s="45">
        <v>0</v>
      </c>
      <c r="BU69" s="45">
        <v>0</v>
      </c>
      <c r="BV69" s="45">
        <v>0</v>
      </c>
      <c r="BW69" s="45">
        <v>0</v>
      </c>
      <c r="BX69" s="45">
        <v>9.1060868997638593</v>
      </c>
      <c r="BY69" s="45"/>
      <c r="BZ69" s="45">
        <v>0</v>
      </c>
      <c r="CA69" s="45">
        <v>0</v>
      </c>
      <c r="CB69" s="45">
        <v>459.073797860534</v>
      </c>
      <c r="CC69" s="45">
        <v>9.1060868997638593</v>
      </c>
      <c r="CD69" s="199">
        <v>50.41394870418366</v>
      </c>
      <c r="CE69" s="45">
        <v>-12.289965839698107</v>
      </c>
      <c r="CF69" s="45">
        <v>6.6137622220945982</v>
      </c>
      <c r="CG69" s="45">
        <v>0</v>
      </c>
      <c r="CH69" s="45">
        <v>6.6137622220945982</v>
      </c>
      <c r="CI69" s="45">
        <v>0.33068723497474706</v>
      </c>
      <c r="CJ69" s="45">
        <v>0</v>
      </c>
      <c r="CK69" s="45">
        <v>0.33068723497474706</v>
      </c>
      <c r="CL69" s="45"/>
      <c r="CM69" s="45">
        <v>0</v>
      </c>
      <c r="CN69" s="45"/>
      <c r="CO69" s="45">
        <v>0</v>
      </c>
      <c r="CP69" s="45">
        <v>0</v>
      </c>
      <c r="CQ69" s="45">
        <v>0</v>
      </c>
      <c r="CR69" s="45">
        <v>0</v>
      </c>
      <c r="CS69" s="45">
        <v>0</v>
      </c>
      <c r="CT69" s="45">
        <v>0</v>
      </c>
      <c r="CU69" s="45">
        <v>0</v>
      </c>
      <c r="CV69" s="45">
        <v>9999</v>
      </c>
      <c r="CW69" s="199">
        <v>9999</v>
      </c>
      <c r="CX69" s="24"/>
      <c r="CY69" s="24"/>
      <c r="CZ69" s="24"/>
      <c r="DA69" s="24"/>
      <c r="DB69" s="24"/>
      <c r="DC69" s="24"/>
      <c r="DD69" s="24"/>
      <c r="DE69" s="24"/>
      <c r="DF69" s="24"/>
      <c r="DG69" s="24"/>
      <c r="DH69" s="24"/>
      <c r="DI69" s="24"/>
      <c r="DJ69" s="24"/>
      <c r="DK69" s="24"/>
      <c r="DL69" s="24"/>
      <c r="DM69" s="24"/>
      <c r="DN69" s="24"/>
      <c r="DO69" s="24"/>
      <c r="DP69" s="24"/>
      <c r="DQ69" s="24"/>
      <c r="DR69" s="24"/>
      <c r="DS69" s="24"/>
      <c r="DT69" s="24"/>
      <c r="DU69" s="24"/>
      <c r="DV69" s="24"/>
      <c r="DW69" s="24"/>
      <c r="DX69" s="24"/>
      <c r="DY69" s="24"/>
      <c r="DZ69" s="24"/>
      <c r="EA69" s="24"/>
    </row>
    <row r="70" spans="1:131">
      <c r="A70" s="24" t="s">
        <v>418</v>
      </c>
      <c r="B70" s="24" t="s">
        <v>617</v>
      </c>
      <c r="C70" s="45">
        <v>16.279069767441861</v>
      </c>
      <c r="D70" s="45">
        <v>1606.9202380952379</v>
      </c>
      <c r="E70" s="45">
        <v>0</v>
      </c>
      <c r="F70" s="45">
        <v>51.863052062075326</v>
      </c>
      <c r="G70" s="45">
        <v>0</v>
      </c>
      <c r="H70" s="45">
        <v>0</v>
      </c>
      <c r="I70" s="45" t="s">
        <v>368</v>
      </c>
      <c r="J70" s="45"/>
      <c r="K70" s="45"/>
      <c r="L70" s="45">
        <v>1722.7756260529418</v>
      </c>
      <c r="M70" s="45">
        <v>0.40212124376201641</v>
      </c>
      <c r="N70" s="45">
        <v>0.39921891295323159</v>
      </c>
      <c r="O70" s="45">
        <v>0</v>
      </c>
      <c r="P70" s="45">
        <v>0</v>
      </c>
      <c r="Q70" s="45">
        <v>0</v>
      </c>
      <c r="R70" s="45">
        <v>10.34218539387145</v>
      </c>
      <c r="S70" s="45">
        <v>23.899217407718282</v>
      </c>
      <c r="T70" s="45">
        <v>0</v>
      </c>
      <c r="U70" s="45">
        <v>30.435683987170137</v>
      </c>
      <c r="V70" s="45" t="s">
        <v>607</v>
      </c>
      <c r="W70" s="45" t="s">
        <v>607</v>
      </c>
      <c r="X70" s="45" t="s">
        <v>607</v>
      </c>
      <c r="Y70" s="45" t="s">
        <v>607</v>
      </c>
      <c r="Z70" s="45">
        <v>0</v>
      </c>
      <c r="AA70" s="45">
        <v>0</v>
      </c>
      <c r="AB70" s="45">
        <v>0</v>
      </c>
      <c r="AC70" s="45">
        <v>0</v>
      </c>
      <c r="AD70" s="45">
        <v>0</v>
      </c>
      <c r="AE70" s="45">
        <v>0</v>
      </c>
      <c r="AF70" s="45">
        <v>0</v>
      </c>
      <c r="AG70" s="45">
        <v>0</v>
      </c>
      <c r="AH70" s="45">
        <v>10.34218539387145</v>
      </c>
      <c r="AI70" s="45">
        <v>23.899217407718282</v>
      </c>
      <c r="AJ70" s="45">
        <v>0</v>
      </c>
      <c r="AK70" s="45">
        <v>30.435683987170137</v>
      </c>
      <c r="AL70" s="45">
        <v>64.677086788759865</v>
      </c>
      <c r="AM70" s="45">
        <v>825.74382276504309</v>
      </c>
      <c r="AN70" s="45">
        <v>142.08893225722269</v>
      </c>
      <c r="AO70" s="45">
        <v>0</v>
      </c>
      <c r="AP70" s="45">
        <v>0</v>
      </c>
      <c r="AQ70" s="45">
        <v>967.83275502226581</v>
      </c>
      <c r="AR70" s="45">
        <v>10.34218539387145</v>
      </c>
      <c r="AS70" s="199">
        <v>93.581068039621698</v>
      </c>
      <c r="AT70" s="45">
        <v>825.74382276504309</v>
      </c>
      <c r="AU70" s="45">
        <v>168.19097461364754</v>
      </c>
      <c r="AV70" s="45">
        <v>0</v>
      </c>
      <c r="AW70" s="45">
        <v>0</v>
      </c>
      <c r="AX70" s="45">
        <v>993.93479737869063</v>
      </c>
      <c r="AY70" s="45">
        <v>23.899217407718282</v>
      </c>
      <c r="AZ70" s="199">
        <v>41.588591811282413</v>
      </c>
      <c r="BA70" s="45">
        <v>825.74382276504309</v>
      </c>
      <c r="BB70" s="45">
        <v>310.27990687087026</v>
      </c>
      <c r="BC70" s="45">
        <v>0</v>
      </c>
      <c r="BD70" s="45">
        <v>0</v>
      </c>
      <c r="BE70" s="45">
        <v>1136.0237296359132</v>
      </c>
      <c r="BF70" s="45">
        <v>34.241402801589729</v>
      </c>
      <c r="BG70" s="45">
        <v>-11.78992550181913</v>
      </c>
      <c r="BH70" s="199">
        <v>33.17690388500003</v>
      </c>
      <c r="BI70" s="45">
        <v>0.44172676464419353</v>
      </c>
      <c r="BJ70" s="45">
        <v>1.020763366831094</v>
      </c>
      <c r="BK70" s="45">
        <v>0</v>
      </c>
      <c r="BL70" s="45">
        <v>1.2999434554086142</v>
      </c>
      <c r="BM70" s="45">
        <v>2.7624335868839016</v>
      </c>
      <c r="BN70" s="45">
        <v>825.74382276504309</v>
      </c>
      <c r="BO70" s="45">
        <v>0</v>
      </c>
      <c r="BP70" s="45">
        <v>310.27990687087026</v>
      </c>
      <c r="BQ70" s="45">
        <v>0</v>
      </c>
      <c r="BR70" s="45">
        <v>0</v>
      </c>
      <c r="BS70" s="45">
        <v>0</v>
      </c>
      <c r="BT70" s="45">
        <v>0</v>
      </c>
      <c r="BU70" s="45">
        <v>0</v>
      </c>
      <c r="BV70" s="45">
        <v>0</v>
      </c>
      <c r="BW70" s="45">
        <v>0</v>
      </c>
      <c r="BX70" s="45">
        <v>64.677086788759865</v>
      </c>
      <c r="BY70" s="45"/>
      <c r="BZ70" s="45">
        <v>0</v>
      </c>
      <c r="CA70" s="45">
        <v>0</v>
      </c>
      <c r="CB70" s="45">
        <v>1136.0237296359132</v>
      </c>
      <c r="CC70" s="45">
        <v>64.677086788759865</v>
      </c>
      <c r="CD70" s="199">
        <v>17.564546983172736</v>
      </c>
      <c r="CE70" s="45">
        <v>-10.48998204641051</v>
      </c>
      <c r="CF70" s="45">
        <v>16.366411808916986</v>
      </c>
      <c r="CG70" s="45">
        <v>0</v>
      </c>
      <c r="CH70" s="45">
        <v>16.366411808916986</v>
      </c>
      <c r="CI70" s="45">
        <v>0.81831842237514751</v>
      </c>
      <c r="CJ70" s="45">
        <v>0</v>
      </c>
      <c r="CK70" s="45">
        <v>0.81831842237514751</v>
      </c>
      <c r="CL70" s="45"/>
      <c r="CM70" s="45">
        <v>0</v>
      </c>
      <c r="CN70" s="45"/>
      <c r="CO70" s="45">
        <v>0</v>
      </c>
      <c r="CP70" s="45">
        <v>0</v>
      </c>
      <c r="CQ70" s="45">
        <v>0</v>
      </c>
      <c r="CR70" s="45">
        <v>0</v>
      </c>
      <c r="CS70" s="45">
        <v>0</v>
      </c>
      <c r="CT70" s="45">
        <v>0</v>
      </c>
      <c r="CU70" s="45">
        <v>0</v>
      </c>
      <c r="CV70" s="45">
        <v>9999</v>
      </c>
      <c r="CW70" s="199">
        <v>9999</v>
      </c>
      <c r="CX70" s="24"/>
      <c r="CY70" s="24"/>
      <c r="CZ70" s="24"/>
      <c r="DA70" s="24"/>
      <c r="DB70" s="24"/>
      <c r="DC70" s="24"/>
      <c r="DD70" s="24"/>
      <c r="DE70" s="24"/>
      <c r="DF70" s="24"/>
      <c r="DG70" s="24"/>
      <c r="DH70" s="24"/>
      <c r="DI70" s="24"/>
      <c r="DJ70" s="24"/>
      <c r="DK70" s="24"/>
      <c r="DL70" s="24"/>
      <c r="DM70" s="24"/>
      <c r="DN70" s="24"/>
      <c r="DO70" s="24"/>
      <c r="DP70" s="24"/>
      <c r="DQ70" s="24"/>
      <c r="DR70" s="24"/>
      <c r="DS70" s="24"/>
      <c r="DT70" s="24"/>
      <c r="DU70" s="24"/>
      <c r="DV70" s="24"/>
      <c r="DW70" s="24"/>
      <c r="DX70" s="24"/>
      <c r="DY70" s="24"/>
      <c r="DZ70" s="24"/>
      <c r="EA70" s="24"/>
    </row>
    <row r="71" spans="1:131">
      <c r="A71" s="24" t="s">
        <v>430</v>
      </c>
      <c r="B71" s="24" t="s">
        <v>618</v>
      </c>
      <c r="C71" s="45">
        <v>16.279069767441861</v>
      </c>
      <c r="D71" s="45">
        <v>649.36581632653053</v>
      </c>
      <c r="E71" s="45">
        <v>0</v>
      </c>
      <c r="F71" s="45">
        <v>186.95819668884204</v>
      </c>
      <c r="G71" s="45">
        <v>0</v>
      </c>
      <c r="H71" s="45">
        <v>0</v>
      </c>
      <c r="I71" s="45" t="s">
        <v>368</v>
      </c>
      <c r="J71" s="45"/>
      <c r="K71" s="45"/>
      <c r="L71" s="45">
        <v>696.18365257841458</v>
      </c>
      <c r="M71" s="45">
        <v>0.16249953390797076</v>
      </c>
      <c r="N71" s="45">
        <v>0.16132668514409546</v>
      </c>
      <c r="O71" s="45">
        <v>0</v>
      </c>
      <c r="P71" s="45">
        <v>0</v>
      </c>
      <c r="Q71" s="45">
        <v>0</v>
      </c>
      <c r="R71" s="45">
        <v>37.281961901231682</v>
      </c>
      <c r="S71" s="45">
        <v>86.152943399351443</v>
      </c>
      <c r="T71" s="45">
        <v>0</v>
      </c>
      <c r="U71" s="45">
        <v>109.71588379376797</v>
      </c>
      <c r="V71" s="45" t="s">
        <v>607</v>
      </c>
      <c r="W71" s="45" t="s">
        <v>607</v>
      </c>
      <c r="X71" s="45" t="s">
        <v>607</v>
      </c>
      <c r="Y71" s="45" t="s">
        <v>607</v>
      </c>
      <c r="Z71" s="45">
        <v>0</v>
      </c>
      <c r="AA71" s="45">
        <v>0</v>
      </c>
      <c r="AB71" s="45">
        <v>0</v>
      </c>
      <c r="AC71" s="45">
        <v>0</v>
      </c>
      <c r="AD71" s="45">
        <v>0</v>
      </c>
      <c r="AE71" s="45">
        <v>0</v>
      </c>
      <c r="AF71" s="45">
        <v>0</v>
      </c>
      <c r="AG71" s="45">
        <v>0</v>
      </c>
      <c r="AH71" s="45">
        <v>37.281961901231682</v>
      </c>
      <c r="AI71" s="45">
        <v>86.152943399351443</v>
      </c>
      <c r="AJ71" s="45">
        <v>0</v>
      </c>
      <c r="AK71" s="45">
        <v>109.71588379376797</v>
      </c>
      <c r="AL71" s="45">
        <v>233.1507890943511</v>
      </c>
      <c r="AM71" s="45">
        <v>333.6878824688946</v>
      </c>
      <c r="AN71" s="45">
        <v>57.41896411457607</v>
      </c>
      <c r="AO71" s="45">
        <v>0</v>
      </c>
      <c r="AP71" s="45">
        <v>0</v>
      </c>
      <c r="AQ71" s="45">
        <v>391.10684658347066</v>
      </c>
      <c r="AR71" s="45">
        <v>37.281961901231682</v>
      </c>
      <c r="AS71" s="199">
        <v>10.490511406550997</v>
      </c>
      <c r="AT71" s="45">
        <v>333.6878824688946</v>
      </c>
      <c r="AU71" s="45">
        <v>67.966951277063316</v>
      </c>
      <c r="AV71" s="45">
        <v>0</v>
      </c>
      <c r="AW71" s="45">
        <v>0</v>
      </c>
      <c r="AX71" s="45">
        <v>401.65483374595794</v>
      </c>
      <c r="AY71" s="45">
        <v>86.152943399351443</v>
      </c>
      <c r="AZ71" s="199">
        <v>4.6621138860472362</v>
      </c>
      <c r="BA71" s="45">
        <v>333.6878824688946</v>
      </c>
      <c r="BB71" s="45">
        <v>125.38591539163939</v>
      </c>
      <c r="BC71" s="45">
        <v>0</v>
      </c>
      <c r="BD71" s="45">
        <v>0</v>
      </c>
      <c r="BE71" s="45">
        <v>459.073797860534</v>
      </c>
      <c r="BF71" s="45">
        <v>123.43490530058313</v>
      </c>
      <c r="BG71" s="45">
        <v>-0.20620814188475731</v>
      </c>
      <c r="BH71" s="199">
        <v>3.7191570467253015</v>
      </c>
      <c r="BI71" s="45">
        <v>3.9404430170369369</v>
      </c>
      <c r="BJ71" s="45">
        <v>9.1057644743727231</v>
      </c>
      <c r="BK71" s="45">
        <v>0</v>
      </c>
      <c r="BL71" s="45">
        <v>11.596202723948018</v>
      </c>
      <c r="BM71" s="45">
        <v>24.642410215357675</v>
      </c>
      <c r="BN71" s="45">
        <v>333.6878824688946</v>
      </c>
      <c r="BO71" s="45">
        <v>0</v>
      </c>
      <c r="BP71" s="45">
        <v>125.38591539163939</v>
      </c>
      <c r="BQ71" s="45">
        <v>0</v>
      </c>
      <c r="BR71" s="45">
        <v>0</v>
      </c>
      <c r="BS71" s="45">
        <v>0</v>
      </c>
      <c r="BT71" s="45">
        <v>0</v>
      </c>
      <c r="BU71" s="45">
        <v>0</v>
      </c>
      <c r="BV71" s="45">
        <v>0</v>
      </c>
      <c r="BW71" s="45">
        <v>0</v>
      </c>
      <c r="BX71" s="45">
        <v>233.1507890943511</v>
      </c>
      <c r="BY71" s="45"/>
      <c r="BZ71" s="45">
        <v>0</v>
      </c>
      <c r="CA71" s="45">
        <v>0</v>
      </c>
      <c r="CB71" s="45">
        <v>459.073797860534</v>
      </c>
      <c r="CC71" s="45">
        <v>233.1507890943511</v>
      </c>
      <c r="CD71" s="199">
        <v>1.9689995459322969</v>
      </c>
      <c r="CE71" s="45">
        <v>11.38999458206326</v>
      </c>
      <c r="CF71" s="45">
        <v>6.6137622220945982</v>
      </c>
      <c r="CG71" s="45">
        <v>0</v>
      </c>
      <c r="CH71" s="45">
        <v>6.6137622220945982</v>
      </c>
      <c r="CI71" s="45">
        <v>0.33068723497474706</v>
      </c>
      <c r="CJ71" s="45">
        <v>0</v>
      </c>
      <c r="CK71" s="45">
        <v>0.33068723497474706</v>
      </c>
      <c r="CL71" s="45"/>
      <c r="CM71" s="45">
        <v>0</v>
      </c>
      <c r="CN71" s="45"/>
      <c r="CO71" s="45">
        <v>0</v>
      </c>
      <c r="CP71" s="45">
        <v>0</v>
      </c>
      <c r="CQ71" s="45">
        <v>0</v>
      </c>
      <c r="CR71" s="45">
        <v>0</v>
      </c>
      <c r="CS71" s="45">
        <v>0</v>
      </c>
      <c r="CT71" s="45">
        <v>0</v>
      </c>
      <c r="CU71" s="45">
        <v>0</v>
      </c>
      <c r="CV71" s="45">
        <v>9999</v>
      </c>
      <c r="CW71" s="199">
        <v>9999</v>
      </c>
      <c r="CX71" s="24"/>
      <c r="CY71" s="24"/>
      <c r="CZ71" s="24"/>
      <c r="DA71" s="24"/>
      <c r="DB71" s="24"/>
      <c r="DC71" s="24"/>
      <c r="DD71" s="24"/>
      <c r="DE71" s="24"/>
      <c r="DF71" s="24"/>
      <c r="DG71" s="24"/>
      <c r="DH71" s="24"/>
      <c r="DI71" s="24"/>
      <c r="DJ71" s="24"/>
      <c r="DK71" s="24"/>
      <c r="DL71" s="24"/>
      <c r="DM71" s="24"/>
      <c r="DN71" s="24"/>
      <c r="DO71" s="24"/>
      <c r="DP71" s="24"/>
      <c r="DQ71" s="24"/>
      <c r="DR71" s="24"/>
      <c r="DS71" s="24"/>
      <c r="DT71" s="24"/>
      <c r="DU71" s="24"/>
      <c r="DV71" s="24"/>
      <c r="DW71" s="24"/>
      <c r="DX71" s="24"/>
      <c r="DY71" s="24"/>
      <c r="DZ71" s="24"/>
      <c r="EA71" s="24"/>
    </row>
    <row r="72" spans="1:131">
      <c r="A72" s="24" t="s">
        <v>425</v>
      </c>
      <c r="B72" s="24" t="s">
        <v>619</v>
      </c>
      <c r="C72" s="45">
        <v>16.279069767441861</v>
      </c>
      <c r="D72" s="45">
        <v>1606.9202380952379</v>
      </c>
      <c r="E72" s="45">
        <v>0</v>
      </c>
      <c r="F72" s="45">
        <v>332.28218672874203</v>
      </c>
      <c r="G72" s="45">
        <v>0</v>
      </c>
      <c r="H72" s="45">
        <v>0</v>
      </c>
      <c r="I72" s="45" t="s">
        <v>368</v>
      </c>
      <c r="J72" s="45"/>
      <c r="K72" s="45"/>
      <c r="L72" s="45">
        <v>1722.7756260529418</v>
      </c>
      <c r="M72" s="45">
        <v>0.40212124376201641</v>
      </c>
      <c r="N72" s="45">
        <v>0.39921891295323159</v>
      </c>
      <c r="O72" s="45">
        <v>0</v>
      </c>
      <c r="P72" s="45">
        <v>0</v>
      </c>
      <c r="Q72" s="45">
        <v>0</v>
      </c>
      <c r="R72" s="45">
        <v>66.261506826024373</v>
      </c>
      <c r="S72" s="45">
        <v>153.120263956646</v>
      </c>
      <c r="T72" s="45">
        <v>0</v>
      </c>
      <c r="U72" s="45">
        <v>194.99885231854915</v>
      </c>
      <c r="V72" s="45" t="s">
        <v>607</v>
      </c>
      <c r="W72" s="45" t="s">
        <v>607</v>
      </c>
      <c r="X72" s="45" t="s">
        <v>607</v>
      </c>
      <c r="Y72" s="45" t="s">
        <v>607</v>
      </c>
      <c r="Z72" s="45">
        <v>0</v>
      </c>
      <c r="AA72" s="45">
        <v>0</v>
      </c>
      <c r="AB72" s="45">
        <v>0</v>
      </c>
      <c r="AC72" s="45">
        <v>0</v>
      </c>
      <c r="AD72" s="45">
        <v>0</v>
      </c>
      <c r="AE72" s="45">
        <v>0</v>
      </c>
      <c r="AF72" s="45">
        <v>0</v>
      </c>
      <c r="AG72" s="45">
        <v>0</v>
      </c>
      <c r="AH72" s="45">
        <v>66.261506826024373</v>
      </c>
      <c r="AI72" s="45">
        <v>153.120263956646</v>
      </c>
      <c r="AJ72" s="45">
        <v>0</v>
      </c>
      <c r="AK72" s="45">
        <v>194.99885231854915</v>
      </c>
      <c r="AL72" s="45">
        <v>414.3806231012195</v>
      </c>
      <c r="AM72" s="45">
        <v>825.74382276504309</v>
      </c>
      <c r="AN72" s="45">
        <v>142.08893225722269</v>
      </c>
      <c r="AO72" s="45">
        <v>0</v>
      </c>
      <c r="AP72" s="45">
        <v>0</v>
      </c>
      <c r="AQ72" s="45">
        <v>967.83275502226581</v>
      </c>
      <c r="AR72" s="45">
        <v>66.261506826024373</v>
      </c>
      <c r="AS72" s="199">
        <v>14.606259371121743</v>
      </c>
      <c r="AT72" s="45">
        <v>825.74382276504309</v>
      </c>
      <c r="AU72" s="45">
        <v>168.19097461364754</v>
      </c>
      <c r="AV72" s="45">
        <v>0</v>
      </c>
      <c r="AW72" s="45">
        <v>0</v>
      </c>
      <c r="AX72" s="45">
        <v>993.93479737869063</v>
      </c>
      <c r="AY72" s="45">
        <v>153.120263956646</v>
      </c>
      <c r="AZ72" s="199">
        <v>6.4912035265306898</v>
      </c>
      <c r="BA72" s="45">
        <v>825.74382276504309</v>
      </c>
      <c r="BB72" s="45">
        <v>310.27990687087026</v>
      </c>
      <c r="BC72" s="45">
        <v>0</v>
      </c>
      <c r="BD72" s="45">
        <v>0</v>
      </c>
      <c r="BE72" s="45">
        <v>1136.0237296359132</v>
      </c>
      <c r="BF72" s="45">
        <v>219.38177078267037</v>
      </c>
      <c r="BG72" s="45">
        <v>-3.8823650937664831</v>
      </c>
      <c r="BH72" s="199">
        <v>5.178295924875683</v>
      </c>
      <c r="BI72" s="45">
        <v>2.8301060091277552</v>
      </c>
      <c r="BJ72" s="45">
        <v>6.5399445304001738</v>
      </c>
      <c r="BK72" s="45">
        <v>0</v>
      </c>
      <c r="BL72" s="45">
        <v>8.3286277381032079</v>
      </c>
      <c r="BM72" s="45">
        <v>17.698678277631135</v>
      </c>
      <c r="BN72" s="45">
        <v>825.74382276504309</v>
      </c>
      <c r="BO72" s="45">
        <v>0</v>
      </c>
      <c r="BP72" s="45">
        <v>310.27990687087026</v>
      </c>
      <c r="BQ72" s="45">
        <v>0</v>
      </c>
      <c r="BR72" s="45">
        <v>0</v>
      </c>
      <c r="BS72" s="45">
        <v>0</v>
      </c>
      <c r="BT72" s="45">
        <v>0</v>
      </c>
      <c r="BU72" s="45">
        <v>0</v>
      </c>
      <c r="BV72" s="45">
        <v>0</v>
      </c>
      <c r="BW72" s="45">
        <v>0</v>
      </c>
      <c r="BX72" s="45">
        <v>414.3806231012195</v>
      </c>
      <c r="BY72" s="45"/>
      <c r="BZ72" s="45">
        <v>0</v>
      </c>
      <c r="CA72" s="45">
        <v>0</v>
      </c>
      <c r="CB72" s="45">
        <v>1136.0237296359132</v>
      </c>
      <c r="CC72" s="45">
        <v>414.3806231012195</v>
      </c>
      <c r="CD72" s="199">
        <v>2.7414981934578058</v>
      </c>
      <c r="CE72" s="45">
        <v>4.4462626443367226</v>
      </c>
      <c r="CF72" s="45">
        <v>16.366411808916986</v>
      </c>
      <c r="CG72" s="45">
        <v>0</v>
      </c>
      <c r="CH72" s="45">
        <v>16.366411808916986</v>
      </c>
      <c r="CI72" s="45">
        <v>0.81831842237514751</v>
      </c>
      <c r="CJ72" s="45">
        <v>0</v>
      </c>
      <c r="CK72" s="45">
        <v>0.81831842237514751</v>
      </c>
      <c r="CL72" s="45"/>
      <c r="CM72" s="45">
        <v>0</v>
      </c>
      <c r="CN72" s="45"/>
      <c r="CO72" s="45">
        <v>0</v>
      </c>
      <c r="CP72" s="45">
        <v>0</v>
      </c>
      <c r="CQ72" s="45">
        <v>0</v>
      </c>
      <c r="CR72" s="45">
        <v>0</v>
      </c>
      <c r="CS72" s="45">
        <v>0</v>
      </c>
      <c r="CT72" s="45">
        <v>0</v>
      </c>
      <c r="CU72" s="45">
        <v>0</v>
      </c>
      <c r="CV72" s="45">
        <v>9999</v>
      </c>
      <c r="CW72" s="199">
        <v>9999</v>
      </c>
      <c r="CX72" s="24"/>
      <c r="CY72" s="24"/>
      <c r="CZ72" s="24"/>
      <c r="DA72" s="24"/>
      <c r="DB72" s="24"/>
      <c r="DC72" s="24"/>
      <c r="DD72" s="24"/>
      <c r="DE72" s="24"/>
      <c r="DF72" s="24"/>
      <c r="DG72" s="24"/>
      <c r="DH72" s="24"/>
      <c r="DI72" s="24"/>
      <c r="DJ72" s="24"/>
      <c r="DK72" s="24"/>
      <c r="DL72" s="24"/>
      <c r="DM72" s="24"/>
      <c r="DN72" s="24"/>
      <c r="DO72" s="24"/>
      <c r="DP72" s="24"/>
      <c r="DQ72" s="24"/>
      <c r="DR72" s="24"/>
      <c r="DS72" s="24"/>
      <c r="DT72" s="24"/>
      <c r="DU72" s="24"/>
      <c r="DV72" s="24"/>
      <c r="DW72" s="24"/>
      <c r="DX72" s="24"/>
      <c r="DY72" s="24"/>
      <c r="DZ72" s="24"/>
      <c r="EA72" s="24"/>
    </row>
    <row r="73" spans="1:131">
      <c r="A73" s="24" t="s">
        <v>435</v>
      </c>
      <c r="B73" s="24" t="s">
        <v>620</v>
      </c>
      <c r="C73" s="45">
        <v>16.279069767441861</v>
      </c>
      <c r="D73" s="45">
        <v>649.36581632653053</v>
      </c>
      <c r="E73" s="45">
        <v>0</v>
      </c>
      <c r="F73" s="45">
        <v>228.79070335550873</v>
      </c>
      <c r="G73" s="45">
        <v>0</v>
      </c>
      <c r="H73" s="45">
        <v>0</v>
      </c>
      <c r="I73" s="45" t="s">
        <v>368</v>
      </c>
      <c r="J73" s="45"/>
      <c r="K73" s="45"/>
      <c r="L73" s="45">
        <v>696.18365257841458</v>
      </c>
      <c r="M73" s="45">
        <v>0.16249953390797076</v>
      </c>
      <c r="N73" s="45">
        <v>0.16132668514409546</v>
      </c>
      <c r="O73" s="45">
        <v>0</v>
      </c>
      <c r="P73" s="45">
        <v>0</v>
      </c>
      <c r="Q73" s="45">
        <v>0</v>
      </c>
      <c r="R73" s="45">
        <v>45.623922550196198</v>
      </c>
      <c r="S73" s="45">
        <v>105.4299456540561</v>
      </c>
      <c r="T73" s="45">
        <v>0</v>
      </c>
      <c r="U73" s="45">
        <v>134.26517086183236</v>
      </c>
      <c r="V73" s="45" t="s">
        <v>607</v>
      </c>
      <c r="W73" s="45" t="s">
        <v>607</v>
      </c>
      <c r="X73" s="45" t="s">
        <v>607</v>
      </c>
      <c r="Y73" s="45" t="s">
        <v>607</v>
      </c>
      <c r="Z73" s="45">
        <v>0</v>
      </c>
      <c r="AA73" s="45">
        <v>0</v>
      </c>
      <c r="AB73" s="45">
        <v>0</v>
      </c>
      <c r="AC73" s="45">
        <v>0</v>
      </c>
      <c r="AD73" s="45">
        <v>0</v>
      </c>
      <c r="AE73" s="45">
        <v>0</v>
      </c>
      <c r="AF73" s="45">
        <v>0</v>
      </c>
      <c r="AG73" s="45">
        <v>0</v>
      </c>
      <c r="AH73" s="45">
        <v>45.623922550196198</v>
      </c>
      <c r="AI73" s="45">
        <v>105.4299456540561</v>
      </c>
      <c r="AJ73" s="45">
        <v>0</v>
      </c>
      <c r="AK73" s="45">
        <v>134.26517086183236</v>
      </c>
      <c r="AL73" s="45">
        <v>285.31903906608466</v>
      </c>
      <c r="AM73" s="45">
        <v>333.6878824688946</v>
      </c>
      <c r="AN73" s="45">
        <v>57.41896411457607</v>
      </c>
      <c r="AO73" s="45">
        <v>0</v>
      </c>
      <c r="AP73" s="45">
        <v>0</v>
      </c>
      <c r="AQ73" s="45">
        <v>391.10684658347066</v>
      </c>
      <c r="AR73" s="45">
        <v>45.623922550196198</v>
      </c>
      <c r="AS73" s="199">
        <v>8.5724072969212237</v>
      </c>
      <c r="AT73" s="45">
        <v>333.6878824688946</v>
      </c>
      <c r="AU73" s="45">
        <v>67.966951277063316</v>
      </c>
      <c r="AV73" s="45">
        <v>0</v>
      </c>
      <c r="AW73" s="45">
        <v>0</v>
      </c>
      <c r="AX73" s="45">
        <v>401.65483374595794</v>
      </c>
      <c r="AY73" s="45">
        <v>105.4299456540561</v>
      </c>
      <c r="AZ73" s="199">
        <v>3.80968453748326</v>
      </c>
      <c r="BA73" s="45">
        <v>333.6878824688946</v>
      </c>
      <c r="BB73" s="45">
        <v>125.38591539163939</v>
      </c>
      <c r="BC73" s="45">
        <v>0</v>
      </c>
      <c r="BD73" s="45">
        <v>0</v>
      </c>
      <c r="BE73" s="45">
        <v>459.073797860534</v>
      </c>
      <c r="BF73" s="45">
        <v>151.0538682042523</v>
      </c>
      <c r="BG73" s="45">
        <v>2.7129233619744841</v>
      </c>
      <c r="BH73" s="199">
        <v>3.0391396348737176</v>
      </c>
      <c r="BI73" s="45">
        <v>4.8221300021449593</v>
      </c>
      <c r="BJ73" s="45">
        <v>11.143208993123942</v>
      </c>
      <c r="BK73" s="45">
        <v>0</v>
      </c>
      <c r="BL73" s="45">
        <v>14.190890928846205</v>
      </c>
      <c r="BM73" s="45">
        <v>30.156229924115109</v>
      </c>
      <c r="BN73" s="45">
        <v>333.6878824688946</v>
      </c>
      <c r="BO73" s="45">
        <v>0</v>
      </c>
      <c r="BP73" s="45">
        <v>125.38591539163939</v>
      </c>
      <c r="BQ73" s="45">
        <v>0</v>
      </c>
      <c r="BR73" s="45">
        <v>0</v>
      </c>
      <c r="BS73" s="45">
        <v>0</v>
      </c>
      <c r="BT73" s="45">
        <v>0</v>
      </c>
      <c r="BU73" s="45">
        <v>0</v>
      </c>
      <c r="BV73" s="45">
        <v>0</v>
      </c>
      <c r="BW73" s="45">
        <v>0</v>
      </c>
      <c r="BX73" s="45">
        <v>285.31903906608466</v>
      </c>
      <c r="BY73" s="45"/>
      <c r="BZ73" s="45">
        <v>0</v>
      </c>
      <c r="CA73" s="45">
        <v>0</v>
      </c>
      <c r="CB73" s="45">
        <v>459.073797860534</v>
      </c>
      <c r="CC73" s="45">
        <v>285.31903906608466</v>
      </c>
      <c r="CD73" s="199">
        <v>1.6089841020185296</v>
      </c>
      <c r="CE73" s="45">
        <v>16.903814290820691</v>
      </c>
      <c r="CF73" s="45">
        <v>6.6137622220945982</v>
      </c>
      <c r="CG73" s="45">
        <v>0</v>
      </c>
      <c r="CH73" s="45">
        <v>6.6137622220945982</v>
      </c>
      <c r="CI73" s="45">
        <v>0.33068723497474706</v>
      </c>
      <c r="CJ73" s="45">
        <v>0</v>
      </c>
      <c r="CK73" s="45">
        <v>0.33068723497474706</v>
      </c>
      <c r="CL73" s="45"/>
      <c r="CM73" s="45">
        <v>0</v>
      </c>
      <c r="CN73" s="45"/>
      <c r="CO73" s="45">
        <v>0</v>
      </c>
      <c r="CP73" s="45">
        <v>0</v>
      </c>
      <c r="CQ73" s="45">
        <v>0</v>
      </c>
      <c r="CR73" s="45">
        <v>0</v>
      </c>
      <c r="CS73" s="45">
        <v>0</v>
      </c>
      <c r="CT73" s="45">
        <v>0</v>
      </c>
      <c r="CU73" s="45">
        <v>0</v>
      </c>
      <c r="CV73" s="45">
        <v>9999</v>
      </c>
      <c r="CW73" s="199">
        <v>9999</v>
      </c>
      <c r="CX73" s="24"/>
      <c r="CY73" s="24"/>
      <c r="CZ73" s="24"/>
      <c r="DA73" s="24"/>
      <c r="DB73" s="24"/>
      <c r="DC73" s="24"/>
      <c r="DD73" s="24"/>
      <c r="DE73" s="24"/>
      <c r="DF73" s="24"/>
      <c r="DG73" s="24"/>
      <c r="DH73" s="24"/>
      <c r="DI73" s="24"/>
      <c r="DJ73" s="24"/>
      <c r="DK73" s="24"/>
      <c r="DL73" s="24"/>
      <c r="DM73" s="24"/>
      <c r="DN73" s="24"/>
      <c r="DO73" s="24"/>
      <c r="DP73" s="24"/>
      <c r="DQ73" s="24"/>
      <c r="DR73" s="24"/>
      <c r="DS73" s="24"/>
      <c r="DT73" s="24"/>
      <c r="DU73" s="24"/>
      <c r="DV73" s="24"/>
      <c r="DW73" s="24"/>
      <c r="DX73" s="24"/>
      <c r="DY73" s="24"/>
      <c r="DZ73" s="24"/>
      <c r="EA73" s="24"/>
    </row>
    <row r="74" spans="1:131">
      <c r="A74" s="24" t="s">
        <v>426</v>
      </c>
      <c r="B74" s="24" t="s">
        <v>621</v>
      </c>
      <c r="C74" s="45">
        <v>16.279069767441861</v>
      </c>
      <c r="D74" s="45">
        <v>1606.9202380952379</v>
      </c>
      <c r="E74" s="45">
        <v>0</v>
      </c>
      <c r="F74" s="45">
        <v>371.54658006207535</v>
      </c>
      <c r="G74" s="45">
        <v>0</v>
      </c>
      <c r="H74" s="45">
        <v>0</v>
      </c>
      <c r="I74" s="45" t="s">
        <v>368</v>
      </c>
      <c r="J74" s="45"/>
      <c r="K74" s="45"/>
      <c r="L74" s="45">
        <v>1722.7756260529418</v>
      </c>
      <c r="M74" s="45">
        <v>0.40212124376201641</v>
      </c>
      <c r="N74" s="45">
        <v>0.39921891295323159</v>
      </c>
      <c r="O74" s="45">
        <v>0</v>
      </c>
      <c r="P74" s="45">
        <v>0</v>
      </c>
      <c r="Q74" s="45">
        <v>0</v>
      </c>
      <c r="R74" s="45">
        <v>74.091351370174664</v>
      </c>
      <c r="S74" s="45">
        <v>171.21384378554487</v>
      </c>
      <c r="T74" s="45">
        <v>0</v>
      </c>
      <c r="U74" s="45">
        <v>218.04104941121025</v>
      </c>
      <c r="V74" s="45" t="s">
        <v>607</v>
      </c>
      <c r="W74" s="45" t="s">
        <v>607</v>
      </c>
      <c r="X74" s="45" t="s">
        <v>607</v>
      </c>
      <c r="Y74" s="45" t="s">
        <v>607</v>
      </c>
      <c r="Z74" s="45">
        <v>0</v>
      </c>
      <c r="AA74" s="45">
        <v>0</v>
      </c>
      <c r="AB74" s="45">
        <v>0</v>
      </c>
      <c r="AC74" s="45">
        <v>0</v>
      </c>
      <c r="AD74" s="45">
        <v>0</v>
      </c>
      <c r="AE74" s="45">
        <v>0</v>
      </c>
      <c r="AF74" s="45">
        <v>0</v>
      </c>
      <c r="AG74" s="45">
        <v>0</v>
      </c>
      <c r="AH74" s="45">
        <v>74.091351370174664</v>
      </c>
      <c r="AI74" s="45">
        <v>171.21384378554487</v>
      </c>
      <c r="AJ74" s="45">
        <v>0</v>
      </c>
      <c r="AK74" s="45">
        <v>218.04104941121025</v>
      </c>
      <c r="AL74" s="45">
        <v>463.34624456692978</v>
      </c>
      <c r="AM74" s="45">
        <v>825.74382276504309</v>
      </c>
      <c r="AN74" s="45">
        <v>142.08893225722269</v>
      </c>
      <c r="AO74" s="45">
        <v>0</v>
      </c>
      <c r="AP74" s="45">
        <v>0</v>
      </c>
      <c r="AQ74" s="45">
        <v>967.83275502226581</v>
      </c>
      <c r="AR74" s="45">
        <v>74.091351370174664</v>
      </c>
      <c r="AS74" s="199">
        <v>13.062695404039628</v>
      </c>
      <c r="AT74" s="45">
        <v>825.74382276504309</v>
      </c>
      <c r="AU74" s="45">
        <v>168.19097461364754</v>
      </c>
      <c r="AV74" s="45">
        <v>0</v>
      </c>
      <c r="AW74" s="45">
        <v>0</v>
      </c>
      <c r="AX74" s="45">
        <v>993.93479737869063</v>
      </c>
      <c r="AY74" s="45">
        <v>171.21384378554487</v>
      </c>
      <c r="AZ74" s="199">
        <v>5.8052244807005842</v>
      </c>
      <c r="BA74" s="45">
        <v>825.74382276504309</v>
      </c>
      <c r="BB74" s="45">
        <v>310.27990687087026</v>
      </c>
      <c r="BC74" s="45">
        <v>0</v>
      </c>
      <c r="BD74" s="45">
        <v>0</v>
      </c>
      <c r="BE74" s="45">
        <v>1136.0237296359132</v>
      </c>
      <c r="BF74" s="45">
        <v>245.30519515571953</v>
      </c>
      <c r="BG74" s="45">
        <v>-2.7751454935849718</v>
      </c>
      <c r="BH74" s="199">
        <v>4.6310626601885314</v>
      </c>
      <c r="BI74" s="45">
        <v>3.164527774589823</v>
      </c>
      <c r="BJ74" s="45">
        <v>7.3127423651196191</v>
      </c>
      <c r="BK74" s="45">
        <v>0</v>
      </c>
      <c r="BL74" s="45">
        <v>9.312786770687028</v>
      </c>
      <c r="BM74" s="45">
        <v>19.790056910396469</v>
      </c>
      <c r="BN74" s="45">
        <v>825.74382276504309</v>
      </c>
      <c r="BO74" s="45">
        <v>0</v>
      </c>
      <c r="BP74" s="45">
        <v>310.27990687087026</v>
      </c>
      <c r="BQ74" s="45">
        <v>0</v>
      </c>
      <c r="BR74" s="45">
        <v>0</v>
      </c>
      <c r="BS74" s="45">
        <v>0</v>
      </c>
      <c r="BT74" s="45">
        <v>0</v>
      </c>
      <c r="BU74" s="45">
        <v>0</v>
      </c>
      <c r="BV74" s="45">
        <v>0</v>
      </c>
      <c r="BW74" s="45">
        <v>0</v>
      </c>
      <c r="BX74" s="45">
        <v>463.34624456692978</v>
      </c>
      <c r="BY74" s="45"/>
      <c r="BZ74" s="45">
        <v>0</v>
      </c>
      <c r="CA74" s="45">
        <v>0</v>
      </c>
      <c r="CB74" s="45">
        <v>1136.0237296359132</v>
      </c>
      <c r="CC74" s="45">
        <v>463.34624456692978</v>
      </c>
      <c r="CD74" s="199">
        <v>2.4517814549197583</v>
      </c>
      <c r="CE74" s="45">
        <v>6.537641277102054</v>
      </c>
      <c r="CF74" s="45">
        <v>16.366411808916986</v>
      </c>
      <c r="CG74" s="45">
        <v>0</v>
      </c>
      <c r="CH74" s="45">
        <v>16.366411808916986</v>
      </c>
      <c r="CI74" s="45">
        <v>0.81831842237514751</v>
      </c>
      <c r="CJ74" s="45">
        <v>0</v>
      </c>
      <c r="CK74" s="45">
        <v>0.81831842237514751</v>
      </c>
      <c r="CL74" s="45"/>
      <c r="CM74" s="45">
        <v>0</v>
      </c>
      <c r="CN74" s="45"/>
      <c r="CO74" s="45">
        <v>0</v>
      </c>
      <c r="CP74" s="45">
        <v>0</v>
      </c>
      <c r="CQ74" s="45">
        <v>0</v>
      </c>
      <c r="CR74" s="45">
        <v>0</v>
      </c>
      <c r="CS74" s="45">
        <v>0</v>
      </c>
      <c r="CT74" s="45">
        <v>0</v>
      </c>
      <c r="CU74" s="45">
        <v>0</v>
      </c>
      <c r="CV74" s="45">
        <v>9999</v>
      </c>
      <c r="CW74" s="199">
        <v>9999</v>
      </c>
      <c r="CX74" s="24"/>
      <c r="CY74" s="24"/>
      <c r="CZ74" s="24"/>
      <c r="DA74" s="24"/>
      <c r="DB74" s="24"/>
      <c r="DC74" s="24"/>
      <c r="DD74" s="24"/>
      <c r="DE74" s="24"/>
      <c r="DF74" s="24"/>
      <c r="DG74" s="24"/>
      <c r="DH74" s="24"/>
      <c r="DI74" s="24"/>
      <c r="DJ74" s="24"/>
      <c r="DK74" s="24"/>
      <c r="DL74" s="24"/>
      <c r="DM74" s="24"/>
      <c r="DN74" s="24"/>
      <c r="DO74" s="24"/>
      <c r="DP74" s="24"/>
      <c r="DQ74" s="24"/>
      <c r="DR74" s="24"/>
      <c r="DS74" s="24"/>
      <c r="DT74" s="24"/>
      <c r="DU74" s="24"/>
      <c r="DV74" s="24"/>
      <c r="DW74" s="24"/>
      <c r="DX74" s="24"/>
      <c r="DY74" s="24"/>
      <c r="DZ74" s="24"/>
      <c r="EA74" s="24"/>
    </row>
    <row r="75" spans="1:131">
      <c r="A75" s="24" t="s">
        <v>414</v>
      </c>
      <c r="B75" s="24" t="s">
        <v>622</v>
      </c>
      <c r="C75" s="45">
        <v>16.279069767441861</v>
      </c>
      <c r="D75" s="45">
        <v>647.87397959183659</v>
      </c>
      <c r="E75" s="45">
        <v>0</v>
      </c>
      <c r="F75" s="45">
        <v>6.6707622506870052</v>
      </c>
      <c r="G75" s="45">
        <v>0</v>
      </c>
      <c r="H75" s="45">
        <v>0</v>
      </c>
      <c r="I75" s="45" t="s">
        <v>368</v>
      </c>
      <c r="J75" s="45"/>
      <c r="K75" s="45"/>
      <c r="L75" s="45">
        <v>694.58425772131352</v>
      </c>
      <c r="M75" s="45">
        <v>0.16212621155567028</v>
      </c>
      <c r="N75" s="45">
        <v>0.16095605726511986</v>
      </c>
      <c r="O75" s="45">
        <v>0</v>
      </c>
      <c r="P75" s="45">
        <v>0</v>
      </c>
      <c r="Q75" s="45">
        <v>0</v>
      </c>
      <c r="R75" s="45">
        <v>1.3302391041790051</v>
      </c>
      <c r="S75" s="45">
        <v>3.0739802415320749</v>
      </c>
      <c r="T75" s="45">
        <v>0</v>
      </c>
      <c r="U75" s="45">
        <v>3.9147177758155487</v>
      </c>
      <c r="V75" s="45" t="s">
        <v>607</v>
      </c>
      <c r="W75" s="45" t="s">
        <v>607</v>
      </c>
      <c r="X75" s="45" t="s">
        <v>607</v>
      </c>
      <c r="Y75" s="45" t="s">
        <v>607</v>
      </c>
      <c r="Z75" s="45">
        <v>0</v>
      </c>
      <c r="AA75" s="45">
        <v>0</v>
      </c>
      <c r="AB75" s="45">
        <v>0</v>
      </c>
      <c r="AC75" s="45">
        <v>0</v>
      </c>
      <c r="AD75" s="45">
        <v>0</v>
      </c>
      <c r="AE75" s="45">
        <v>0</v>
      </c>
      <c r="AF75" s="45">
        <v>0</v>
      </c>
      <c r="AG75" s="45">
        <v>0</v>
      </c>
      <c r="AH75" s="45">
        <v>1.3302391041790051</v>
      </c>
      <c r="AI75" s="45">
        <v>3.0739802415320749</v>
      </c>
      <c r="AJ75" s="45">
        <v>0</v>
      </c>
      <c r="AK75" s="45">
        <v>3.9147177758155487</v>
      </c>
      <c r="AL75" s="45">
        <v>8.3189371215266288</v>
      </c>
      <c r="AM75" s="45">
        <v>332.92127629950102</v>
      </c>
      <c r="AN75" s="45">
        <v>57.287051226985589</v>
      </c>
      <c r="AO75" s="45">
        <v>0</v>
      </c>
      <c r="AP75" s="45">
        <v>0</v>
      </c>
      <c r="AQ75" s="45">
        <v>390.20832752648658</v>
      </c>
      <c r="AR75" s="45">
        <v>1.3302391041790051</v>
      </c>
      <c r="AS75" s="199">
        <v>293.3369845320513</v>
      </c>
      <c r="AT75" s="45">
        <v>332.92127629950102</v>
      </c>
      <c r="AU75" s="45">
        <v>67.810805708400849</v>
      </c>
      <c r="AV75" s="45">
        <v>0</v>
      </c>
      <c r="AW75" s="45">
        <v>0</v>
      </c>
      <c r="AX75" s="45">
        <v>400.73208200790185</v>
      </c>
      <c r="AY75" s="45">
        <v>3.0739802415320749</v>
      </c>
      <c r="AZ75" s="199">
        <v>130.36260825416906</v>
      </c>
      <c r="BA75" s="45">
        <v>332.92127629950102</v>
      </c>
      <c r="BB75" s="45">
        <v>125.09785693538643</v>
      </c>
      <c r="BC75" s="45">
        <v>0</v>
      </c>
      <c r="BD75" s="45">
        <v>0</v>
      </c>
      <c r="BE75" s="45">
        <v>458.01913323488742</v>
      </c>
      <c r="BF75" s="45">
        <v>4.4042193457110805</v>
      </c>
      <c r="BG75" s="45">
        <v>-12.78584852543656</v>
      </c>
      <c r="BH75" s="199">
        <v>103.99553184854788</v>
      </c>
      <c r="BI75" s="45">
        <v>0.1409207314346464</v>
      </c>
      <c r="BJ75" s="45">
        <v>0.32564637642321081</v>
      </c>
      <c r="BK75" s="45">
        <v>0</v>
      </c>
      <c r="BL75" s="45">
        <v>0.41471107757624892</v>
      </c>
      <c r="BM75" s="45">
        <v>0.88127818543410619</v>
      </c>
      <c r="BN75" s="45">
        <v>332.92127629950102</v>
      </c>
      <c r="BO75" s="45">
        <v>0</v>
      </c>
      <c r="BP75" s="45">
        <v>125.09785693538643</v>
      </c>
      <c r="BQ75" s="45">
        <v>0</v>
      </c>
      <c r="BR75" s="45">
        <v>0</v>
      </c>
      <c r="BS75" s="45">
        <v>0</v>
      </c>
      <c r="BT75" s="45">
        <v>0</v>
      </c>
      <c r="BU75" s="45">
        <v>0</v>
      </c>
      <c r="BV75" s="45">
        <v>0</v>
      </c>
      <c r="BW75" s="45">
        <v>0</v>
      </c>
      <c r="BX75" s="45">
        <v>8.3189371215266288</v>
      </c>
      <c r="BY75" s="45"/>
      <c r="BZ75" s="45">
        <v>0</v>
      </c>
      <c r="CA75" s="45">
        <v>0</v>
      </c>
      <c r="CB75" s="45">
        <v>458.01913323488742</v>
      </c>
      <c r="CC75" s="45">
        <v>8.3189371215266288</v>
      </c>
      <c r="CD75" s="199">
        <v>55.057410164777778</v>
      </c>
      <c r="CE75" s="45">
        <v>-12.371137447860308</v>
      </c>
      <c r="CF75" s="45">
        <v>6.598567930696162</v>
      </c>
      <c r="CG75" s="45">
        <v>0</v>
      </c>
      <c r="CH75" s="45">
        <v>6.598567930696162</v>
      </c>
      <c r="CI75" s="45">
        <v>0.32992752241762402</v>
      </c>
      <c r="CJ75" s="45">
        <v>0</v>
      </c>
      <c r="CK75" s="45">
        <v>0.32992752241762402</v>
      </c>
      <c r="CL75" s="45"/>
      <c r="CM75" s="45">
        <v>0</v>
      </c>
      <c r="CN75" s="45"/>
      <c r="CO75" s="45">
        <v>0</v>
      </c>
      <c r="CP75" s="45">
        <v>0</v>
      </c>
      <c r="CQ75" s="45">
        <v>0</v>
      </c>
      <c r="CR75" s="45">
        <v>0</v>
      </c>
      <c r="CS75" s="45">
        <v>0</v>
      </c>
      <c r="CT75" s="45">
        <v>0</v>
      </c>
      <c r="CU75" s="45">
        <v>0</v>
      </c>
      <c r="CV75" s="45">
        <v>9999</v>
      </c>
      <c r="CW75" s="199">
        <v>9999</v>
      </c>
      <c r="CX75" s="24"/>
      <c r="CY75" s="24"/>
      <c r="CZ75" s="24"/>
      <c r="DA75" s="24"/>
      <c r="DB75" s="24"/>
      <c r="DC75" s="24"/>
      <c r="DD75" s="24"/>
      <c r="DE75" s="24"/>
      <c r="DF75" s="24"/>
      <c r="DG75" s="24"/>
      <c r="DH75" s="24"/>
      <c r="DI75" s="24"/>
      <c r="DJ75" s="24"/>
      <c r="DK75" s="24"/>
      <c r="DL75" s="24"/>
      <c r="DM75" s="24"/>
      <c r="DN75" s="24"/>
      <c r="DO75" s="24"/>
      <c r="DP75" s="24"/>
      <c r="DQ75" s="24"/>
      <c r="DR75" s="24"/>
      <c r="DS75" s="24"/>
      <c r="DT75" s="24"/>
      <c r="DU75" s="24"/>
      <c r="DV75" s="24"/>
      <c r="DW75" s="24"/>
      <c r="DX75" s="24"/>
      <c r="DY75" s="24"/>
      <c r="DZ75" s="24"/>
      <c r="EA75" s="24"/>
    </row>
    <row r="76" spans="1:131">
      <c r="A76" s="24" t="s">
        <v>420</v>
      </c>
      <c r="B76" s="24" t="s">
        <v>623</v>
      </c>
      <c r="C76" s="45">
        <v>6.6762790697674417</v>
      </c>
      <c r="D76" s="45">
        <v>68.226666666666659</v>
      </c>
      <c r="E76" s="45">
        <v>0</v>
      </c>
      <c r="F76" s="45">
        <v>4.0008899869194874</v>
      </c>
      <c r="G76" s="45">
        <v>0</v>
      </c>
      <c r="H76" s="45">
        <v>0</v>
      </c>
      <c r="I76" s="45" t="s">
        <v>368</v>
      </c>
      <c r="J76" s="45"/>
      <c r="K76" s="45"/>
      <c r="L76" s="45">
        <v>73.145658131418585</v>
      </c>
      <c r="M76" s="45">
        <v>1.7073275578542112E-2</v>
      </c>
      <c r="N76" s="45">
        <v>1.6950048331816986E-2</v>
      </c>
      <c r="O76" s="45">
        <v>0</v>
      </c>
      <c r="P76" s="45">
        <v>0</v>
      </c>
      <c r="Q76" s="45">
        <v>0</v>
      </c>
      <c r="R76" s="45">
        <v>0.79783090928932687</v>
      </c>
      <c r="S76" s="45">
        <v>1.843665881971347</v>
      </c>
      <c r="T76" s="45">
        <v>0</v>
      </c>
      <c r="U76" s="45">
        <v>7.9972084671416068</v>
      </c>
      <c r="V76" s="45" t="s">
        <v>607</v>
      </c>
      <c r="W76" s="45" t="s">
        <v>607</v>
      </c>
      <c r="X76" s="45" t="s">
        <v>607</v>
      </c>
      <c r="Y76" s="45" t="s">
        <v>607</v>
      </c>
      <c r="Z76" s="45">
        <v>0</v>
      </c>
      <c r="AA76" s="45">
        <v>0</v>
      </c>
      <c r="AB76" s="45">
        <v>0</v>
      </c>
      <c r="AC76" s="45">
        <v>0</v>
      </c>
      <c r="AD76" s="45">
        <v>0</v>
      </c>
      <c r="AE76" s="45">
        <v>0</v>
      </c>
      <c r="AF76" s="45">
        <v>0</v>
      </c>
      <c r="AG76" s="45">
        <v>0</v>
      </c>
      <c r="AH76" s="45">
        <v>0.79783090928932687</v>
      </c>
      <c r="AI76" s="45">
        <v>1.843665881971347</v>
      </c>
      <c r="AJ76" s="45">
        <v>0</v>
      </c>
      <c r="AK76" s="45">
        <v>7.9972084671416068</v>
      </c>
      <c r="AL76" s="45">
        <v>10.638705258402281</v>
      </c>
      <c r="AM76" s="45">
        <v>35.059455480272995</v>
      </c>
      <c r="AN76" s="45">
        <v>6.0328160591388107</v>
      </c>
      <c r="AO76" s="45">
        <v>0</v>
      </c>
      <c r="AP76" s="45">
        <v>0</v>
      </c>
      <c r="AQ76" s="45">
        <v>41.092271539411804</v>
      </c>
      <c r="AR76" s="45">
        <v>0.79783090928932687</v>
      </c>
      <c r="AS76" s="199">
        <v>51.504988163488193</v>
      </c>
      <c r="AT76" s="45">
        <v>35.059455480272995</v>
      </c>
      <c r="AU76" s="45">
        <v>7.141057340163405</v>
      </c>
      <c r="AV76" s="45">
        <v>0</v>
      </c>
      <c r="AW76" s="45">
        <v>0</v>
      </c>
      <c r="AX76" s="45">
        <v>42.200512820436401</v>
      </c>
      <c r="AY76" s="45">
        <v>1.843665881971347</v>
      </c>
      <c r="AZ76" s="199">
        <v>22.889458026588493</v>
      </c>
      <c r="BA76" s="45">
        <v>35.059455480272995</v>
      </c>
      <c r="BB76" s="45">
        <v>13.173873399302217</v>
      </c>
      <c r="BC76" s="45">
        <v>0</v>
      </c>
      <c r="BD76" s="45">
        <v>0</v>
      </c>
      <c r="BE76" s="45">
        <v>48.233328879575211</v>
      </c>
      <c r="BF76" s="45">
        <v>2.6414967912606739</v>
      </c>
      <c r="BG76" s="45">
        <v>-10.59517031821084</v>
      </c>
      <c r="BH76" s="199">
        <v>18.259847613350875</v>
      </c>
      <c r="BI76" s="45">
        <v>0.80258755299344298</v>
      </c>
      <c r="BJ76" s="45">
        <v>1.8546577620901359</v>
      </c>
      <c r="BK76" s="45">
        <v>0</v>
      </c>
      <c r="BL76" s="45">
        <v>8.0448875816793191</v>
      </c>
      <c r="BM76" s="45">
        <v>10.702132896762897</v>
      </c>
      <c r="BN76" s="45">
        <v>35.059455480272995</v>
      </c>
      <c r="BO76" s="45">
        <v>0</v>
      </c>
      <c r="BP76" s="45">
        <v>13.173873399302217</v>
      </c>
      <c r="BQ76" s="45">
        <v>0</v>
      </c>
      <c r="BR76" s="45">
        <v>0</v>
      </c>
      <c r="BS76" s="45">
        <v>0</v>
      </c>
      <c r="BT76" s="45">
        <v>0</v>
      </c>
      <c r="BU76" s="45">
        <v>0</v>
      </c>
      <c r="BV76" s="45">
        <v>0</v>
      </c>
      <c r="BW76" s="45">
        <v>0</v>
      </c>
      <c r="BX76" s="45">
        <v>10.638705258402281</v>
      </c>
      <c r="BY76" s="45"/>
      <c r="BZ76" s="45">
        <v>0</v>
      </c>
      <c r="CA76" s="45">
        <v>0</v>
      </c>
      <c r="CB76" s="45">
        <v>48.233328879575211</v>
      </c>
      <c r="CC76" s="45">
        <v>10.638705258402281</v>
      </c>
      <c r="CD76" s="199">
        <v>4.5337592975875793</v>
      </c>
      <c r="CE76" s="45">
        <v>-2.5502827365315182</v>
      </c>
      <c r="CF76" s="45">
        <v>0.69488559328866673</v>
      </c>
      <c r="CG76" s="45">
        <v>0</v>
      </c>
      <c r="CH76" s="45">
        <v>0.69488559328866673</v>
      </c>
      <c r="CI76" s="45">
        <v>3.4744187612423837E-2</v>
      </c>
      <c r="CJ76" s="45">
        <v>0</v>
      </c>
      <c r="CK76" s="45">
        <v>3.4744187612423837E-2</v>
      </c>
      <c r="CL76" s="45"/>
      <c r="CM76" s="45">
        <v>0</v>
      </c>
      <c r="CN76" s="45"/>
      <c r="CO76" s="45">
        <v>0</v>
      </c>
      <c r="CP76" s="45">
        <v>0</v>
      </c>
      <c r="CQ76" s="45">
        <v>0</v>
      </c>
      <c r="CR76" s="45">
        <v>0</v>
      </c>
      <c r="CS76" s="45">
        <v>0</v>
      </c>
      <c r="CT76" s="45">
        <v>0</v>
      </c>
      <c r="CU76" s="45">
        <v>0</v>
      </c>
      <c r="CV76" s="45">
        <v>9999</v>
      </c>
      <c r="CW76" s="199">
        <v>9999</v>
      </c>
      <c r="CX76" s="24"/>
      <c r="CY76" s="24"/>
      <c r="CZ76" s="24"/>
      <c r="DA76" s="24"/>
      <c r="DB76" s="24"/>
      <c r="DC76" s="24"/>
      <c r="DD76" s="24"/>
      <c r="DE76" s="24"/>
      <c r="DF76" s="24"/>
      <c r="DG76" s="24"/>
      <c r="DH76" s="24"/>
      <c r="DI76" s="24"/>
      <c r="DJ76" s="24"/>
      <c r="DK76" s="24"/>
      <c r="DL76" s="24"/>
      <c r="DM76" s="24"/>
      <c r="DN76" s="24"/>
      <c r="DO76" s="24"/>
      <c r="DP76" s="24"/>
      <c r="DQ76" s="24"/>
      <c r="DR76" s="24"/>
      <c r="DS76" s="24"/>
      <c r="DT76" s="24"/>
      <c r="DU76" s="24"/>
      <c r="DV76" s="24"/>
      <c r="DW76" s="24"/>
      <c r="DX76" s="24"/>
      <c r="DY76" s="24"/>
      <c r="DZ76" s="24"/>
      <c r="EA76" s="24"/>
    </row>
    <row r="77" spans="1:131">
      <c r="A77" s="24" t="s">
        <v>416</v>
      </c>
      <c r="B77" s="24" t="s">
        <v>624</v>
      </c>
      <c r="C77" s="45">
        <v>6.6762790697674417</v>
      </c>
      <c r="D77" s="45">
        <v>278.92666666666668</v>
      </c>
      <c r="E77" s="45">
        <v>0</v>
      </c>
      <c r="F77" s="45">
        <v>4.7789999869194872</v>
      </c>
      <c r="G77" s="45">
        <v>0</v>
      </c>
      <c r="H77" s="45">
        <v>0</v>
      </c>
      <c r="I77" s="45" t="s">
        <v>368</v>
      </c>
      <c r="J77" s="45"/>
      <c r="K77" s="45"/>
      <c r="L77" s="45">
        <v>299.03666118432898</v>
      </c>
      <c r="M77" s="45">
        <v>6.9799567806392765E-2</v>
      </c>
      <c r="N77" s="45">
        <v>6.9295785827134165E-2</v>
      </c>
      <c r="O77" s="45">
        <v>0</v>
      </c>
      <c r="P77" s="45">
        <v>0</v>
      </c>
      <c r="Q77" s="45">
        <v>0</v>
      </c>
      <c r="R77" s="45">
        <v>0.9529964376734521</v>
      </c>
      <c r="S77" s="45">
        <v>2.2022298175234178</v>
      </c>
      <c r="T77" s="45">
        <v>0</v>
      </c>
      <c r="U77" s="45">
        <v>9.5525393811912522</v>
      </c>
      <c r="V77" s="45" t="s">
        <v>607</v>
      </c>
      <c r="W77" s="45" t="s">
        <v>607</v>
      </c>
      <c r="X77" s="45" t="s">
        <v>607</v>
      </c>
      <c r="Y77" s="45" t="s">
        <v>607</v>
      </c>
      <c r="Z77" s="45">
        <v>0</v>
      </c>
      <c r="AA77" s="45">
        <v>0</v>
      </c>
      <c r="AB77" s="45">
        <v>0</v>
      </c>
      <c r="AC77" s="45">
        <v>0</v>
      </c>
      <c r="AD77" s="45">
        <v>0</v>
      </c>
      <c r="AE77" s="45">
        <v>0</v>
      </c>
      <c r="AF77" s="45">
        <v>0</v>
      </c>
      <c r="AG77" s="45">
        <v>0</v>
      </c>
      <c r="AH77" s="45">
        <v>0.9529964376734521</v>
      </c>
      <c r="AI77" s="45">
        <v>2.2022298175234178</v>
      </c>
      <c r="AJ77" s="45">
        <v>0</v>
      </c>
      <c r="AK77" s="45">
        <v>9.5525393811912522</v>
      </c>
      <c r="AL77" s="45">
        <v>12.707765636388121</v>
      </c>
      <c r="AM77" s="45">
        <v>143.33130328699843</v>
      </c>
      <c r="AN77" s="45">
        <v>24.66357153589102</v>
      </c>
      <c r="AO77" s="45">
        <v>0</v>
      </c>
      <c r="AP77" s="45">
        <v>0</v>
      </c>
      <c r="AQ77" s="45">
        <v>167.99487482288944</v>
      </c>
      <c r="AR77" s="45">
        <v>0.9529964376734521</v>
      </c>
      <c r="AS77" s="199">
        <v>176.28069547984347</v>
      </c>
      <c r="AT77" s="45">
        <v>143.33130328699843</v>
      </c>
      <c r="AU77" s="45">
        <v>29.194322655373931</v>
      </c>
      <c r="AV77" s="45">
        <v>0</v>
      </c>
      <c r="AW77" s="45">
        <v>0</v>
      </c>
      <c r="AX77" s="45">
        <v>172.52562594237236</v>
      </c>
      <c r="AY77" s="45">
        <v>2.2022298175234178</v>
      </c>
      <c r="AZ77" s="199">
        <v>78.341335935770374</v>
      </c>
      <c r="BA77" s="45">
        <v>143.33130328699843</v>
      </c>
      <c r="BB77" s="45">
        <v>53.857894191264947</v>
      </c>
      <c r="BC77" s="45">
        <v>0</v>
      </c>
      <c r="BD77" s="45">
        <v>0</v>
      </c>
      <c r="BE77" s="45">
        <v>197.18919747826337</v>
      </c>
      <c r="BF77" s="45">
        <v>3.1552262551968697</v>
      </c>
      <c r="BG77" s="45">
        <v>-12.4760323309236</v>
      </c>
      <c r="BH77" s="199">
        <v>62.496056234788078</v>
      </c>
      <c r="BI77" s="45">
        <v>0.23449681943089945</v>
      </c>
      <c r="BJ77" s="45">
        <v>0.54188648293991148</v>
      </c>
      <c r="BK77" s="45">
        <v>0</v>
      </c>
      <c r="BL77" s="45">
        <v>2.350523059505202</v>
      </c>
      <c r="BM77" s="45">
        <v>3.1269063618760127</v>
      </c>
      <c r="BN77" s="45">
        <v>143.33130328699843</v>
      </c>
      <c r="BO77" s="45">
        <v>0</v>
      </c>
      <c r="BP77" s="45">
        <v>53.857894191264947</v>
      </c>
      <c r="BQ77" s="45">
        <v>0</v>
      </c>
      <c r="BR77" s="45">
        <v>0</v>
      </c>
      <c r="BS77" s="45">
        <v>0</v>
      </c>
      <c r="BT77" s="45">
        <v>0</v>
      </c>
      <c r="BU77" s="45">
        <v>0</v>
      </c>
      <c r="BV77" s="45">
        <v>0</v>
      </c>
      <c r="BW77" s="45">
        <v>0</v>
      </c>
      <c r="BX77" s="45">
        <v>12.707765636388121</v>
      </c>
      <c r="BY77" s="45"/>
      <c r="BZ77" s="45">
        <v>0</v>
      </c>
      <c r="CA77" s="45">
        <v>0</v>
      </c>
      <c r="CB77" s="45">
        <v>197.18919747826337</v>
      </c>
      <c r="CC77" s="45">
        <v>12.707765636388121</v>
      </c>
      <c r="CD77" s="199">
        <v>15.5172201880731</v>
      </c>
      <c r="CE77" s="45">
        <v>-10.125509271418398</v>
      </c>
      <c r="CF77" s="45">
        <v>2.8408558078566108</v>
      </c>
      <c r="CG77" s="45">
        <v>0</v>
      </c>
      <c r="CH77" s="45">
        <v>2.8408558078566108</v>
      </c>
      <c r="CI77" s="45">
        <v>0.14204241406255627</v>
      </c>
      <c r="CJ77" s="45">
        <v>0</v>
      </c>
      <c r="CK77" s="45">
        <v>0.14204241406255627</v>
      </c>
      <c r="CL77" s="45"/>
      <c r="CM77" s="45">
        <v>0</v>
      </c>
      <c r="CN77" s="45"/>
      <c r="CO77" s="45">
        <v>0</v>
      </c>
      <c r="CP77" s="45">
        <v>0</v>
      </c>
      <c r="CQ77" s="45">
        <v>0</v>
      </c>
      <c r="CR77" s="45">
        <v>0</v>
      </c>
      <c r="CS77" s="45">
        <v>0</v>
      </c>
      <c r="CT77" s="45">
        <v>0</v>
      </c>
      <c r="CU77" s="45">
        <v>0</v>
      </c>
      <c r="CV77" s="45">
        <v>9999</v>
      </c>
      <c r="CW77" s="199">
        <v>9999</v>
      </c>
      <c r="CX77" s="24"/>
      <c r="CY77" s="24"/>
      <c r="CZ77" s="24"/>
      <c r="DA77" s="24"/>
      <c r="DB77" s="24"/>
      <c r="DC77" s="24"/>
      <c r="DD77" s="24"/>
      <c r="DE77" s="24"/>
      <c r="DF77" s="24"/>
      <c r="DG77" s="24"/>
      <c r="DH77" s="24"/>
      <c r="DI77" s="24"/>
      <c r="DJ77" s="24"/>
      <c r="DK77" s="24"/>
      <c r="DL77" s="24"/>
      <c r="DM77" s="24"/>
      <c r="DN77" s="24"/>
      <c r="DO77" s="24"/>
      <c r="DP77" s="24"/>
      <c r="DQ77" s="24"/>
      <c r="DR77" s="24"/>
      <c r="DS77" s="24"/>
      <c r="DT77" s="24"/>
      <c r="DU77" s="24"/>
      <c r="DV77" s="24"/>
      <c r="DW77" s="24"/>
      <c r="DX77" s="24"/>
      <c r="DY77" s="24"/>
      <c r="DZ77" s="24"/>
      <c r="EA77" s="24"/>
    </row>
    <row r="78" spans="1:131">
      <c r="A78" s="24" t="s">
        <v>428</v>
      </c>
      <c r="B78" s="24" t="s">
        <v>625</v>
      </c>
      <c r="C78" s="45">
        <v>13.953488372093023</v>
      </c>
      <c r="D78" s="45">
        <v>640.16615646258492</v>
      </c>
      <c r="E78" s="45">
        <v>0</v>
      </c>
      <c r="F78" s="45">
        <v>154.26033291735365</v>
      </c>
      <c r="G78" s="45">
        <v>0</v>
      </c>
      <c r="H78" s="45">
        <v>0</v>
      </c>
      <c r="I78" s="45" t="s">
        <v>368</v>
      </c>
      <c r="J78" s="45"/>
      <c r="K78" s="45"/>
      <c r="L78" s="45">
        <v>686.32071762629175</v>
      </c>
      <c r="M78" s="45">
        <v>0.16019737940211778</v>
      </c>
      <c r="N78" s="45">
        <v>0.15904114655707932</v>
      </c>
      <c r="O78" s="45">
        <v>0</v>
      </c>
      <c r="P78" s="45">
        <v>0</v>
      </c>
      <c r="Q78" s="45">
        <v>0</v>
      </c>
      <c r="R78" s="45">
        <v>30.761571070712684</v>
      </c>
      <c r="S78" s="45">
        <v>71.085311935868958</v>
      </c>
      <c r="T78" s="45">
        <v>0</v>
      </c>
      <c r="U78" s="45">
        <v>115.38708219658041</v>
      </c>
      <c r="V78" s="45" t="s">
        <v>607</v>
      </c>
      <c r="W78" s="45" t="s">
        <v>607</v>
      </c>
      <c r="X78" s="45" t="s">
        <v>607</v>
      </c>
      <c r="Y78" s="45" t="s">
        <v>607</v>
      </c>
      <c r="Z78" s="45">
        <v>0</v>
      </c>
      <c r="AA78" s="45">
        <v>0</v>
      </c>
      <c r="AB78" s="45">
        <v>0</v>
      </c>
      <c r="AC78" s="45">
        <v>0</v>
      </c>
      <c r="AD78" s="45">
        <v>0</v>
      </c>
      <c r="AE78" s="45">
        <v>0</v>
      </c>
      <c r="AF78" s="45">
        <v>0</v>
      </c>
      <c r="AG78" s="45">
        <v>0</v>
      </c>
      <c r="AH78" s="45">
        <v>30.761571070712684</v>
      </c>
      <c r="AI78" s="45">
        <v>71.085311935868958</v>
      </c>
      <c r="AJ78" s="45">
        <v>0</v>
      </c>
      <c r="AK78" s="45">
        <v>115.38708219658041</v>
      </c>
      <c r="AL78" s="45">
        <v>217.23396520316203</v>
      </c>
      <c r="AM78" s="45">
        <v>328.96047775763333</v>
      </c>
      <c r="AN78" s="45">
        <v>56.605501307768009</v>
      </c>
      <c r="AO78" s="45">
        <v>0</v>
      </c>
      <c r="AP78" s="45">
        <v>0</v>
      </c>
      <c r="AQ78" s="45">
        <v>385.56597906540134</v>
      </c>
      <c r="AR78" s="45">
        <v>30.761571070712684</v>
      </c>
      <c r="AS78" s="199">
        <v>12.534014539734903</v>
      </c>
      <c r="AT78" s="45">
        <v>328.96047775763333</v>
      </c>
      <c r="AU78" s="45">
        <v>67.004053603644792</v>
      </c>
      <c r="AV78" s="45">
        <v>0</v>
      </c>
      <c r="AW78" s="45">
        <v>0</v>
      </c>
      <c r="AX78" s="45">
        <v>395.96453136127809</v>
      </c>
      <c r="AY78" s="45">
        <v>71.085311935868958</v>
      </c>
      <c r="AZ78" s="199">
        <v>5.570272122017351</v>
      </c>
      <c r="BA78" s="45">
        <v>328.96047775763333</v>
      </c>
      <c r="BB78" s="45">
        <v>123.6095549114128</v>
      </c>
      <c r="BC78" s="45">
        <v>0</v>
      </c>
      <c r="BD78" s="45">
        <v>0</v>
      </c>
      <c r="BE78" s="45">
        <v>452.5700326690461</v>
      </c>
      <c r="BF78" s="45">
        <v>101.84688300658163</v>
      </c>
      <c r="BG78" s="45">
        <v>-2.3332174732004738</v>
      </c>
      <c r="BH78" s="199">
        <v>4.4436316488919916</v>
      </c>
      <c r="BI78" s="45">
        <v>3.2980065793002113</v>
      </c>
      <c r="BJ78" s="45">
        <v>7.6211915807937363</v>
      </c>
      <c r="BK78" s="45">
        <v>0</v>
      </c>
      <c r="BL78" s="45">
        <v>12.370868684691011</v>
      </c>
      <c r="BM78" s="45">
        <v>23.290066844784956</v>
      </c>
      <c r="BN78" s="45">
        <v>328.96047775763333</v>
      </c>
      <c r="BO78" s="45">
        <v>0</v>
      </c>
      <c r="BP78" s="45">
        <v>123.6095549114128</v>
      </c>
      <c r="BQ78" s="45">
        <v>0</v>
      </c>
      <c r="BR78" s="45">
        <v>0</v>
      </c>
      <c r="BS78" s="45">
        <v>0</v>
      </c>
      <c r="BT78" s="45">
        <v>0</v>
      </c>
      <c r="BU78" s="45">
        <v>0</v>
      </c>
      <c r="BV78" s="45">
        <v>0</v>
      </c>
      <c r="BW78" s="45">
        <v>0</v>
      </c>
      <c r="BX78" s="45">
        <v>217.23396520316203</v>
      </c>
      <c r="BY78" s="45"/>
      <c r="BZ78" s="45">
        <v>0</v>
      </c>
      <c r="CA78" s="45">
        <v>0</v>
      </c>
      <c r="CB78" s="45">
        <v>452.5700326690461</v>
      </c>
      <c r="CC78" s="45">
        <v>217.23396520316203</v>
      </c>
      <c r="CD78" s="199">
        <v>2.0833299813212567</v>
      </c>
      <c r="CE78" s="45">
        <v>10.037651211490537</v>
      </c>
      <c r="CF78" s="45">
        <v>6.5200640918042199</v>
      </c>
      <c r="CG78" s="45">
        <v>0</v>
      </c>
      <c r="CH78" s="45">
        <v>6.5200640918042199</v>
      </c>
      <c r="CI78" s="45">
        <v>0.32600234087248869</v>
      </c>
      <c r="CJ78" s="45">
        <v>0</v>
      </c>
      <c r="CK78" s="45">
        <v>0.32600234087248869</v>
      </c>
      <c r="CL78" s="45"/>
      <c r="CM78" s="45">
        <v>0</v>
      </c>
      <c r="CN78" s="45"/>
      <c r="CO78" s="45">
        <v>0</v>
      </c>
      <c r="CP78" s="45">
        <v>0</v>
      </c>
      <c r="CQ78" s="45">
        <v>0</v>
      </c>
      <c r="CR78" s="45">
        <v>0</v>
      </c>
      <c r="CS78" s="45">
        <v>0</v>
      </c>
      <c r="CT78" s="45">
        <v>0</v>
      </c>
      <c r="CU78" s="45">
        <v>0</v>
      </c>
      <c r="CV78" s="45">
        <v>9999</v>
      </c>
      <c r="CW78" s="199">
        <v>9999</v>
      </c>
      <c r="CX78" s="24"/>
      <c r="CY78" s="24"/>
      <c r="CZ78" s="24"/>
      <c r="DA78" s="24"/>
      <c r="DB78" s="24"/>
      <c r="DC78" s="24"/>
      <c r="DD78" s="24"/>
      <c r="DE78" s="24"/>
      <c r="DF78" s="24"/>
      <c r="DG78" s="24"/>
      <c r="DH78" s="24"/>
      <c r="DI78" s="24"/>
      <c r="DJ78" s="24"/>
      <c r="DK78" s="24"/>
      <c r="DL78" s="24"/>
      <c r="DM78" s="24"/>
      <c r="DN78" s="24"/>
      <c r="DO78" s="24"/>
      <c r="DP78" s="24"/>
      <c r="DQ78" s="24"/>
      <c r="DR78" s="24"/>
      <c r="DS78" s="24"/>
      <c r="DT78" s="24"/>
      <c r="DU78" s="24"/>
      <c r="DV78" s="24"/>
      <c r="DW78" s="24"/>
      <c r="DX78" s="24"/>
      <c r="DY78" s="24"/>
      <c r="DZ78" s="24"/>
      <c r="EA78" s="24"/>
    </row>
    <row r="79" spans="1:131">
      <c r="A79" s="24" t="s">
        <v>421</v>
      </c>
      <c r="B79" s="24" t="s">
        <v>626</v>
      </c>
      <c r="C79" s="45">
        <v>6.6762790697674417</v>
      </c>
      <c r="D79" s="45">
        <v>68.226666666666659</v>
      </c>
      <c r="E79" s="45">
        <v>0</v>
      </c>
      <c r="F79" s="45">
        <v>4.0008899869194874</v>
      </c>
      <c r="G79" s="45">
        <v>0</v>
      </c>
      <c r="H79" s="45">
        <v>0</v>
      </c>
      <c r="I79" s="45" t="s">
        <v>368</v>
      </c>
      <c r="J79" s="45"/>
      <c r="K79" s="45"/>
      <c r="L79" s="45">
        <v>73.145658131418585</v>
      </c>
      <c r="M79" s="45">
        <v>1.7073275578542112E-2</v>
      </c>
      <c r="N79" s="45">
        <v>1.6950048331816986E-2</v>
      </c>
      <c r="O79" s="45">
        <v>0</v>
      </c>
      <c r="P79" s="45">
        <v>0</v>
      </c>
      <c r="Q79" s="45">
        <v>0</v>
      </c>
      <c r="R79" s="45">
        <v>0.79783090928932687</v>
      </c>
      <c r="S79" s="45">
        <v>1.843665881971347</v>
      </c>
      <c r="T79" s="45">
        <v>0</v>
      </c>
      <c r="U79" s="45">
        <v>7.9972084671416068</v>
      </c>
      <c r="V79" s="45" t="s">
        <v>607</v>
      </c>
      <c r="W79" s="45" t="s">
        <v>607</v>
      </c>
      <c r="X79" s="45" t="s">
        <v>607</v>
      </c>
      <c r="Y79" s="45" t="s">
        <v>607</v>
      </c>
      <c r="Z79" s="45">
        <v>0</v>
      </c>
      <c r="AA79" s="45">
        <v>0</v>
      </c>
      <c r="AB79" s="45">
        <v>0</v>
      </c>
      <c r="AC79" s="45">
        <v>0</v>
      </c>
      <c r="AD79" s="45">
        <v>0</v>
      </c>
      <c r="AE79" s="45">
        <v>0</v>
      </c>
      <c r="AF79" s="45">
        <v>0</v>
      </c>
      <c r="AG79" s="45">
        <v>0</v>
      </c>
      <c r="AH79" s="45">
        <v>0.79783090928932687</v>
      </c>
      <c r="AI79" s="45">
        <v>1.843665881971347</v>
      </c>
      <c r="AJ79" s="45">
        <v>0</v>
      </c>
      <c r="AK79" s="45">
        <v>7.9972084671416068</v>
      </c>
      <c r="AL79" s="45">
        <v>10.638705258402281</v>
      </c>
      <c r="AM79" s="45">
        <v>35.059455480272995</v>
      </c>
      <c r="AN79" s="45">
        <v>6.0328160591388107</v>
      </c>
      <c r="AO79" s="45">
        <v>0</v>
      </c>
      <c r="AP79" s="45">
        <v>0</v>
      </c>
      <c r="AQ79" s="45">
        <v>41.092271539411804</v>
      </c>
      <c r="AR79" s="45">
        <v>0.79783090928932687</v>
      </c>
      <c r="AS79" s="199">
        <v>51.504988163488193</v>
      </c>
      <c r="AT79" s="45">
        <v>35.059455480272995</v>
      </c>
      <c r="AU79" s="45">
        <v>7.141057340163405</v>
      </c>
      <c r="AV79" s="45">
        <v>0</v>
      </c>
      <c r="AW79" s="45">
        <v>0</v>
      </c>
      <c r="AX79" s="45">
        <v>42.200512820436401</v>
      </c>
      <c r="AY79" s="45">
        <v>1.843665881971347</v>
      </c>
      <c r="AZ79" s="199">
        <v>22.889458026588493</v>
      </c>
      <c r="BA79" s="45">
        <v>35.059455480272995</v>
      </c>
      <c r="BB79" s="45">
        <v>13.173873399302217</v>
      </c>
      <c r="BC79" s="45">
        <v>0</v>
      </c>
      <c r="BD79" s="45">
        <v>0</v>
      </c>
      <c r="BE79" s="45">
        <v>48.233328879575211</v>
      </c>
      <c r="BF79" s="45">
        <v>2.6414967912606739</v>
      </c>
      <c r="BG79" s="45">
        <v>-10.59517031821084</v>
      </c>
      <c r="BH79" s="199">
        <v>18.259847613350875</v>
      </c>
      <c r="BI79" s="45">
        <v>0.80258755299344298</v>
      </c>
      <c r="BJ79" s="45">
        <v>1.8546577620901359</v>
      </c>
      <c r="BK79" s="45">
        <v>0</v>
      </c>
      <c r="BL79" s="45">
        <v>8.0448875816793191</v>
      </c>
      <c r="BM79" s="45">
        <v>10.702132896762897</v>
      </c>
      <c r="BN79" s="45">
        <v>35.059455480272995</v>
      </c>
      <c r="BO79" s="45">
        <v>0</v>
      </c>
      <c r="BP79" s="45">
        <v>13.173873399302217</v>
      </c>
      <c r="BQ79" s="45">
        <v>0</v>
      </c>
      <c r="BR79" s="45">
        <v>0</v>
      </c>
      <c r="BS79" s="45">
        <v>0</v>
      </c>
      <c r="BT79" s="45">
        <v>0</v>
      </c>
      <c r="BU79" s="45">
        <v>0</v>
      </c>
      <c r="BV79" s="45">
        <v>0</v>
      </c>
      <c r="BW79" s="45">
        <v>0</v>
      </c>
      <c r="BX79" s="45">
        <v>10.638705258402281</v>
      </c>
      <c r="BY79" s="45"/>
      <c r="BZ79" s="45">
        <v>0</v>
      </c>
      <c r="CA79" s="45">
        <v>0</v>
      </c>
      <c r="CB79" s="45">
        <v>48.233328879575211</v>
      </c>
      <c r="CC79" s="45">
        <v>10.638705258402281</v>
      </c>
      <c r="CD79" s="199">
        <v>4.5337592975875793</v>
      </c>
      <c r="CE79" s="45">
        <v>-2.5502827365315182</v>
      </c>
      <c r="CF79" s="45">
        <v>0.69488559328866673</v>
      </c>
      <c r="CG79" s="45">
        <v>0</v>
      </c>
      <c r="CH79" s="45">
        <v>0.69488559328866673</v>
      </c>
      <c r="CI79" s="45">
        <v>3.4744187612423837E-2</v>
      </c>
      <c r="CJ79" s="45">
        <v>0</v>
      </c>
      <c r="CK79" s="45">
        <v>3.4744187612423837E-2</v>
      </c>
      <c r="CL79" s="45"/>
      <c r="CM79" s="45">
        <v>0</v>
      </c>
      <c r="CN79" s="45"/>
      <c r="CO79" s="45">
        <v>0</v>
      </c>
      <c r="CP79" s="45">
        <v>0</v>
      </c>
      <c r="CQ79" s="45">
        <v>0</v>
      </c>
      <c r="CR79" s="45">
        <v>0</v>
      </c>
      <c r="CS79" s="45">
        <v>0</v>
      </c>
      <c r="CT79" s="45">
        <v>0</v>
      </c>
      <c r="CU79" s="45">
        <v>0</v>
      </c>
      <c r="CV79" s="45">
        <v>9999</v>
      </c>
      <c r="CW79" s="199">
        <v>9999</v>
      </c>
      <c r="CX79" s="24"/>
      <c r="CY79" s="24"/>
      <c r="CZ79" s="24"/>
      <c r="DA79" s="24"/>
      <c r="DB79" s="24"/>
      <c r="DC79" s="24"/>
      <c r="DD79" s="24"/>
      <c r="DE79" s="24"/>
      <c r="DF79" s="24"/>
      <c r="DG79" s="24"/>
      <c r="DH79" s="24"/>
      <c r="DI79" s="24"/>
      <c r="DJ79" s="24"/>
      <c r="DK79" s="24"/>
      <c r="DL79" s="24"/>
      <c r="DM79" s="24"/>
      <c r="DN79" s="24"/>
      <c r="DO79" s="24"/>
      <c r="DP79" s="24"/>
      <c r="DQ79" s="24"/>
      <c r="DR79" s="24"/>
      <c r="DS79" s="24"/>
      <c r="DT79" s="24"/>
      <c r="DU79" s="24"/>
      <c r="DV79" s="24"/>
      <c r="DW79" s="24"/>
      <c r="DX79" s="24"/>
      <c r="DY79" s="24"/>
      <c r="DZ79" s="24"/>
      <c r="EA79" s="24"/>
    </row>
    <row r="80" spans="1:131">
      <c r="A80" s="24" t="s">
        <v>417</v>
      </c>
      <c r="B80" s="24" t="s">
        <v>627</v>
      </c>
      <c r="C80" s="45">
        <v>6.6762790697674417</v>
      </c>
      <c r="D80" s="45">
        <v>278.92666666666668</v>
      </c>
      <c r="E80" s="45">
        <v>0</v>
      </c>
      <c r="F80" s="45">
        <v>4.7789999869194872</v>
      </c>
      <c r="G80" s="45">
        <v>0</v>
      </c>
      <c r="H80" s="45">
        <v>0</v>
      </c>
      <c r="I80" s="45" t="s">
        <v>368</v>
      </c>
      <c r="J80" s="45"/>
      <c r="K80" s="45"/>
      <c r="L80" s="45">
        <v>299.03666118432898</v>
      </c>
      <c r="M80" s="45">
        <v>6.9799567806392765E-2</v>
      </c>
      <c r="N80" s="45">
        <v>6.9295785827134165E-2</v>
      </c>
      <c r="O80" s="45">
        <v>0</v>
      </c>
      <c r="P80" s="45">
        <v>0</v>
      </c>
      <c r="Q80" s="45">
        <v>0</v>
      </c>
      <c r="R80" s="45">
        <v>0.9529964376734521</v>
      </c>
      <c r="S80" s="45">
        <v>2.2022298175234178</v>
      </c>
      <c r="T80" s="45">
        <v>0</v>
      </c>
      <c r="U80" s="45">
        <v>9.5525393811912522</v>
      </c>
      <c r="V80" s="45" t="s">
        <v>607</v>
      </c>
      <c r="W80" s="45" t="s">
        <v>607</v>
      </c>
      <c r="X80" s="45" t="s">
        <v>607</v>
      </c>
      <c r="Y80" s="45" t="s">
        <v>607</v>
      </c>
      <c r="Z80" s="45">
        <v>0</v>
      </c>
      <c r="AA80" s="45">
        <v>0</v>
      </c>
      <c r="AB80" s="45">
        <v>0</v>
      </c>
      <c r="AC80" s="45">
        <v>0</v>
      </c>
      <c r="AD80" s="45">
        <v>0</v>
      </c>
      <c r="AE80" s="45">
        <v>0</v>
      </c>
      <c r="AF80" s="45">
        <v>0</v>
      </c>
      <c r="AG80" s="45">
        <v>0</v>
      </c>
      <c r="AH80" s="45">
        <v>0.9529964376734521</v>
      </c>
      <c r="AI80" s="45">
        <v>2.2022298175234178</v>
      </c>
      <c r="AJ80" s="45">
        <v>0</v>
      </c>
      <c r="AK80" s="45">
        <v>9.5525393811912522</v>
      </c>
      <c r="AL80" s="45">
        <v>12.707765636388121</v>
      </c>
      <c r="AM80" s="45">
        <v>143.33130328699843</v>
      </c>
      <c r="AN80" s="45">
        <v>24.66357153589102</v>
      </c>
      <c r="AO80" s="45">
        <v>0</v>
      </c>
      <c r="AP80" s="45">
        <v>0</v>
      </c>
      <c r="AQ80" s="45">
        <v>167.99487482288944</v>
      </c>
      <c r="AR80" s="45">
        <v>0.9529964376734521</v>
      </c>
      <c r="AS80" s="199">
        <v>176.28069547984347</v>
      </c>
      <c r="AT80" s="45">
        <v>143.33130328699843</v>
      </c>
      <c r="AU80" s="45">
        <v>29.194322655373931</v>
      </c>
      <c r="AV80" s="45">
        <v>0</v>
      </c>
      <c r="AW80" s="45">
        <v>0</v>
      </c>
      <c r="AX80" s="45">
        <v>172.52562594237236</v>
      </c>
      <c r="AY80" s="45">
        <v>2.2022298175234178</v>
      </c>
      <c r="AZ80" s="199">
        <v>78.341335935770374</v>
      </c>
      <c r="BA80" s="45">
        <v>143.33130328699843</v>
      </c>
      <c r="BB80" s="45">
        <v>53.857894191264947</v>
      </c>
      <c r="BC80" s="45">
        <v>0</v>
      </c>
      <c r="BD80" s="45">
        <v>0</v>
      </c>
      <c r="BE80" s="45">
        <v>197.18919747826337</v>
      </c>
      <c r="BF80" s="45">
        <v>3.1552262551968697</v>
      </c>
      <c r="BG80" s="45">
        <v>-12.4760323309236</v>
      </c>
      <c r="BH80" s="199">
        <v>62.496056234788078</v>
      </c>
      <c r="BI80" s="45">
        <v>0.23449681943089945</v>
      </c>
      <c r="BJ80" s="45">
        <v>0.54188648293991148</v>
      </c>
      <c r="BK80" s="45">
        <v>0</v>
      </c>
      <c r="BL80" s="45">
        <v>2.350523059505202</v>
      </c>
      <c r="BM80" s="45">
        <v>3.1269063618760127</v>
      </c>
      <c r="BN80" s="45">
        <v>143.33130328699843</v>
      </c>
      <c r="BO80" s="45">
        <v>0</v>
      </c>
      <c r="BP80" s="45">
        <v>53.857894191264947</v>
      </c>
      <c r="BQ80" s="45">
        <v>0</v>
      </c>
      <c r="BR80" s="45">
        <v>0</v>
      </c>
      <c r="BS80" s="45">
        <v>0</v>
      </c>
      <c r="BT80" s="45">
        <v>0</v>
      </c>
      <c r="BU80" s="45">
        <v>0</v>
      </c>
      <c r="BV80" s="45">
        <v>0</v>
      </c>
      <c r="BW80" s="45">
        <v>0</v>
      </c>
      <c r="BX80" s="45">
        <v>12.707765636388121</v>
      </c>
      <c r="BY80" s="45"/>
      <c r="BZ80" s="45">
        <v>0</v>
      </c>
      <c r="CA80" s="45">
        <v>0</v>
      </c>
      <c r="CB80" s="45">
        <v>197.18919747826337</v>
      </c>
      <c r="CC80" s="45">
        <v>12.707765636388121</v>
      </c>
      <c r="CD80" s="199">
        <v>15.5172201880731</v>
      </c>
      <c r="CE80" s="45">
        <v>-10.125509271418398</v>
      </c>
      <c r="CF80" s="45">
        <v>2.8408558078566108</v>
      </c>
      <c r="CG80" s="45">
        <v>0</v>
      </c>
      <c r="CH80" s="45">
        <v>2.8408558078566108</v>
      </c>
      <c r="CI80" s="45">
        <v>0.14204241406255627</v>
      </c>
      <c r="CJ80" s="45">
        <v>0</v>
      </c>
      <c r="CK80" s="45">
        <v>0.14204241406255627</v>
      </c>
      <c r="CL80" s="45"/>
      <c r="CM80" s="45">
        <v>0</v>
      </c>
      <c r="CN80" s="45"/>
      <c r="CO80" s="45">
        <v>0</v>
      </c>
      <c r="CP80" s="45">
        <v>0</v>
      </c>
      <c r="CQ80" s="45">
        <v>0</v>
      </c>
      <c r="CR80" s="45">
        <v>0</v>
      </c>
      <c r="CS80" s="45">
        <v>0</v>
      </c>
      <c r="CT80" s="45">
        <v>0</v>
      </c>
      <c r="CU80" s="45">
        <v>0</v>
      </c>
      <c r="CV80" s="45">
        <v>9999</v>
      </c>
      <c r="CW80" s="199">
        <v>9999</v>
      </c>
      <c r="CX80" s="24"/>
      <c r="CY80" s="24"/>
      <c r="CZ80" s="24"/>
      <c r="DA80" s="24"/>
      <c r="DB80" s="24"/>
      <c r="DC80" s="24"/>
      <c r="DD80" s="24"/>
      <c r="DE80" s="24"/>
      <c r="DF80" s="24"/>
      <c r="DG80" s="24"/>
      <c r="DH80" s="24"/>
      <c r="DI80" s="24"/>
      <c r="DJ80" s="24"/>
      <c r="DK80" s="24"/>
      <c r="DL80" s="24"/>
      <c r="DM80" s="24"/>
      <c r="DN80" s="24"/>
      <c r="DO80" s="24"/>
      <c r="DP80" s="24"/>
      <c r="DQ80" s="24"/>
      <c r="DR80" s="24"/>
      <c r="DS80" s="24"/>
      <c r="DT80" s="24"/>
      <c r="DU80" s="24"/>
      <c r="DV80" s="24"/>
      <c r="DW80" s="24"/>
      <c r="DX80" s="24"/>
      <c r="DY80" s="24"/>
      <c r="DZ80" s="24"/>
      <c r="EA80" s="24"/>
    </row>
    <row r="81" spans="1:131">
      <c r="A81" s="24" t="s">
        <v>419</v>
      </c>
      <c r="B81" s="24" t="s">
        <v>628</v>
      </c>
      <c r="C81" s="45">
        <v>13.953488372093023</v>
      </c>
      <c r="D81" s="45">
        <v>640.16615646258492</v>
      </c>
      <c r="E81" s="45">
        <v>0</v>
      </c>
      <c r="F81" s="45">
        <v>210.259506250687</v>
      </c>
      <c r="G81" s="45">
        <v>0</v>
      </c>
      <c r="H81" s="45">
        <v>0</v>
      </c>
      <c r="I81" s="45" t="s">
        <v>368</v>
      </c>
      <c r="J81" s="45"/>
      <c r="K81" s="45"/>
      <c r="L81" s="45">
        <v>686.32071762629175</v>
      </c>
      <c r="M81" s="45">
        <v>0.16019737940211778</v>
      </c>
      <c r="N81" s="45">
        <v>0.15904114655707932</v>
      </c>
      <c r="O81" s="45">
        <v>0</v>
      </c>
      <c r="P81" s="45">
        <v>0</v>
      </c>
      <c r="Q81" s="45">
        <v>0</v>
      </c>
      <c r="R81" s="45">
        <v>41.928554298457968</v>
      </c>
      <c r="S81" s="45">
        <v>96.890511686627306</v>
      </c>
      <c r="T81" s="45">
        <v>0</v>
      </c>
      <c r="U81" s="45">
        <v>157.27459205833949</v>
      </c>
      <c r="V81" s="45" t="s">
        <v>607</v>
      </c>
      <c r="W81" s="45" t="s">
        <v>607</v>
      </c>
      <c r="X81" s="45" t="s">
        <v>607</v>
      </c>
      <c r="Y81" s="45" t="s">
        <v>607</v>
      </c>
      <c r="Z81" s="45">
        <v>0</v>
      </c>
      <c r="AA81" s="45">
        <v>0</v>
      </c>
      <c r="AB81" s="45">
        <v>0</v>
      </c>
      <c r="AC81" s="45">
        <v>0</v>
      </c>
      <c r="AD81" s="45">
        <v>0</v>
      </c>
      <c r="AE81" s="45">
        <v>0</v>
      </c>
      <c r="AF81" s="45">
        <v>0</v>
      </c>
      <c r="AG81" s="45">
        <v>0</v>
      </c>
      <c r="AH81" s="45">
        <v>41.928554298457968</v>
      </c>
      <c r="AI81" s="45">
        <v>96.890511686627306</v>
      </c>
      <c r="AJ81" s="45">
        <v>0</v>
      </c>
      <c r="AK81" s="45">
        <v>157.27459205833949</v>
      </c>
      <c r="AL81" s="45">
        <v>296.09365804342474</v>
      </c>
      <c r="AM81" s="45">
        <v>328.96047775763333</v>
      </c>
      <c r="AN81" s="45">
        <v>56.605501307768009</v>
      </c>
      <c r="AO81" s="45">
        <v>0</v>
      </c>
      <c r="AP81" s="45">
        <v>0</v>
      </c>
      <c r="AQ81" s="45">
        <v>385.56597906540134</v>
      </c>
      <c r="AR81" s="45">
        <v>41.928554298457968</v>
      </c>
      <c r="AS81" s="199">
        <v>9.1957851997673465</v>
      </c>
      <c r="AT81" s="45">
        <v>328.96047775763333</v>
      </c>
      <c r="AU81" s="45">
        <v>67.004053603644792</v>
      </c>
      <c r="AV81" s="45">
        <v>0</v>
      </c>
      <c r="AW81" s="45">
        <v>0</v>
      </c>
      <c r="AX81" s="45">
        <v>395.96453136127809</v>
      </c>
      <c r="AY81" s="45">
        <v>96.890511686627306</v>
      </c>
      <c r="AZ81" s="199">
        <v>4.0867214391636715</v>
      </c>
      <c r="BA81" s="45">
        <v>328.96047775763333</v>
      </c>
      <c r="BB81" s="45">
        <v>123.6095549114128</v>
      </c>
      <c r="BC81" s="45">
        <v>0</v>
      </c>
      <c r="BD81" s="45">
        <v>0</v>
      </c>
      <c r="BE81" s="45">
        <v>452.5700326690461</v>
      </c>
      <c r="BF81" s="45">
        <v>138.81906598508527</v>
      </c>
      <c r="BG81" s="45">
        <v>1.6306406286468385</v>
      </c>
      <c r="BH81" s="199">
        <v>3.2601431904005911</v>
      </c>
      <c r="BI81" s="45">
        <v>4.495240103926748</v>
      </c>
      <c r="BJ81" s="45">
        <v>10.387816158014507</v>
      </c>
      <c r="BK81" s="45">
        <v>0</v>
      </c>
      <c r="BL81" s="45">
        <v>16.86170833644432</v>
      </c>
      <c r="BM81" s="45">
        <v>31.744764598385569</v>
      </c>
      <c r="BN81" s="45">
        <v>328.96047775763333</v>
      </c>
      <c r="BO81" s="45">
        <v>0</v>
      </c>
      <c r="BP81" s="45">
        <v>123.6095549114128</v>
      </c>
      <c r="BQ81" s="45">
        <v>0</v>
      </c>
      <c r="BR81" s="45">
        <v>0</v>
      </c>
      <c r="BS81" s="45">
        <v>0</v>
      </c>
      <c r="BT81" s="45">
        <v>0</v>
      </c>
      <c r="BU81" s="45">
        <v>0</v>
      </c>
      <c r="BV81" s="45">
        <v>0</v>
      </c>
      <c r="BW81" s="45">
        <v>0</v>
      </c>
      <c r="BX81" s="45">
        <v>296.09365804342474</v>
      </c>
      <c r="BY81" s="45"/>
      <c r="BZ81" s="45">
        <v>0</v>
      </c>
      <c r="CA81" s="45">
        <v>0</v>
      </c>
      <c r="CB81" s="45">
        <v>452.5700326690461</v>
      </c>
      <c r="CC81" s="45">
        <v>296.09365804342474</v>
      </c>
      <c r="CD81" s="199">
        <v>1.5284691866067348</v>
      </c>
      <c r="CE81" s="45">
        <v>18.492348965091153</v>
      </c>
      <c r="CF81" s="45">
        <v>6.5200640918042199</v>
      </c>
      <c r="CG81" s="45">
        <v>0</v>
      </c>
      <c r="CH81" s="45">
        <v>6.5200640918042199</v>
      </c>
      <c r="CI81" s="45">
        <v>0.32600234087248869</v>
      </c>
      <c r="CJ81" s="45">
        <v>0</v>
      </c>
      <c r="CK81" s="45">
        <v>0.32600234087248869</v>
      </c>
      <c r="CL81" s="45"/>
      <c r="CM81" s="45">
        <v>0</v>
      </c>
      <c r="CN81" s="45"/>
      <c r="CO81" s="45">
        <v>0</v>
      </c>
      <c r="CP81" s="45">
        <v>0</v>
      </c>
      <c r="CQ81" s="45">
        <v>0</v>
      </c>
      <c r="CR81" s="45">
        <v>0</v>
      </c>
      <c r="CS81" s="45">
        <v>0</v>
      </c>
      <c r="CT81" s="45">
        <v>0</v>
      </c>
      <c r="CU81" s="45">
        <v>0</v>
      </c>
      <c r="CV81" s="45">
        <v>9999</v>
      </c>
      <c r="CW81" s="199">
        <v>9999</v>
      </c>
      <c r="CX81" s="24"/>
      <c r="CY81" s="24"/>
      <c r="CZ81" s="24"/>
      <c r="DA81" s="24"/>
      <c r="DB81" s="24"/>
      <c r="DC81" s="24"/>
      <c r="DD81" s="24"/>
      <c r="DE81" s="24"/>
      <c r="DF81" s="24"/>
      <c r="DG81" s="24"/>
      <c r="DH81" s="24"/>
      <c r="DI81" s="24"/>
      <c r="DJ81" s="24"/>
      <c r="DK81" s="24"/>
      <c r="DL81" s="24"/>
      <c r="DM81" s="24"/>
      <c r="DN81" s="24"/>
      <c r="DO81" s="24"/>
      <c r="DP81" s="24"/>
      <c r="DQ81" s="24"/>
      <c r="DR81" s="24"/>
      <c r="DS81" s="24"/>
      <c r="DT81" s="24"/>
      <c r="DU81" s="24"/>
      <c r="DV81" s="24"/>
      <c r="DW81" s="24"/>
      <c r="DX81" s="24"/>
      <c r="DY81" s="24"/>
      <c r="DZ81" s="24"/>
      <c r="EA81" s="24"/>
    </row>
    <row r="82" spans="1:131">
      <c r="A82" s="24" t="s">
        <v>436</v>
      </c>
      <c r="B82" s="24" t="s">
        <v>629</v>
      </c>
      <c r="C82" s="45">
        <v>6.6762790697674417</v>
      </c>
      <c r="D82" s="45">
        <v>68.226666666666659</v>
      </c>
      <c r="E82" s="45">
        <v>0</v>
      </c>
      <c r="F82" s="45">
        <v>30.451059986919489</v>
      </c>
      <c r="G82" s="45">
        <v>0</v>
      </c>
      <c r="H82" s="45">
        <v>0</v>
      </c>
      <c r="I82" s="45" t="s">
        <v>368</v>
      </c>
      <c r="J82" s="45"/>
      <c r="K82" s="45"/>
      <c r="L82" s="45">
        <v>73.145658131418585</v>
      </c>
      <c r="M82" s="45">
        <v>1.7073275578542112E-2</v>
      </c>
      <c r="N82" s="45">
        <v>1.6950048331816986E-2</v>
      </c>
      <c r="O82" s="45">
        <v>0</v>
      </c>
      <c r="P82" s="45">
        <v>0</v>
      </c>
      <c r="Q82" s="45">
        <v>0</v>
      </c>
      <c r="R82" s="45">
        <v>6.0723481419427285</v>
      </c>
      <c r="S82" s="45">
        <v>14.032272957090957</v>
      </c>
      <c r="T82" s="45">
        <v>0</v>
      </c>
      <c r="U82" s="45">
        <v>60.867325909236541</v>
      </c>
      <c r="V82" s="45" t="s">
        <v>607</v>
      </c>
      <c r="W82" s="45" t="s">
        <v>607</v>
      </c>
      <c r="X82" s="45" t="s">
        <v>607</v>
      </c>
      <c r="Y82" s="45" t="s">
        <v>607</v>
      </c>
      <c r="Z82" s="45">
        <v>0</v>
      </c>
      <c r="AA82" s="45">
        <v>0</v>
      </c>
      <c r="AB82" s="45">
        <v>0</v>
      </c>
      <c r="AC82" s="45">
        <v>0</v>
      </c>
      <c r="AD82" s="45">
        <v>0</v>
      </c>
      <c r="AE82" s="45">
        <v>0</v>
      </c>
      <c r="AF82" s="45">
        <v>0</v>
      </c>
      <c r="AG82" s="45">
        <v>0</v>
      </c>
      <c r="AH82" s="45">
        <v>6.0723481419427285</v>
      </c>
      <c r="AI82" s="45">
        <v>14.032272957090957</v>
      </c>
      <c r="AJ82" s="45">
        <v>0</v>
      </c>
      <c r="AK82" s="45">
        <v>60.867325909236541</v>
      </c>
      <c r="AL82" s="45">
        <v>80.971947008270234</v>
      </c>
      <c r="AM82" s="45">
        <v>35.059455480272995</v>
      </c>
      <c r="AN82" s="45">
        <v>6.0328160591388107</v>
      </c>
      <c r="AO82" s="45">
        <v>0</v>
      </c>
      <c r="AP82" s="45">
        <v>0</v>
      </c>
      <c r="AQ82" s="45">
        <v>41.092271539411804</v>
      </c>
      <c r="AR82" s="45">
        <v>6.0723481419427285</v>
      </c>
      <c r="AS82" s="199">
        <v>6.7671139036941215</v>
      </c>
      <c r="AT82" s="45">
        <v>35.059455480272995</v>
      </c>
      <c r="AU82" s="45">
        <v>7.141057340163405</v>
      </c>
      <c r="AV82" s="45">
        <v>0</v>
      </c>
      <c r="AW82" s="45">
        <v>0</v>
      </c>
      <c r="AX82" s="45">
        <v>42.200512820436401</v>
      </c>
      <c r="AY82" s="45">
        <v>14.032272957090957</v>
      </c>
      <c r="AZ82" s="199">
        <v>3.0073896758907566</v>
      </c>
      <c r="BA82" s="45">
        <v>35.059455480272995</v>
      </c>
      <c r="BB82" s="45">
        <v>13.173873399302217</v>
      </c>
      <c r="BC82" s="45">
        <v>0</v>
      </c>
      <c r="BD82" s="45">
        <v>0</v>
      </c>
      <c r="BE82" s="45">
        <v>48.233328879575211</v>
      </c>
      <c r="BF82" s="45">
        <v>20.104621099033686</v>
      </c>
      <c r="BG82" s="45">
        <v>6.9720686074913738</v>
      </c>
      <c r="BH82" s="199">
        <v>2.3991165335562337</v>
      </c>
      <c r="BI82" s="45">
        <v>6.108551297551605</v>
      </c>
      <c r="BJ82" s="45">
        <v>14.115932943234185</v>
      </c>
      <c r="BK82" s="45">
        <v>0</v>
      </c>
      <c r="BL82" s="45">
        <v>61.230215061814555</v>
      </c>
      <c r="BM82" s="45">
        <v>81.454699302600346</v>
      </c>
      <c r="BN82" s="45">
        <v>35.059455480272995</v>
      </c>
      <c r="BO82" s="45">
        <v>0</v>
      </c>
      <c r="BP82" s="45">
        <v>13.173873399302217</v>
      </c>
      <c r="BQ82" s="45">
        <v>0</v>
      </c>
      <c r="BR82" s="45">
        <v>0</v>
      </c>
      <c r="BS82" s="45">
        <v>0</v>
      </c>
      <c r="BT82" s="45">
        <v>0</v>
      </c>
      <c r="BU82" s="45">
        <v>0</v>
      </c>
      <c r="BV82" s="45">
        <v>0</v>
      </c>
      <c r="BW82" s="45">
        <v>0</v>
      </c>
      <c r="BX82" s="45">
        <v>80.971947008270234</v>
      </c>
      <c r="BY82" s="45"/>
      <c r="BZ82" s="45">
        <v>0</v>
      </c>
      <c r="CA82" s="45">
        <v>0</v>
      </c>
      <c r="CB82" s="45">
        <v>48.233328879575211</v>
      </c>
      <c r="CC82" s="45">
        <v>80.971947008270234</v>
      </c>
      <c r="CD82" s="200">
        <v>0.59567949965003064</v>
      </c>
      <c r="CE82" s="45">
        <v>68.202283669305942</v>
      </c>
      <c r="CF82" s="45">
        <v>0.69488559328866673</v>
      </c>
      <c r="CG82" s="45">
        <v>0</v>
      </c>
      <c r="CH82" s="45">
        <v>0.69488559328866673</v>
      </c>
      <c r="CI82" s="45">
        <v>3.4744187612423837E-2</v>
      </c>
      <c r="CJ82" s="45">
        <v>0</v>
      </c>
      <c r="CK82" s="45">
        <v>3.4744187612423837E-2</v>
      </c>
      <c r="CL82" s="45"/>
      <c r="CM82" s="45">
        <v>0</v>
      </c>
      <c r="CN82" s="45"/>
      <c r="CO82" s="45">
        <v>0</v>
      </c>
      <c r="CP82" s="45">
        <v>0</v>
      </c>
      <c r="CQ82" s="45">
        <v>0</v>
      </c>
      <c r="CR82" s="45">
        <v>0</v>
      </c>
      <c r="CS82" s="45">
        <v>0</v>
      </c>
      <c r="CT82" s="45">
        <v>0</v>
      </c>
      <c r="CU82" s="45">
        <v>0</v>
      </c>
      <c r="CV82" s="45">
        <v>9999</v>
      </c>
      <c r="CW82" s="199">
        <v>9999</v>
      </c>
      <c r="CX82" s="24"/>
      <c r="CY82" s="24"/>
      <c r="CZ82" s="24"/>
      <c r="DA82" s="24"/>
      <c r="DB82" s="24"/>
      <c r="DC82" s="24"/>
      <c r="DD82" s="24"/>
      <c r="DE82" s="24"/>
      <c r="DF82" s="24"/>
      <c r="DG82" s="24"/>
      <c r="DH82" s="24"/>
      <c r="DI82" s="24"/>
      <c r="DJ82" s="24"/>
      <c r="DK82" s="24"/>
      <c r="DL82" s="24"/>
      <c r="DM82" s="24"/>
      <c r="DN82" s="24"/>
      <c r="DO82" s="24"/>
      <c r="DP82" s="24"/>
      <c r="DQ82" s="24"/>
      <c r="DR82" s="24"/>
      <c r="DS82" s="24"/>
      <c r="DT82" s="24"/>
      <c r="DU82" s="24"/>
      <c r="DV82" s="24"/>
      <c r="DW82" s="24"/>
      <c r="DX82" s="24"/>
      <c r="DY82" s="24"/>
      <c r="DZ82" s="24"/>
      <c r="EA82" s="24"/>
    </row>
    <row r="83" spans="1:131">
      <c r="A83" s="24" t="s">
        <v>422</v>
      </c>
      <c r="B83" s="24" t="s">
        <v>630</v>
      </c>
      <c r="C83" s="45">
        <v>6.6762790697674417</v>
      </c>
      <c r="D83" s="45">
        <v>278.92666666666668</v>
      </c>
      <c r="E83" s="45">
        <v>0</v>
      </c>
      <c r="F83" s="45">
        <v>30.451059986919489</v>
      </c>
      <c r="G83" s="45">
        <v>0</v>
      </c>
      <c r="H83" s="45">
        <v>0</v>
      </c>
      <c r="I83" s="45" t="s">
        <v>368</v>
      </c>
      <c r="J83" s="45"/>
      <c r="K83" s="45"/>
      <c r="L83" s="45">
        <v>299.03666118432898</v>
      </c>
      <c r="M83" s="45">
        <v>6.9799567806392765E-2</v>
      </c>
      <c r="N83" s="45">
        <v>6.9295785827134165E-2</v>
      </c>
      <c r="O83" s="45">
        <v>0</v>
      </c>
      <c r="P83" s="45">
        <v>0</v>
      </c>
      <c r="Q83" s="45">
        <v>0</v>
      </c>
      <c r="R83" s="45">
        <v>6.0723481419427285</v>
      </c>
      <c r="S83" s="45">
        <v>14.032272957090957</v>
      </c>
      <c r="T83" s="45">
        <v>0</v>
      </c>
      <c r="U83" s="45">
        <v>60.867325909236541</v>
      </c>
      <c r="V83" s="45" t="s">
        <v>607</v>
      </c>
      <c r="W83" s="45" t="s">
        <v>607</v>
      </c>
      <c r="X83" s="45" t="s">
        <v>607</v>
      </c>
      <c r="Y83" s="45" t="s">
        <v>607</v>
      </c>
      <c r="Z83" s="45">
        <v>0</v>
      </c>
      <c r="AA83" s="45">
        <v>0</v>
      </c>
      <c r="AB83" s="45">
        <v>0</v>
      </c>
      <c r="AC83" s="45">
        <v>0</v>
      </c>
      <c r="AD83" s="45">
        <v>0</v>
      </c>
      <c r="AE83" s="45">
        <v>0</v>
      </c>
      <c r="AF83" s="45">
        <v>0</v>
      </c>
      <c r="AG83" s="45">
        <v>0</v>
      </c>
      <c r="AH83" s="45">
        <v>6.0723481419427285</v>
      </c>
      <c r="AI83" s="45">
        <v>14.032272957090957</v>
      </c>
      <c r="AJ83" s="45">
        <v>0</v>
      </c>
      <c r="AK83" s="45">
        <v>60.867325909236541</v>
      </c>
      <c r="AL83" s="45">
        <v>80.971947008270234</v>
      </c>
      <c r="AM83" s="45">
        <v>143.33130328699843</v>
      </c>
      <c r="AN83" s="45">
        <v>24.66357153589102</v>
      </c>
      <c r="AO83" s="45">
        <v>0</v>
      </c>
      <c r="AP83" s="45">
        <v>0</v>
      </c>
      <c r="AQ83" s="45">
        <v>167.99487482288944</v>
      </c>
      <c r="AR83" s="45">
        <v>6.0723481419427285</v>
      </c>
      <c r="AS83" s="199">
        <v>27.665553900396556</v>
      </c>
      <c r="AT83" s="45">
        <v>143.33130328699843</v>
      </c>
      <c r="AU83" s="45">
        <v>29.194322655373931</v>
      </c>
      <c r="AV83" s="45">
        <v>0</v>
      </c>
      <c r="AW83" s="45">
        <v>0</v>
      </c>
      <c r="AX83" s="45">
        <v>172.52562594237236</v>
      </c>
      <c r="AY83" s="45">
        <v>14.032272957090957</v>
      </c>
      <c r="AZ83" s="199">
        <v>12.294916616141624</v>
      </c>
      <c r="BA83" s="45">
        <v>143.33130328699843</v>
      </c>
      <c r="BB83" s="45">
        <v>53.857894191264947</v>
      </c>
      <c r="BC83" s="45">
        <v>0</v>
      </c>
      <c r="BD83" s="45">
        <v>0</v>
      </c>
      <c r="BE83" s="45">
        <v>197.18919747826337</v>
      </c>
      <c r="BF83" s="45">
        <v>20.104621099033686</v>
      </c>
      <c r="BG83" s="45">
        <v>-8.3054194880662333</v>
      </c>
      <c r="BH83" s="199">
        <v>9.8081528871857788</v>
      </c>
      <c r="BI83" s="45">
        <v>1.4941780152284501</v>
      </c>
      <c r="BJ83" s="45">
        <v>3.452818129999728</v>
      </c>
      <c r="BK83" s="45">
        <v>0</v>
      </c>
      <c r="BL83" s="45">
        <v>14.977174907206436</v>
      </c>
      <c r="BM83" s="45">
        <v>19.924171052434616</v>
      </c>
      <c r="BN83" s="45">
        <v>143.33130328699843</v>
      </c>
      <c r="BO83" s="45">
        <v>0</v>
      </c>
      <c r="BP83" s="45">
        <v>53.857894191264947</v>
      </c>
      <c r="BQ83" s="45">
        <v>0</v>
      </c>
      <c r="BR83" s="45">
        <v>0</v>
      </c>
      <c r="BS83" s="45">
        <v>0</v>
      </c>
      <c r="BT83" s="45">
        <v>0</v>
      </c>
      <c r="BU83" s="45">
        <v>0</v>
      </c>
      <c r="BV83" s="45">
        <v>0</v>
      </c>
      <c r="BW83" s="45">
        <v>0</v>
      </c>
      <c r="BX83" s="45">
        <v>80.971947008270234</v>
      </c>
      <c r="BY83" s="45"/>
      <c r="BZ83" s="45">
        <v>0</v>
      </c>
      <c r="CA83" s="45">
        <v>0</v>
      </c>
      <c r="CB83" s="45">
        <v>197.18919747826337</v>
      </c>
      <c r="CC83" s="45">
        <v>80.971947008270234</v>
      </c>
      <c r="CD83" s="199">
        <v>2.4352779544515961</v>
      </c>
      <c r="CE83" s="45">
        <v>6.6717554191402026</v>
      </c>
      <c r="CF83" s="45">
        <v>2.8408558078566108</v>
      </c>
      <c r="CG83" s="45">
        <v>0</v>
      </c>
      <c r="CH83" s="45">
        <v>2.8408558078566108</v>
      </c>
      <c r="CI83" s="45">
        <v>0.14204241406255627</v>
      </c>
      <c r="CJ83" s="45">
        <v>0</v>
      </c>
      <c r="CK83" s="45">
        <v>0.14204241406255627</v>
      </c>
      <c r="CL83" s="45"/>
      <c r="CM83" s="45">
        <v>0</v>
      </c>
      <c r="CN83" s="45"/>
      <c r="CO83" s="45">
        <v>0</v>
      </c>
      <c r="CP83" s="45">
        <v>0</v>
      </c>
      <c r="CQ83" s="45">
        <v>0</v>
      </c>
      <c r="CR83" s="45">
        <v>0</v>
      </c>
      <c r="CS83" s="45">
        <v>0</v>
      </c>
      <c r="CT83" s="45">
        <v>0</v>
      </c>
      <c r="CU83" s="45">
        <v>0</v>
      </c>
      <c r="CV83" s="45">
        <v>9999</v>
      </c>
      <c r="CW83" s="199">
        <v>9999</v>
      </c>
      <c r="CX83" s="24"/>
      <c r="CY83" s="24"/>
      <c r="CZ83" s="24"/>
      <c r="DA83" s="24"/>
      <c r="DB83" s="24"/>
      <c r="DC83" s="24"/>
      <c r="DD83" s="24"/>
      <c r="DE83" s="24"/>
      <c r="DF83" s="24"/>
      <c r="DG83" s="24"/>
      <c r="DH83" s="24"/>
      <c r="DI83" s="24"/>
      <c r="DJ83" s="24"/>
      <c r="DK83" s="24"/>
      <c r="DL83" s="24"/>
      <c r="DM83" s="24"/>
      <c r="DN83" s="24"/>
      <c r="DO83" s="24"/>
      <c r="DP83" s="24"/>
      <c r="DQ83" s="24"/>
      <c r="DR83" s="24"/>
      <c r="DS83" s="24"/>
      <c r="DT83" s="24"/>
      <c r="DU83" s="24"/>
      <c r="DV83" s="24"/>
      <c r="DW83" s="24"/>
      <c r="DX83" s="24"/>
      <c r="DY83" s="24"/>
      <c r="DZ83" s="24"/>
      <c r="EA83" s="24"/>
    </row>
    <row r="84" spans="1:131">
      <c r="A84" s="24"/>
      <c r="B84" s="24"/>
      <c r="C84" s="45"/>
      <c r="D84" s="45"/>
      <c r="E84" s="45"/>
      <c r="F84" s="45"/>
      <c r="G84" s="45"/>
      <c r="H84" s="45"/>
      <c r="I84" s="45"/>
      <c r="J84" s="45"/>
      <c r="K84" s="45"/>
      <c r="L84" s="45"/>
      <c r="M84" s="45"/>
      <c r="N84" s="45"/>
      <c r="O84" s="45"/>
      <c r="P84" s="45"/>
      <c r="Q84" s="45"/>
      <c r="R84" s="45"/>
      <c r="S84" s="45"/>
      <c r="T84" s="45"/>
      <c r="U84" s="45"/>
      <c r="V84" s="45"/>
      <c r="W84" s="45"/>
      <c r="X84" s="45"/>
      <c r="Y84" s="45"/>
      <c r="Z84" s="45"/>
      <c r="AA84" s="45"/>
      <c r="AB84" s="45"/>
      <c r="AC84" s="45"/>
      <c r="AD84" s="45"/>
      <c r="AE84" s="45"/>
      <c r="AF84" s="45"/>
      <c r="AG84" s="45"/>
      <c r="AH84" s="45"/>
      <c r="AI84" s="45"/>
      <c r="AJ84" s="45"/>
      <c r="AK84" s="45"/>
      <c r="AL84" s="45"/>
      <c r="AM84" s="45"/>
      <c r="AN84" s="45"/>
      <c r="AO84" s="45"/>
      <c r="AP84" s="45"/>
      <c r="AQ84" s="45"/>
      <c r="AR84" s="45"/>
      <c r="AS84" s="45"/>
      <c r="AT84" s="45"/>
      <c r="AU84" s="45"/>
      <c r="AV84" s="45"/>
      <c r="AW84" s="45"/>
      <c r="AX84" s="45"/>
      <c r="AY84" s="45"/>
      <c r="AZ84" s="45"/>
      <c r="BA84" s="45"/>
      <c r="BB84" s="45"/>
      <c r="BC84" s="45"/>
      <c r="BD84" s="45"/>
      <c r="BE84" s="45"/>
      <c r="BF84" s="45"/>
      <c r="BG84" s="45"/>
      <c r="BH84" s="45"/>
      <c r="BI84" s="45"/>
      <c r="BJ84" s="45"/>
      <c r="BK84" s="45"/>
      <c r="BL84" s="45"/>
      <c r="BM84" s="45"/>
      <c r="BN84" s="45"/>
      <c r="BO84" s="45"/>
      <c r="BP84" s="45"/>
      <c r="BQ84" s="45"/>
      <c r="BR84" s="45"/>
      <c r="BS84" s="45"/>
      <c r="BT84" s="45"/>
      <c r="BU84" s="45"/>
      <c r="BV84" s="45"/>
      <c r="BW84" s="45"/>
      <c r="BX84" s="45"/>
      <c r="BY84" s="45"/>
      <c r="BZ84" s="45"/>
      <c r="CA84" s="45"/>
      <c r="CB84" s="45"/>
      <c r="CC84" s="45"/>
      <c r="CD84" s="45"/>
      <c r="CE84" s="45"/>
      <c r="CF84" s="45"/>
      <c r="CG84" s="45"/>
      <c r="CH84" s="45"/>
      <c r="CI84" s="45"/>
      <c r="CJ84" s="45"/>
      <c r="CK84" s="45"/>
      <c r="CL84" s="45"/>
      <c r="CM84" s="45"/>
      <c r="CN84" s="45"/>
      <c r="CO84" s="45"/>
      <c r="CP84" s="45"/>
      <c r="CQ84" s="45"/>
      <c r="CR84" s="45"/>
      <c r="CS84" s="45"/>
      <c r="CT84" s="45"/>
      <c r="CU84" s="45"/>
      <c r="CV84" s="45"/>
      <c r="CW84" s="45"/>
      <c r="CX84" s="24"/>
      <c r="CY84" s="24"/>
      <c r="CZ84" s="24"/>
      <c r="DA84" s="24"/>
      <c r="DB84" s="24"/>
      <c r="DC84" s="24"/>
      <c r="DD84" s="24"/>
      <c r="DE84" s="24"/>
      <c r="DF84" s="24"/>
      <c r="DG84" s="24"/>
      <c r="DH84" s="24"/>
      <c r="DI84" s="24"/>
      <c r="DJ84" s="24"/>
      <c r="DK84" s="24"/>
      <c r="DL84" s="24"/>
      <c r="DM84" s="24"/>
      <c r="DN84" s="24"/>
      <c r="DO84" s="24"/>
      <c r="DP84" s="24"/>
      <c r="DQ84" s="24"/>
      <c r="DR84" s="24"/>
      <c r="DS84" s="24"/>
      <c r="DT84" s="24"/>
      <c r="DU84" s="24"/>
      <c r="DV84" s="24"/>
      <c r="DW84" s="24"/>
      <c r="DX84" s="24"/>
      <c r="DY84" s="24"/>
      <c r="DZ84" s="24"/>
      <c r="EA84" s="24"/>
    </row>
    <row r="85" spans="1:131">
      <c r="A85" s="24"/>
      <c r="B85" s="24"/>
      <c r="C85" s="45"/>
      <c r="D85" s="45"/>
      <c r="E85" s="45"/>
      <c r="F85" s="45"/>
      <c r="G85" s="45"/>
      <c r="H85" s="45"/>
      <c r="I85" s="45"/>
      <c r="J85" s="45"/>
      <c r="K85" s="45"/>
      <c r="L85" s="45"/>
      <c r="M85" s="45"/>
      <c r="N85" s="45"/>
      <c r="O85" s="45"/>
      <c r="P85" s="45"/>
      <c r="Q85" s="45"/>
      <c r="R85" s="45"/>
      <c r="S85" s="45"/>
      <c r="T85" s="45"/>
      <c r="U85" s="45"/>
      <c r="V85" s="45"/>
      <c r="W85" s="45"/>
      <c r="X85" s="45"/>
      <c r="Y85" s="45"/>
      <c r="Z85" s="45"/>
      <c r="AA85" s="45"/>
      <c r="AB85" s="45"/>
      <c r="AC85" s="45"/>
      <c r="AD85" s="45"/>
      <c r="AE85" s="45"/>
      <c r="AF85" s="45"/>
      <c r="AG85" s="45"/>
      <c r="AH85" s="45"/>
      <c r="AI85" s="45"/>
      <c r="AJ85" s="45"/>
      <c r="AK85" s="45"/>
      <c r="AL85" s="45"/>
      <c r="AM85" s="45"/>
      <c r="AN85" s="45"/>
      <c r="AO85" s="45"/>
      <c r="AP85" s="45"/>
      <c r="AQ85" s="45"/>
      <c r="AR85" s="45"/>
      <c r="AS85" s="45"/>
      <c r="AT85" s="45"/>
      <c r="AU85" s="45"/>
      <c r="AV85" s="45"/>
      <c r="AW85" s="45"/>
      <c r="AX85" s="45"/>
      <c r="AY85" s="45"/>
      <c r="AZ85" s="45"/>
      <c r="BA85" s="45"/>
      <c r="BB85" s="45"/>
      <c r="BC85" s="45"/>
      <c r="BD85" s="45"/>
      <c r="BE85" s="45"/>
      <c r="BF85" s="45"/>
      <c r="BG85" s="45"/>
      <c r="BH85" s="45"/>
      <c r="BI85" s="45"/>
      <c r="BJ85" s="45"/>
      <c r="BK85" s="45"/>
      <c r="BL85" s="45"/>
      <c r="BM85" s="45"/>
      <c r="BN85" s="45"/>
      <c r="BO85" s="45"/>
      <c r="BP85" s="45"/>
      <c r="BQ85" s="45"/>
      <c r="BR85" s="45"/>
      <c r="BS85" s="45"/>
      <c r="BT85" s="45"/>
      <c r="BU85" s="45"/>
      <c r="BV85" s="45"/>
      <c r="BW85" s="45"/>
      <c r="BX85" s="45"/>
      <c r="BY85" s="45"/>
      <c r="BZ85" s="45"/>
      <c r="CA85" s="45"/>
      <c r="CB85" s="45"/>
      <c r="CC85" s="45"/>
      <c r="CD85" s="45"/>
      <c r="CE85" s="45"/>
      <c r="CF85" s="45"/>
      <c r="CG85" s="45"/>
      <c r="CH85" s="45"/>
      <c r="CI85" s="45"/>
      <c r="CJ85" s="45"/>
      <c r="CK85" s="45"/>
      <c r="CL85" s="45"/>
      <c r="CM85" s="45"/>
      <c r="CN85" s="45"/>
      <c r="CO85" s="45"/>
      <c r="CP85" s="45"/>
      <c r="CQ85" s="45"/>
      <c r="CR85" s="45"/>
      <c r="CS85" s="45"/>
      <c r="CT85" s="45"/>
      <c r="CU85" s="45"/>
      <c r="CV85" s="45"/>
      <c r="CW85" s="45"/>
      <c r="CX85" s="24"/>
      <c r="CY85" s="24"/>
      <c r="CZ85" s="24"/>
      <c r="DA85" s="24"/>
      <c r="DB85" s="24"/>
      <c r="DC85" s="24"/>
      <c r="DD85" s="24"/>
      <c r="DE85" s="24"/>
      <c r="DF85" s="24"/>
      <c r="DG85" s="24"/>
      <c r="DH85" s="24"/>
      <c r="DI85" s="24"/>
      <c r="DJ85" s="24"/>
      <c r="DK85" s="24"/>
      <c r="DL85" s="24"/>
      <c r="DM85" s="24"/>
      <c r="DN85" s="24"/>
      <c r="DO85" s="24"/>
      <c r="DP85" s="24"/>
      <c r="DQ85" s="24"/>
      <c r="DR85" s="24"/>
      <c r="DS85" s="24"/>
      <c r="DT85" s="24"/>
      <c r="DU85" s="24"/>
      <c r="DV85" s="24"/>
      <c r="DW85" s="24"/>
      <c r="DX85" s="24"/>
      <c r="DY85" s="24"/>
      <c r="DZ85" s="24"/>
      <c r="EA85" s="24"/>
    </row>
    <row r="86" spans="1:131" ht="13.5" thickBot="1">
      <c r="A86" s="187" t="s">
        <v>631</v>
      </c>
      <c r="B86" s="188"/>
      <c r="C86" s="45"/>
      <c r="D86" s="45"/>
      <c r="E86" s="45"/>
      <c r="F86" s="45"/>
      <c r="G86" s="45"/>
      <c r="H86" s="45"/>
      <c r="I86" s="45"/>
      <c r="J86" s="45"/>
      <c r="K86" s="45"/>
      <c r="L86" s="45"/>
      <c r="M86" s="45"/>
      <c r="N86" s="45"/>
      <c r="O86" s="45"/>
      <c r="P86" s="45"/>
      <c r="Q86" s="45"/>
      <c r="R86" s="45"/>
      <c r="S86" s="45"/>
      <c r="T86" s="45"/>
      <c r="U86" s="45"/>
      <c r="V86" s="45"/>
      <c r="W86" s="45"/>
      <c r="X86" s="45"/>
      <c r="Y86" s="45"/>
      <c r="Z86" s="45"/>
      <c r="AA86" s="45"/>
      <c r="AB86" s="45"/>
      <c r="AC86" s="45"/>
      <c r="AD86" s="45"/>
      <c r="AE86" s="45"/>
      <c r="AF86" s="45"/>
      <c r="AG86" s="45"/>
      <c r="AH86" s="45"/>
      <c r="AI86" s="45"/>
      <c r="AJ86" s="45"/>
      <c r="AK86" s="45"/>
      <c r="AL86" s="45"/>
      <c r="AM86" s="45"/>
      <c r="AN86" s="45"/>
      <c r="AO86" s="45"/>
      <c r="AP86" s="45"/>
      <c r="AQ86" s="45"/>
      <c r="AR86" s="45"/>
      <c r="AS86" s="45"/>
      <c r="AT86" s="45"/>
      <c r="AU86" s="45"/>
      <c r="AV86" s="45"/>
      <c r="AW86" s="45"/>
      <c r="AX86" s="45"/>
      <c r="AY86" s="45"/>
      <c r="AZ86" s="45"/>
      <c r="BA86" s="45"/>
      <c r="BB86" s="45"/>
      <c r="BC86" s="45"/>
      <c r="BD86" s="45"/>
      <c r="BE86" s="45"/>
      <c r="BF86" s="45"/>
      <c r="BG86" s="45"/>
      <c r="BH86" s="45"/>
      <c r="BI86" s="45"/>
      <c r="BJ86" s="45"/>
      <c r="BK86" s="45"/>
      <c r="BL86" s="45"/>
      <c r="BM86" s="45"/>
      <c r="BN86" s="45"/>
      <c r="BO86" s="45"/>
      <c r="BP86" s="45"/>
      <c r="BQ86" s="45"/>
      <c r="BR86" s="45"/>
      <c r="BS86" s="45"/>
      <c r="BT86" s="45"/>
      <c r="BU86" s="45"/>
      <c r="BV86" s="45"/>
      <c r="BW86" s="45"/>
      <c r="BX86" s="45"/>
      <c r="BY86" s="45"/>
      <c r="BZ86" s="45"/>
      <c r="CA86" s="45"/>
      <c r="CB86" s="45"/>
      <c r="CC86" s="45"/>
      <c r="CD86" s="45"/>
      <c r="CE86" s="45"/>
      <c r="CF86" s="45"/>
      <c r="CG86" s="45"/>
      <c r="CH86" s="45"/>
      <c r="CI86" s="45"/>
      <c r="CJ86" s="45"/>
      <c r="CK86" s="45"/>
      <c r="CL86" s="45"/>
      <c r="CM86" s="45"/>
      <c r="CN86" s="45"/>
      <c r="CO86" s="45"/>
      <c r="CP86" s="45"/>
      <c r="CQ86" s="45"/>
      <c r="CR86" s="45"/>
      <c r="CS86" s="45"/>
      <c r="CT86" s="45"/>
      <c r="CU86" s="45"/>
      <c r="CV86" s="45"/>
      <c r="CW86" s="45"/>
      <c r="CX86" s="24"/>
      <c r="CY86" s="24"/>
      <c r="CZ86" s="24"/>
      <c r="DA86" s="24"/>
      <c r="DB86" s="24"/>
      <c r="DC86" s="24"/>
      <c r="DD86" s="24"/>
      <c r="DE86" s="24"/>
      <c r="DF86" s="24"/>
      <c r="DG86" s="24"/>
      <c r="DH86" s="24"/>
      <c r="DI86" s="24"/>
      <c r="DJ86" s="24"/>
      <c r="DK86" s="24"/>
      <c r="DL86" s="24"/>
      <c r="DM86" s="24"/>
      <c r="DN86" s="24"/>
      <c r="DO86" s="24"/>
      <c r="DP86" s="24"/>
      <c r="DQ86" s="24"/>
      <c r="DR86" s="24"/>
      <c r="DS86" s="24"/>
      <c r="DT86" s="24"/>
      <c r="DU86" s="24"/>
      <c r="DV86" s="24"/>
      <c r="DW86" s="24"/>
      <c r="DX86" s="24"/>
      <c r="DY86" s="24"/>
      <c r="DZ86" s="24"/>
      <c r="EA86" s="24"/>
    </row>
    <row r="87" spans="1:131" ht="26.25" thickBot="1">
      <c r="A87" s="213" t="s">
        <v>510</v>
      </c>
      <c r="B87" s="214"/>
      <c r="C87" s="215" t="s">
        <v>511</v>
      </c>
      <c r="D87" s="216"/>
      <c r="E87" s="216"/>
      <c r="F87" s="216"/>
      <c r="G87" s="216"/>
      <c r="H87" s="216"/>
      <c r="I87" s="216"/>
      <c r="J87" s="216"/>
      <c r="K87" s="217"/>
      <c r="L87" s="215" t="s">
        <v>512</v>
      </c>
      <c r="M87" s="216"/>
      <c r="N87" s="216"/>
      <c r="O87" s="216"/>
      <c r="P87" s="216"/>
      <c r="Q87" s="217"/>
      <c r="R87" s="215" t="s">
        <v>513</v>
      </c>
      <c r="S87" s="216"/>
      <c r="T87" s="216"/>
      <c r="U87" s="217"/>
      <c r="V87" s="215" t="s">
        <v>514</v>
      </c>
      <c r="W87" s="216"/>
      <c r="X87" s="216"/>
      <c r="Y87" s="217"/>
      <c r="Z87" s="215" t="s">
        <v>515</v>
      </c>
      <c r="AA87" s="216"/>
      <c r="AB87" s="216"/>
      <c r="AC87" s="217"/>
      <c r="AD87" s="215" t="s">
        <v>516</v>
      </c>
      <c r="AE87" s="216"/>
      <c r="AF87" s="216"/>
      <c r="AG87" s="217"/>
      <c r="AH87" s="215" t="s">
        <v>517</v>
      </c>
      <c r="AI87" s="216"/>
      <c r="AJ87" s="216"/>
      <c r="AK87" s="216"/>
      <c r="AL87" s="217"/>
      <c r="AM87" s="215" t="s">
        <v>518</v>
      </c>
      <c r="AN87" s="216"/>
      <c r="AO87" s="216"/>
      <c r="AP87" s="216"/>
      <c r="AQ87" s="216"/>
      <c r="AR87" s="216"/>
      <c r="AS87" s="217"/>
      <c r="AT87" s="215" t="s">
        <v>519</v>
      </c>
      <c r="AU87" s="216"/>
      <c r="AV87" s="216"/>
      <c r="AW87" s="216"/>
      <c r="AX87" s="216"/>
      <c r="AY87" s="216"/>
      <c r="AZ87" s="217"/>
      <c r="BA87" s="215" t="s">
        <v>520</v>
      </c>
      <c r="BB87" s="216"/>
      <c r="BC87" s="216"/>
      <c r="BD87" s="216"/>
      <c r="BE87" s="216"/>
      <c r="BF87" s="217"/>
      <c r="BG87" s="215" t="s">
        <v>521</v>
      </c>
      <c r="BH87" s="217"/>
      <c r="BI87" s="215" t="s">
        <v>522</v>
      </c>
      <c r="BJ87" s="216"/>
      <c r="BK87" s="216"/>
      <c r="BL87" s="216"/>
      <c r="BM87" s="217"/>
      <c r="BN87" s="215" t="s">
        <v>523</v>
      </c>
      <c r="BO87" s="216"/>
      <c r="BP87" s="216"/>
      <c r="BQ87" s="216"/>
      <c r="BR87" s="216"/>
      <c r="BS87" s="216"/>
      <c r="BT87" s="216"/>
      <c r="BU87" s="216"/>
      <c r="BV87" s="216"/>
      <c r="BW87" s="216"/>
      <c r="BX87" s="216"/>
      <c r="BY87" s="216"/>
      <c r="BZ87" s="216"/>
      <c r="CA87" s="216"/>
      <c r="CB87" s="216"/>
      <c r="CC87" s="217"/>
      <c r="CD87" s="215" t="s">
        <v>524</v>
      </c>
      <c r="CE87" s="217"/>
      <c r="CF87" s="215" t="s">
        <v>525</v>
      </c>
      <c r="CG87" s="216"/>
      <c r="CH87" s="216"/>
      <c r="CI87" s="216"/>
      <c r="CJ87" s="216"/>
      <c r="CK87" s="217"/>
      <c r="CL87" s="218"/>
      <c r="CM87" s="215" t="s">
        <v>19</v>
      </c>
      <c r="CN87" s="216"/>
      <c r="CO87" s="216"/>
      <c r="CP87" s="217"/>
      <c r="CQ87" s="215" t="s">
        <v>526</v>
      </c>
      <c r="CR87" s="216"/>
      <c r="CS87" s="216"/>
      <c r="CT87" s="216"/>
      <c r="CU87" s="217"/>
      <c r="CV87" s="215" t="s">
        <v>527</v>
      </c>
      <c r="CW87" s="217"/>
      <c r="CX87" s="24"/>
      <c r="CY87" s="24"/>
      <c r="CZ87" s="24"/>
      <c r="DA87" s="24"/>
      <c r="DB87" s="24"/>
      <c r="DC87" s="24"/>
      <c r="DD87" s="24"/>
      <c r="DE87" s="24"/>
      <c r="DF87" s="24"/>
      <c r="DG87" s="24"/>
      <c r="DH87" s="24"/>
      <c r="DI87" s="24"/>
      <c r="DJ87" s="24"/>
      <c r="DK87" s="24"/>
      <c r="DL87" s="24"/>
      <c r="DM87" s="24"/>
      <c r="DN87" s="24"/>
      <c r="DO87" s="24"/>
      <c r="DP87" s="24"/>
      <c r="DQ87" s="24"/>
      <c r="DR87" s="24"/>
      <c r="DS87" s="24"/>
      <c r="DT87" s="24"/>
      <c r="DU87" s="24"/>
      <c r="DV87" s="24"/>
      <c r="DW87" s="24"/>
      <c r="DX87" s="24"/>
      <c r="DY87" s="24"/>
      <c r="DZ87" s="24"/>
      <c r="EA87" s="24"/>
    </row>
    <row r="88" spans="1:131" ht="127.5">
      <c r="A88" s="195" t="s">
        <v>387</v>
      </c>
      <c r="B88" s="196" t="s">
        <v>388</v>
      </c>
      <c r="C88" s="197" t="s">
        <v>11</v>
      </c>
      <c r="D88" s="197" t="s">
        <v>528</v>
      </c>
      <c r="E88" s="197" t="s">
        <v>529</v>
      </c>
      <c r="F88" s="197" t="s">
        <v>530</v>
      </c>
      <c r="G88" s="197" t="s">
        <v>531</v>
      </c>
      <c r="H88" s="197" t="s">
        <v>532</v>
      </c>
      <c r="I88" s="197" t="s">
        <v>533</v>
      </c>
      <c r="J88" s="197" t="s">
        <v>534</v>
      </c>
      <c r="K88" s="197" t="s">
        <v>535</v>
      </c>
      <c r="L88" s="197" t="s">
        <v>536</v>
      </c>
      <c r="M88" s="197" t="s">
        <v>537</v>
      </c>
      <c r="N88" s="197" t="s">
        <v>538</v>
      </c>
      <c r="O88" s="197" t="s">
        <v>539</v>
      </c>
      <c r="P88" s="197" t="s">
        <v>540</v>
      </c>
      <c r="Q88" s="197" t="s">
        <v>541</v>
      </c>
      <c r="R88" s="197" t="s">
        <v>542</v>
      </c>
      <c r="S88" s="197" t="s">
        <v>543</v>
      </c>
      <c r="T88" s="197" t="s">
        <v>544</v>
      </c>
      <c r="U88" s="197" t="s">
        <v>451</v>
      </c>
      <c r="V88" s="197" t="s">
        <v>542</v>
      </c>
      <c r="W88" s="197" t="s">
        <v>543</v>
      </c>
      <c r="X88" s="197" t="s">
        <v>544</v>
      </c>
      <c r="Y88" s="197" t="s">
        <v>451</v>
      </c>
      <c r="Z88" s="197" t="s">
        <v>542</v>
      </c>
      <c r="AA88" s="197" t="s">
        <v>543</v>
      </c>
      <c r="AB88" s="197" t="s">
        <v>544</v>
      </c>
      <c r="AC88" s="197" t="s">
        <v>451</v>
      </c>
      <c r="AD88" s="197" t="s">
        <v>542</v>
      </c>
      <c r="AE88" s="197" t="s">
        <v>543</v>
      </c>
      <c r="AF88" s="197" t="s">
        <v>544</v>
      </c>
      <c r="AG88" s="197" t="s">
        <v>451</v>
      </c>
      <c r="AH88" s="197" t="s">
        <v>542</v>
      </c>
      <c r="AI88" s="197" t="s">
        <v>543</v>
      </c>
      <c r="AJ88" s="197" t="s">
        <v>544</v>
      </c>
      <c r="AK88" s="197" t="s">
        <v>451</v>
      </c>
      <c r="AL88" s="197" t="s">
        <v>545</v>
      </c>
      <c r="AM88" s="197" t="s">
        <v>546</v>
      </c>
      <c r="AN88" s="197" t="s">
        <v>547</v>
      </c>
      <c r="AO88" s="197" t="s">
        <v>548</v>
      </c>
      <c r="AP88" s="197" t="s">
        <v>549</v>
      </c>
      <c r="AQ88" s="197" t="s">
        <v>550</v>
      </c>
      <c r="AR88" s="197" t="s">
        <v>551</v>
      </c>
      <c r="AS88" s="197" t="s">
        <v>552</v>
      </c>
      <c r="AT88" s="197" t="s">
        <v>553</v>
      </c>
      <c r="AU88" s="197" t="s">
        <v>554</v>
      </c>
      <c r="AV88" s="197" t="s">
        <v>555</v>
      </c>
      <c r="AW88" s="197" t="s">
        <v>556</v>
      </c>
      <c r="AX88" s="197" t="s">
        <v>557</v>
      </c>
      <c r="AY88" s="197" t="s">
        <v>558</v>
      </c>
      <c r="AZ88" s="197" t="s">
        <v>559</v>
      </c>
      <c r="BA88" s="197" t="s">
        <v>560</v>
      </c>
      <c r="BB88" s="197" t="s">
        <v>561</v>
      </c>
      <c r="BC88" s="197" t="s">
        <v>562</v>
      </c>
      <c r="BD88" s="197" t="s">
        <v>563</v>
      </c>
      <c r="BE88" s="197" t="s">
        <v>564</v>
      </c>
      <c r="BF88" s="197" t="s">
        <v>565</v>
      </c>
      <c r="BG88" s="197" t="s">
        <v>566</v>
      </c>
      <c r="BH88" s="197" t="s">
        <v>567</v>
      </c>
      <c r="BI88" s="197" t="s">
        <v>568</v>
      </c>
      <c r="BJ88" s="197" t="s">
        <v>569</v>
      </c>
      <c r="BK88" s="197" t="s">
        <v>570</v>
      </c>
      <c r="BL88" s="197" t="s">
        <v>571</v>
      </c>
      <c r="BM88" s="197" t="s">
        <v>572</v>
      </c>
      <c r="BN88" s="197" t="s">
        <v>573</v>
      </c>
      <c r="BO88" s="197" t="s">
        <v>574</v>
      </c>
      <c r="BP88" s="197" t="s">
        <v>575</v>
      </c>
      <c r="BQ88" s="197" t="s">
        <v>576</v>
      </c>
      <c r="BR88" s="197" t="s">
        <v>577</v>
      </c>
      <c r="BS88" s="197" t="s">
        <v>578</v>
      </c>
      <c r="BT88" s="197" t="s">
        <v>579</v>
      </c>
      <c r="BU88" s="197" t="s">
        <v>580</v>
      </c>
      <c r="BV88" s="197" t="s">
        <v>581</v>
      </c>
      <c r="BW88" s="197" t="s">
        <v>582</v>
      </c>
      <c r="BX88" s="197" t="s">
        <v>583</v>
      </c>
      <c r="BY88" s="197" t="s">
        <v>584</v>
      </c>
      <c r="BZ88" s="197" t="s">
        <v>585</v>
      </c>
      <c r="CA88" s="197" t="s">
        <v>586</v>
      </c>
      <c r="CB88" s="197" t="s">
        <v>587</v>
      </c>
      <c r="CC88" s="197" t="s">
        <v>588</v>
      </c>
      <c r="CD88" s="197" t="s">
        <v>398</v>
      </c>
      <c r="CE88" s="197" t="s">
        <v>397</v>
      </c>
      <c r="CF88" s="197" t="s">
        <v>589</v>
      </c>
      <c r="CG88" s="197" t="s">
        <v>590</v>
      </c>
      <c r="CH88" s="197" t="s">
        <v>591</v>
      </c>
      <c r="CI88" s="197" t="s">
        <v>592</v>
      </c>
      <c r="CJ88" s="197" t="s">
        <v>593</v>
      </c>
      <c r="CK88" s="197" t="s">
        <v>594</v>
      </c>
      <c r="CL88" s="197"/>
      <c r="CM88" s="197" t="s">
        <v>595</v>
      </c>
      <c r="CN88" s="197" t="s">
        <v>596</v>
      </c>
      <c r="CO88" s="197" t="s">
        <v>597</v>
      </c>
      <c r="CP88" s="197" t="s">
        <v>598</v>
      </c>
      <c r="CQ88" s="197" t="s">
        <v>599</v>
      </c>
      <c r="CR88" s="197" t="s">
        <v>600</v>
      </c>
      <c r="CS88" s="197" t="s">
        <v>601</v>
      </c>
      <c r="CT88" s="197" t="s">
        <v>602</v>
      </c>
      <c r="CU88" s="197" t="s">
        <v>603</v>
      </c>
      <c r="CV88" s="197" t="s">
        <v>604</v>
      </c>
      <c r="CW88" s="197" t="s">
        <v>605</v>
      </c>
      <c r="CX88" s="24"/>
      <c r="CY88" s="24"/>
      <c r="CZ88" s="24"/>
      <c r="DA88" s="24"/>
      <c r="DB88" s="24"/>
      <c r="DC88" s="24"/>
      <c r="DD88" s="24"/>
      <c r="DE88" s="24"/>
      <c r="DF88" s="24"/>
      <c r="DG88" s="24"/>
      <c r="DH88" s="24"/>
      <c r="DI88" s="24"/>
      <c r="DJ88" s="24"/>
      <c r="DK88" s="24"/>
      <c r="DL88" s="24"/>
      <c r="DM88" s="24"/>
      <c r="DN88" s="24"/>
      <c r="DO88" s="24"/>
      <c r="DP88" s="24"/>
      <c r="DQ88" s="24"/>
      <c r="DR88" s="24"/>
      <c r="DS88" s="24"/>
      <c r="DT88" s="24"/>
      <c r="DU88" s="24"/>
      <c r="DV88" s="24"/>
      <c r="DW88" s="24"/>
      <c r="DX88" s="24"/>
      <c r="DY88" s="24"/>
      <c r="DZ88" s="24"/>
      <c r="EA88" s="24"/>
    </row>
    <row r="89" spans="1:131">
      <c r="A89" s="24" t="s">
        <v>414</v>
      </c>
      <c r="B89" s="24"/>
      <c r="C89" s="45">
        <v>16.279069767441861</v>
      </c>
      <c r="D89" s="45">
        <v>647.87397959183659</v>
      </c>
      <c r="E89" s="45">
        <v>0</v>
      </c>
      <c r="F89" s="45">
        <v>6.6707622506870052</v>
      </c>
      <c r="G89" s="45">
        <v>0</v>
      </c>
      <c r="H89" s="45">
        <v>0</v>
      </c>
      <c r="I89" s="45"/>
      <c r="J89" s="45"/>
      <c r="K89" s="45"/>
      <c r="L89" s="45">
        <v>694.58425772131352</v>
      </c>
      <c r="M89" s="45">
        <v>0.16212621155567028</v>
      </c>
      <c r="N89" s="45">
        <v>0.16095605726511986</v>
      </c>
      <c r="O89" s="45">
        <v>0</v>
      </c>
      <c r="P89" s="45">
        <v>0</v>
      </c>
      <c r="Q89" s="45">
        <v>0</v>
      </c>
      <c r="R89" s="45">
        <v>1.3302391041790051</v>
      </c>
      <c r="S89" s="45">
        <v>3.0739802415320749</v>
      </c>
      <c r="T89" s="45">
        <v>0</v>
      </c>
      <c r="U89" s="45">
        <v>3.9147177758155487</v>
      </c>
      <c r="V89" s="45">
        <v>0.4002457350412203</v>
      </c>
      <c r="W89" s="45">
        <v>0.93390671509618073</v>
      </c>
      <c r="X89" s="45">
        <v>0</v>
      </c>
      <c r="Y89" s="45">
        <v>0</v>
      </c>
      <c r="Z89" s="45">
        <v>0</v>
      </c>
      <c r="AA89" s="45">
        <v>0</v>
      </c>
      <c r="AB89" s="45">
        <v>0</v>
      </c>
      <c r="AC89" s="45">
        <v>0</v>
      </c>
      <c r="AD89" s="45">
        <v>0</v>
      </c>
      <c r="AE89" s="45">
        <v>0</v>
      </c>
      <c r="AF89" s="45">
        <v>0</v>
      </c>
      <c r="AG89" s="45">
        <v>0</v>
      </c>
      <c r="AH89" s="45">
        <v>1.7304848392202254</v>
      </c>
      <c r="AI89" s="45">
        <v>4.0078869566282558</v>
      </c>
      <c r="AJ89" s="45">
        <v>0</v>
      </c>
      <c r="AK89" s="45">
        <v>3.9147177758155487</v>
      </c>
      <c r="AL89" s="45">
        <v>9.6530895716640295</v>
      </c>
      <c r="AM89" s="45">
        <v>332.92127629950102</v>
      </c>
      <c r="AN89" s="45">
        <v>57.287051226985589</v>
      </c>
      <c r="AO89" s="45">
        <v>0</v>
      </c>
      <c r="AP89" s="45">
        <v>0</v>
      </c>
      <c r="AQ89" s="45">
        <v>390.20832752648658</v>
      </c>
      <c r="AR89" s="45">
        <v>1.7304848392202254</v>
      </c>
      <c r="AS89" s="199">
        <v>225.49075188796138</v>
      </c>
      <c r="AT89" s="45">
        <v>332.92127629950102</v>
      </c>
      <c r="AU89" s="45">
        <v>67.810805708400849</v>
      </c>
      <c r="AV89" s="45">
        <v>0</v>
      </c>
      <c r="AW89" s="45">
        <v>0</v>
      </c>
      <c r="AX89" s="45">
        <v>400.73208200790185</v>
      </c>
      <c r="AY89" s="45">
        <v>4.0078869566282558</v>
      </c>
      <c r="AZ89" s="199">
        <v>99.985874438192397</v>
      </c>
      <c r="BA89" s="45">
        <v>332.92127629950102</v>
      </c>
      <c r="BB89" s="45">
        <v>125.09785693538643</v>
      </c>
      <c r="BC89" s="45">
        <v>0</v>
      </c>
      <c r="BD89" s="45">
        <v>0</v>
      </c>
      <c r="BE89" s="45">
        <v>458.01913323488742</v>
      </c>
      <c r="BF89" s="45">
        <v>5.7383717958484812</v>
      </c>
      <c r="BG89" s="45">
        <v>-12.644513228249723</v>
      </c>
      <c r="BH89" s="199">
        <v>79.816914889733852</v>
      </c>
      <c r="BI89" s="45">
        <v>0.18332132059069675</v>
      </c>
      <c r="BJ89" s="45">
        <v>0.42458108445399495</v>
      </c>
      <c r="BK89" s="45">
        <v>0</v>
      </c>
      <c r="BL89" s="45">
        <v>0.41471107757624892</v>
      </c>
      <c r="BM89" s="45">
        <v>1.0226134826209405</v>
      </c>
      <c r="BN89" s="45">
        <v>332.92127629950102</v>
      </c>
      <c r="BO89" s="45">
        <v>0</v>
      </c>
      <c r="BP89" s="45">
        <v>125.09785693538643</v>
      </c>
      <c r="BQ89" s="45">
        <v>0</v>
      </c>
      <c r="BR89" s="45">
        <v>0</v>
      </c>
      <c r="BS89" s="45">
        <v>0</v>
      </c>
      <c r="BT89" s="45">
        <v>0</v>
      </c>
      <c r="BU89" s="45">
        <v>0</v>
      </c>
      <c r="BV89" s="45">
        <v>0</v>
      </c>
      <c r="BW89" s="45">
        <v>0</v>
      </c>
      <c r="BX89" s="45">
        <v>8.3189371215266288</v>
      </c>
      <c r="BY89" s="45">
        <v>1.3341524501374011</v>
      </c>
      <c r="BZ89" s="45">
        <v>0</v>
      </c>
      <c r="CA89" s="45">
        <v>0</v>
      </c>
      <c r="CB89" s="45">
        <v>458.01913323488742</v>
      </c>
      <c r="CC89" s="45">
        <v>9.6530895716640295</v>
      </c>
      <c r="CD89" s="199">
        <v>47.447931549228613</v>
      </c>
      <c r="CE89" s="45">
        <v>-12.229802150673471</v>
      </c>
      <c r="CF89" s="45">
        <v>6.598567930696162</v>
      </c>
      <c r="CG89" s="45">
        <v>0</v>
      </c>
      <c r="CH89" s="45">
        <v>6.598567930696162</v>
      </c>
      <c r="CI89" s="45">
        <v>0.32992752241762402</v>
      </c>
      <c r="CJ89" s="45">
        <v>0</v>
      </c>
      <c r="CK89" s="45">
        <v>0.32992752241762402</v>
      </c>
      <c r="CL89" s="45"/>
      <c r="CM89" s="45">
        <v>0</v>
      </c>
      <c r="CN89" s="45"/>
      <c r="CO89" s="45">
        <v>0</v>
      </c>
      <c r="CP89" s="45">
        <v>0</v>
      </c>
      <c r="CQ89" s="45">
        <v>0</v>
      </c>
      <c r="CR89" s="45">
        <v>0</v>
      </c>
      <c r="CS89" s="45">
        <v>0</v>
      </c>
      <c r="CT89" s="45">
        <v>0</v>
      </c>
      <c r="CU89" s="45">
        <v>0</v>
      </c>
      <c r="CV89" s="45">
        <v>9999</v>
      </c>
      <c r="CW89" s="199">
        <v>9999</v>
      </c>
      <c r="CX89" s="24"/>
      <c r="CY89" s="24"/>
      <c r="CZ89" s="24"/>
      <c r="DA89" s="24"/>
      <c r="DB89" s="24"/>
      <c r="DC89" s="24"/>
      <c r="DD89" s="24"/>
      <c r="DE89" s="24"/>
      <c r="DF89" s="24"/>
      <c r="DG89" s="24"/>
      <c r="DH89" s="24"/>
      <c r="DI89" s="24"/>
      <c r="DJ89" s="24"/>
      <c r="DK89" s="24"/>
      <c r="DL89" s="24"/>
      <c r="DM89" s="24"/>
      <c r="DN89" s="24"/>
      <c r="DO89" s="24"/>
      <c r="DP89" s="24"/>
      <c r="DQ89" s="24"/>
      <c r="DR89" s="24"/>
      <c r="DS89" s="24"/>
      <c r="DT89" s="24"/>
      <c r="DU89" s="24"/>
      <c r="DV89" s="24"/>
      <c r="DW89" s="24"/>
      <c r="DX89" s="24"/>
      <c r="DY89" s="24"/>
      <c r="DZ89" s="24"/>
      <c r="EA89" s="24"/>
    </row>
    <row r="90" spans="1:131">
      <c r="A90" s="24" t="s">
        <v>415</v>
      </c>
      <c r="B90" s="24"/>
      <c r="C90" s="45">
        <v>16.279069767441861</v>
      </c>
      <c r="D90" s="45">
        <v>649.36581632653053</v>
      </c>
      <c r="E90" s="45">
        <v>0</v>
      </c>
      <c r="F90" s="45">
        <v>7.3019593555087283</v>
      </c>
      <c r="G90" s="45">
        <v>0</v>
      </c>
      <c r="H90" s="45">
        <v>0</v>
      </c>
      <c r="I90" s="45"/>
      <c r="J90" s="45"/>
      <c r="K90" s="45"/>
      <c r="L90" s="45">
        <v>696.18365257841458</v>
      </c>
      <c r="M90" s="45">
        <v>0.16249953390797076</v>
      </c>
      <c r="N90" s="45">
        <v>0.16132668514409546</v>
      </c>
      <c r="O90" s="45">
        <v>0</v>
      </c>
      <c r="P90" s="45">
        <v>0</v>
      </c>
      <c r="Q90" s="45">
        <v>0</v>
      </c>
      <c r="R90" s="45">
        <v>1.4561082387283526</v>
      </c>
      <c r="S90" s="45">
        <v>3.3648446668883225</v>
      </c>
      <c r="T90" s="45">
        <v>0</v>
      </c>
      <c r="U90" s="45">
        <v>4.2851339941471842</v>
      </c>
      <c r="V90" s="45">
        <v>0.43811756133052371</v>
      </c>
      <c r="W90" s="45">
        <v>1.0222743097712219</v>
      </c>
      <c r="X90" s="45">
        <v>0</v>
      </c>
      <c r="Y90" s="45">
        <v>0</v>
      </c>
      <c r="Z90" s="45">
        <v>0</v>
      </c>
      <c r="AA90" s="45">
        <v>0</v>
      </c>
      <c r="AB90" s="45">
        <v>0</v>
      </c>
      <c r="AC90" s="45">
        <v>0</v>
      </c>
      <c r="AD90" s="45">
        <v>0</v>
      </c>
      <c r="AE90" s="45">
        <v>0</v>
      </c>
      <c r="AF90" s="45">
        <v>0</v>
      </c>
      <c r="AG90" s="45">
        <v>0</v>
      </c>
      <c r="AH90" s="45">
        <v>1.8942258000588763</v>
      </c>
      <c r="AI90" s="45">
        <v>4.3871189766595444</v>
      </c>
      <c r="AJ90" s="45">
        <v>0</v>
      </c>
      <c r="AK90" s="45">
        <v>4.2851339941471842</v>
      </c>
      <c r="AL90" s="45">
        <v>10.566478770865604</v>
      </c>
      <c r="AM90" s="45">
        <v>333.6878824688946</v>
      </c>
      <c r="AN90" s="45">
        <v>57.41896411457607</v>
      </c>
      <c r="AO90" s="45">
        <v>0</v>
      </c>
      <c r="AP90" s="45">
        <v>0</v>
      </c>
      <c r="AQ90" s="45">
        <v>391.10684658347066</v>
      </c>
      <c r="AR90" s="45">
        <v>1.8942258000588763</v>
      </c>
      <c r="AS90" s="199">
        <v>206.47319161808178</v>
      </c>
      <c r="AT90" s="45">
        <v>333.6878824688946</v>
      </c>
      <c r="AU90" s="45">
        <v>67.966951277063316</v>
      </c>
      <c r="AV90" s="45">
        <v>0</v>
      </c>
      <c r="AW90" s="45">
        <v>0</v>
      </c>
      <c r="AX90" s="45">
        <v>401.65483374595794</v>
      </c>
      <c r="AY90" s="45">
        <v>4.3871189766595444</v>
      </c>
      <c r="AZ90" s="199">
        <v>91.553212001509792</v>
      </c>
      <c r="BA90" s="45">
        <v>333.6878824688946</v>
      </c>
      <c r="BB90" s="45">
        <v>125.38591539163939</v>
      </c>
      <c r="BC90" s="45">
        <v>0</v>
      </c>
      <c r="BD90" s="45">
        <v>0</v>
      </c>
      <c r="BE90" s="45">
        <v>459.073797860534</v>
      </c>
      <c r="BF90" s="45">
        <v>6.281344776718421</v>
      </c>
      <c r="BG90" s="45">
        <v>-12.588521355718758</v>
      </c>
      <c r="BH90" s="199">
        <v>73.085273007473589</v>
      </c>
      <c r="BI90" s="45">
        <v>0.20020643887538045</v>
      </c>
      <c r="BJ90" s="45">
        <v>0.46368783870028085</v>
      </c>
      <c r="BK90" s="45">
        <v>0</v>
      </c>
      <c r="BL90" s="45">
        <v>0.45290873825357969</v>
      </c>
      <c r="BM90" s="45">
        <v>1.116803015829241</v>
      </c>
      <c r="BN90" s="45">
        <v>333.6878824688946</v>
      </c>
      <c r="BO90" s="45">
        <v>0</v>
      </c>
      <c r="BP90" s="45">
        <v>125.38591539163939</v>
      </c>
      <c r="BQ90" s="45">
        <v>0</v>
      </c>
      <c r="BR90" s="45">
        <v>0</v>
      </c>
      <c r="BS90" s="45">
        <v>0</v>
      </c>
      <c r="BT90" s="45">
        <v>0</v>
      </c>
      <c r="BU90" s="45">
        <v>0</v>
      </c>
      <c r="BV90" s="45">
        <v>0</v>
      </c>
      <c r="BW90" s="45">
        <v>0</v>
      </c>
      <c r="BX90" s="45">
        <v>9.1060868997638593</v>
      </c>
      <c r="BY90" s="45">
        <v>1.4603918711017458</v>
      </c>
      <c r="BZ90" s="45">
        <v>0</v>
      </c>
      <c r="CA90" s="45">
        <v>0</v>
      </c>
      <c r="CB90" s="45">
        <v>459.073797860534</v>
      </c>
      <c r="CC90" s="45">
        <v>10.566478770865604</v>
      </c>
      <c r="CD90" s="199">
        <v>43.446242387418032</v>
      </c>
      <c r="CE90" s="45">
        <v>-12.135612617465176</v>
      </c>
      <c r="CF90" s="45">
        <v>6.6137622220945982</v>
      </c>
      <c r="CG90" s="45">
        <v>0</v>
      </c>
      <c r="CH90" s="45">
        <v>6.6137622220945982</v>
      </c>
      <c r="CI90" s="45">
        <v>0.33068723497474706</v>
      </c>
      <c r="CJ90" s="45">
        <v>0</v>
      </c>
      <c r="CK90" s="45">
        <v>0.33068723497474706</v>
      </c>
      <c r="CL90" s="45"/>
      <c r="CM90" s="45">
        <v>0</v>
      </c>
      <c r="CN90" s="45"/>
      <c r="CO90" s="45">
        <v>0</v>
      </c>
      <c r="CP90" s="45">
        <v>0</v>
      </c>
      <c r="CQ90" s="45">
        <v>0</v>
      </c>
      <c r="CR90" s="45">
        <v>0</v>
      </c>
      <c r="CS90" s="45">
        <v>0</v>
      </c>
      <c r="CT90" s="45">
        <v>0</v>
      </c>
      <c r="CU90" s="45">
        <v>0</v>
      </c>
      <c r="CV90" s="45">
        <v>9999</v>
      </c>
      <c r="CW90" s="199">
        <v>9999</v>
      </c>
      <c r="CX90" s="24"/>
      <c r="CY90" s="24"/>
      <c r="CZ90" s="24"/>
      <c r="DA90" s="24"/>
      <c r="DB90" s="24"/>
      <c r="DC90" s="24"/>
      <c r="DD90" s="24"/>
      <c r="DE90" s="24"/>
      <c r="DF90" s="24"/>
      <c r="DG90" s="24"/>
      <c r="DH90" s="24"/>
      <c r="DI90" s="24"/>
      <c r="DJ90" s="24"/>
      <c r="DK90" s="24"/>
      <c r="DL90" s="24"/>
      <c r="DM90" s="24"/>
      <c r="DN90" s="24"/>
      <c r="DO90" s="24"/>
      <c r="DP90" s="24"/>
      <c r="DQ90" s="24"/>
      <c r="DR90" s="24"/>
      <c r="DS90" s="24"/>
      <c r="DT90" s="24"/>
      <c r="DU90" s="24"/>
      <c r="DV90" s="24"/>
      <c r="DW90" s="24"/>
      <c r="DX90" s="24"/>
      <c r="DY90" s="24"/>
      <c r="DZ90" s="24"/>
      <c r="EA90" s="24"/>
    </row>
    <row r="91" spans="1:131">
      <c r="A91" s="24" t="s">
        <v>418</v>
      </c>
      <c r="B91" s="24"/>
      <c r="C91" s="45">
        <v>16.279069767441861</v>
      </c>
      <c r="D91" s="45">
        <v>1606.9202380952379</v>
      </c>
      <c r="E91" s="45">
        <v>0</v>
      </c>
      <c r="F91" s="45">
        <v>51.863052062075326</v>
      </c>
      <c r="G91" s="45">
        <v>0</v>
      </c>
      <c r="H91" s="45">
        <v>0</v>
      </c>
      <c r="I91" s="45"/>
      <c r="J91" s="45"/>
      <c r="K91" s="45"/>
      <c r="L91" s="45">
        <v>1722.7756260529418</v>
      </c>
      <c r="M91" s="45">
        <v>0.40212124376201641</v>
      </c>
      <c r="N91" s="45">
        <v>0.39921891295323159</v>
      </c>
      <c r="O91" s="45">
        <v>0</v>
      </c>
      <c r="P91" s="45">
        <v>0</v>
      </c>
      <c r="Q91" s="45">
        <v>0</v>
      </c>
      <c r="R91" s="45">
        <v>10.34218539387145</v>
      </c>
      <c r="S91" s="45">
        <v>23.899217407718282</v>
      </c>
      <c r="T91" s="45">
        <v>0</v>
      </c>
      <c r="U91" s="45">
        <v>30.435683987170137</v>
      </c>
      <c r="V91" s="45">
        <v>3.1117831237245195</v>
      </c>
      <c r="W91" s="45">
        <v>7.2608272886905452</v>
      </c>
      <c r="X91" s="45">
        <v>0</v>
      </c>
      <c r="Y91" s="45">
        <v>0</v>
      </c>
      <c r="Z91" s="45">
        <v>0</v>
      </c>
      <c r="AA91" s="45">
        <v>0</v>
      </c>
      <c r="AB91" s="45">
        <v>0</v>
      </c>
      <c r="AC91" s="45">
        <v>0</v>
      </c>
      <c r="AD91" s="45">
        <v>0</v>
      </c>
      <c r="AE91" s="45">
        <v>0</v>
      </c>
      <c r="AF91" s="45">
        <v>0</v>
      </c>
      <c r="AG91" s="45">
        <v>0</v>
      </c>
      <c r="AH91" s="45">
        <v>13.453968517595969</v>
      </c>
      <c r="AI91" s="45">
        <v>31.160044696408828</v>
      </c>
      <c r="AJ91" s="45">
        <v>0</v>
      </c>
      <c r="AK91" s="45">
        <v>30.435683987170137</v>
      </c>
      <c r="AL91" s="45">
        <v>75.049697201174936</v>
      </c>
      <c r="AM91" s="45">
        <v>825.74382276504309</v>
      </c>
      <c r="AN91" s="45">
        <v>142.08893225722269</v>
      </c>
      <c r="AO91" s="45">
        <v>0</v>
      </c>
      <c r="AP91" s="45">
        <v>0</v>
      </c>
      <c r="AQ91" s="45">
        <v>967.83275502226581</v>
      </c>
      <c r="AR91" s="45">
        <v>13.453968517595969</v>
      </c>
      <c r="AS91" s="199">
        <v>71.936600249693726</v>
      </c>
      <c r="AT91" s="45">
        <v>825.74382276504309</v>
      </c>
      <c r="AU91" s="45">
        <v>168.19097461364754</v>
      </c>
      <c r="AV91" s="45">
        <v>0</v>
      </c>
      <c r="AW91" s="45">
        <v>0</v>
      </c>
      <c r="AX91" s="45">
        <v>993.93479737869063</v>
      </c>
      <c r="AY91" s="45">
        <v>31.160044696408828</v>
      </c>
      <c r="AZ91" s="199">
        <v>31.897733365358132</v>
      </c>
      <c r="BA91" s="45">
        <v>825.74382276504309</v>
      </c>
      <c r="BB91" s="45">
        <v>310.27990687087026</v>
      </c>
      <c r="BC91" s="45">
        <v>0</v>
      </c>
      <c r="BD91" s="45">
        <v>0</v>
      </c>
      <c r="BE91" s="45">
        <v>1136.0237296359132</v>
      </c>
      <c r="BF91" s="45">
        <v>44.614013214004792</v>
      </c>
      <c r="BG91" s="45">
        <v>-11.346899249253015</v>
      </c>
      <c r="BH91" s="199">
        <v>25.463383537962102</v>
      </c>
      <c r="BI91" s="45">
        <v>0.57463464041402512</v>
      </c>
      <c r="BJ91" s="45">
        <v>1.3308817436273681</v>
      </c>
      <c r="BK91" s="45">
        <v>0</v>
      </c>
      <c r="BL91" s="45">
        <v>1.2999434554086142</v>
      </c>
      <c r="BM91" s="45">
        <v>3.2054598394500071</v>
      </c>
      <c r="BN91" s="45">
        <v>825.74382276504309</v>
      </c>
      <c r="BO91" s="45">
        <v>0</v>
      </c>
      <c r="BP91" s="45">
        <v>310.27990687087026</v>
      </c>
      <c r="BQ91" s="45">
        <v>0</v>
      </c>
      <c r="BR91" s="45">
        <v>0</v>
      </c>
      <c r="BS91" s="45">
        <v>0</v>
      </c>
      <c r="BT91" s="45">
        <v>0</v>
      </c>
      <c r="BU91" s="45">
        <v>0</v>
      </c>
      <c r="BV91" s="45">
        <v>0</v>
      </c>
      <c r="BW91" s="45">
        <v>0</v>
      </c>
      <c r="BX91" s="45">
        <v>64.677086788759865</v>
      </c>
      <c r="BY91" s="45">
        <v>10.372610412415066</v>
      </c>
      <c r="BZ91" s="45">
        <v>0</v>
      </c>
      <c r="CA91" s="45">
        <v>0</v>
      </c>
      <c r="CB91" s="45">
        <v>1136.0237296359132</v>
      </c>
      <c r="CC91" s="45">
        <v>75.049697201174936</v>
      </c>
      <c r="CD91" s="199">
        <v>15.136952872584384</v>
      </c>
      <c r="CE91" s="45">
        <v>-10.046955793844406</v>
      </c>
      <c r="CF91" s="45">
        <v>16.366411808916986</v>
      </c>
      <c r="CG91" s="45">
        <v>0</v>
      </c>
      <c r="CH91" s="45">
        <v>16.366411808916986</v>
      </c>
      <c r="CI91" s="45">
        <v>0.81831842237514751</v>
      </c>
      <c r="CJ91" s="45">
        <v>0</v>
      </c>
      <c r="CK91" s="45">
        <v>0.81831842237514751</v>
      </c>
      <c r="CL91" s="45"/>
      <c r="CM91" s="45">
        <v>0</v>
      </c>
      <c r="CN91" s="45"/>
      <c r="CO91" s="45">
        <v>0</v>
      </c>
      <c r="CP91" s="45">
        <v>0</v>
      </c>
      <c r="CQ91" s="45">
        <v>0</v>
      </c>
      <c r="CR91" s="45">
        <v>0</v>
      </c>
      <c r="CS91" s="45">
        <v>0</v>
      </c>
      <c r="CT91" s="45">
        <v>0</v>
      </c>
      <c r="CU91" s="45">
        <v>0</v>
      </c>
      <c r="CV91" s="45">
        <v>9999</v>
      </c>
      <c r="CW91" s="199">
        <v>9999</v>
      </c>
      <c r="CX91" s="24"/>
      <c r="CY91" s="24"/>
      <c r="CZ91" s="24"/>
      <c r="DA91" s="24"/>
      <c r="DB91" s="24"/>
      <c r="DC91" s="24"/>
      <c r="DD91" s="24"/>
      <c r="DE91" s="24"/>
      <c r="DF91" s="24"/>
      <c r="DG91" s="24"/>
      <c r="DH91" s="24"/>
      <c r="DI91" s="24"/>
      <c r="DJ91" s="24"/>
      <c r="DK91" s="24"/>
      <c r="DL91" s="24"/>
      <c r="DM91" s="24"/>
      <c r="DN91" s="24"/>
      <c r="DO91" s="24"/>
      <c r="DP91" s="24"/>
      <c r="DQ91" s="24"/>
      <c r="DR91" s="24"/>
      <c r="DS91" s="24"/>
      <c r="DT91" s="24"/>
      <c r="DU91" s="24"/>
      <c r="DV91" s="24"/>
      <c r="DW91" s="24"/>
      <c r="DX91" s="24"/>
      <c r="DY91" s="24"/>
      <c r="DZ91" s="24"/>
      <c r="EA91" s="24"/>
    </row>
    <row r="92" spans="1:131">
      <c r="A92" s="24" t="s">
        <v>416</v>
      </c>
      <c r="B92" s="24"/>
      <c r="C92" s="45">
        <v>6.6762790697674417</v>
      </c>
      <c r="D92" s="45">
        <v>278.92666666666668</v>
      </c>
      <c r="E92" s="45">
        <v>0</v>
      </c>
      <c r="F92" s="45">
        <v>4.7789999869194872</v>
      </c>
      <c r="G92" s="45">
        <v>0</v>
      </c>
      <c r="H92" s="45">
        <v>0</v>
      </c>
      <c r="I92" s="45"/>
      <c r="J92" s="45"/>
      <c r="K92" s="45"/>
      <c r="L92" s="45">
        <v>299.03666118432898</v>
      </c>
      <c r="M92" s="45">
        <v>6.9799567806392765E-2</v>
      </c>
      <c r="N92" s="45">
        <v>6.9295785827134165E-2</v>
      </c>
      <c r="O92" s="45">
        <v>0</v>
      </c>
      <c r="P92" s="45">
        <v>0</v>
      </c>
      <c r="Q92" s="45">
        <v>0</v>
      </c>
      <c r="R92" s="45">
        <v>0.9529964376734521</v>
      </c>
      <c r="S92" s="45">
        <v>2.2022298175234178</v>
      </c>
      <c r="T92" s="45">
        <v>0</v>
      </c>
      <c r="U92" s="45">
        <v>9.5525393811912522</v>
      </c>
      <c r="V92" s="45">
        <v>0.28673999921516924</v>
      </c>
      <c r="W92" s="45">
        <v>0.66905999816872819</v>
      </c>
      <c r="X92" s="45">
        <v>0</v>
      </c>
      <c r="Y92" s="45">
        <v>0</v>
      </c>
      <c r="Z92" s="45">
        <v>0</v>
      </c>
      <c r="AA92" s="45">
        <v>0</v>
      </c>
      <c r="AB92" s="45">
        <v>0</v>
      </c>
      <c r="AC92" s="45">
        <v>0</v>
      </c>
      <c r="AD92" s="45">
        <v>0</v>
      </c>
      <c r="AE92" s="45">
        <v>0</v>
      </c>
      <c r="AF92" s="45">
        <v>0</v>
      </c>
      <c r="AG92" s="45">
        <v>0</v>
      </c>
      <c r="AH92" s="45">
        <v>1.2397364368886215</v>
      </c>
      <c r="AI92" s="45">
        <v>2.8712898156921458</v>
      </c>
      <c r="AJ92" s="45">
        <v>0</v>
      </c>
      <c r="AK92" s="45">
        <v>9.5525393811912522</v>
      </c>
      <c r="AL92" s="45">
        <v>13.663565633772018</v>
      </c>
      <c r="AM92" s="45">
        <v>143.33130328699843</v>
      </c>
      <c r="AN92" s="45">
        <v>24.66357153589102</v>
      </c>
      <c r="AO92" s="45">
        <v>0</v>
      </c>
      <c r="AP92" s="45">
        <v>0</v>
      </c>
      <c r="AQ92" s="45">
        <v>167.99487482288944</v>
      </c>
      <c r="AR92" s="45">
        <v>1.2397364368886215</v>
      </c>
      <c r="AS92" s="199">
        <v>135.50854022207156</v>
      </c>
      <c r="AT92" s="45">
        <v>143.33130328699843</v>
      </c>
      <c r="AU92" s="45">
        <v>29.194322655373931</v>
      </c>
      <c r="AV92" s="45">
        <v>0</v>
      </c>
      <c r="AW92" s="45">
        <v>0</v>
      </c>
      <c r="AX92" s="45">
        <v>172.52562594237236</v>
      </c>
      <c r="AY92" s="45">
        <v>2.8712898156921458</v>
      </c>
      <c r="AZ92" s="199">
        <v>60.086454874560886</v>
      </c>
      <c r="BA92" s="45">
        <v>143.33130328699843</v>
      </c>
      <c r="BB92" s="45">
        <v>53.857894191264947</v>
      </c>
      <c r="BC92" s="45">
        <v>0</v>
      </c>
      <c r="BD92" s="45">
        <v>0</v>
      </c>
      <c r="BE92" s="45">
        <v>197.18919747826337</v>
      </c>
      <c r="BF92" s="45">
        <v>4.1110262525807668</v>
      </c>
      <c r="BG92" s="45">
        <v>-12.240845660188761</v>
      </c>
      <c r="BH92" s="199">
        <v>47.965930004575981</v>
      </c>
      <c r="BI92" s="45">
        <v>0.30505282065135286</v>
      </c>
      <c r="BJ92" s="45">
        <v>0.70651715245430269</v>
      </c>
      <c r="BK92" s="45">
        <v>0</v>
      </c>
      <c r="BL92" s="45">
        <v>2.350523059505202</v>
      </c>
      <c r="BM92" s="45">
        <v>3.3620930326108569</v>
      </c>
      <c r="BN92" s="45">
        <v>143.33130328699843</v>
      </c>
      <c r="BO92" s="45">
        <v>0</v>
      </c>
      <c r="BP92" s="45">
        <v>53.857894191264947</v>
      </c>
      <c r="BQ92" s="45">
        <v>0</v>
      </c>
      <c r="BR92" s="45">
        <v>0</v>
      </c>
      <c r="BS92" s="45">
        <v>0</v>
      </c>
      <c r="BT92" s="45">
        <v>0</v>
      </c>
      <c r="BU92" s="45">
        <v>0</v>
      </c>
      <c r="BV92" s="45">
        <v>0</v>
      </c>
      <c r="BW92" s="45">
        <v>0</v>
      </c>
      <c r="BX92" s="45">
        <v>12.707765636388121</v>
      </c>
      <c r="BY92" s="45">
        <v>0.95579999738389754</v>
      </c>
      <c r="BZ92" s="45">
        <v>0</v>
      </c>
      <c r="CA92" s="45">
        <v>0</v>
      </c>
      <c r="CB92" s="45">
        <v>197.18919747826337</v>
      </c>
      <c r="CC92" s="45">
        <v>13.663565633772018</v>
      </c>
      <c r="CD92" s="199">
        <v>14.43175249884071</v>
      </c>
      <c r="CE92" s="45">
        <v>-9.8903226006835592</v>
      </c>
      <c r="CF92" s="45">
        <v>2.8408558078566108</v>
      </c>
      <c r="CG92" s="45">
        <v>0</v>
      </c>
      <c r="CH92" s="45">
        <v>2.8408558078566108</v>
      </c>
      <c r="CI92" s="45">
        <v>0.14204241406255627</v>
      </c>
      <c r="CJ92" s="45">
        <v>0</v>
      </c>
      <c r="CK92" s="45">
        <v>0.14204241406255627</v>
      </c>
      <c r="CL92" s="45"/>
      <c r="CM92" s="45">
        <v>0</v>
      </c>
      <c r="CN92" s="45"/>
      <c r="CO92" s="45">
        <v>0</v>
      </c>
      <c r="CP92" s="45">
        <v>0</v>
      </c>
      <c r="CQ92" s="45">
        <v>0</v>
      </c>
      <c r="CR92" s="45">
        <v>0</v>
      </c>
      <c r="CS92" s="45">
        <v>0</v>
      </c>
      <c r="CT92" s="45">
        <v>0</v>
      </c>
      <c r="CU92" s="45">
        <v>0</v>
      </c>
      <c r="CV92" s="45">
        <v>9999</v>
      </c>
      <c r="CW92" s="199">
        <v>9999</v>
      </c>
      <c r="CX92" s="24"/>
      <c r="CY92" s="24"/>
      <c r="CZ92" s="24"/>
      <c r="DA92" s="24"/>
      <c r="DB92" s="24"/>
      <c r="DC92" s="24"/>
      <c r="DD92" s="24"/>
      <c r="DE92" s="24"/>
      <c r="DF92" s="24"/>
      <c r="DG92" s="24"/>
      <c r="DH92" s="24"/>
      <c r="DI92" s="24"/>
      <c r="DJ92" s="24"/>
      <c r="DK92" s="24"/>
      <c r="DL92" s="24"/>
      <c r="DM92" s="24"/>
      <c r="DN92" s="24"/>
      <c r="DO92" s="24"/>
      <c r="DP92" s="24"/>
      <c r="DQ92" s="24"/>
      <c r="DR92" s="24"/>
      <c r="DS92" s="24"/>
      <c r="DT92" s="24"/>
      <c r="DU92" s="24"/>
      <c r="DV92" s="24"/>
      <c r="DW92" s="24"/>
      <c r="DX92" s="24"/>
      <c r="DY92" s="24"/>
      <c r="DZ92" s="24"/>
      <c r="EA92" s="24"/>
    </row>
    <row r="93" spans="1:131">
      <c r="A93" s="24" t="s">
        <v>417</v>
      </c>
      <c r="B93" s="24"/>
      <c r="C93" s="45">
        <v>6.6762790697674417</v>
      </c>
      <c r="D93" s="45">
        <v>278.92666666666668</v>
      </c>
      <c r="E93" s="45">
        <v>0</v>
      </c>
      <c r="F93" s="45">
        <v>4.7789999869194872</v>
      </c>
      <c r="G93" s="45">
        <v>0</v>
      </c>
      <c r="H93" s="45">
        <v>0</v>
      </c>
      <c r="I93" s="45"/>
      <c r="J93" s="45"/>
      <c r="K93" s="45"/>
      <c r="L93" s="45">
        <v>299.03666118432898</v>
      </c>
      <c r="M93" s="45">
        <v>6.9799567806392765E-2</v>
      </c>
      <c r="N93" s="45">
        <v>6.9295785827134165E-2</v>
      </c>
      <c r="O93" s="45">
        <v>0</v>
      </c>
      <c r="P93" s="45">
        <v>0</v>
      </c>
      <c r="Q93" s="45">
        <v>0</v>
      </c>
      <c r="R93" s="45">
        <v>0.9529964376734521</v>
      </c>
      <c r="S93" s="45">
        <v>2.2022298175234178</v>
      </c>
      <c r="T93" s="45">
        <v>0</v>
      </c>
      <c r="U93" s="45">
        <v>9.5525393811912522</v>
      </c>
      <c r="V93" s="45">
        <v>0.28673999921516924</v>
      </c>
      <c r="W93" s="45">
        <v>0.66905999816872819</v>
      </c>
      <c r="X93" s="45">
        <v>0</v>
      </c>
      <c r="Y93" s="45">
        <v>0</v>
      </c>
      <c r="Z93" s="45">
        <v>0</v>
      </c>
      <c r="AA93" s="45">
        <v>0</v>
      </c>
      <c r="AB93" s="45">
        <v>0</v>
      </c>
      <c r="AC93" s="45">
        <v>0</v>
      </c>
      <c r="AD93" s="45">
        <v>0</v>
      </c>
      <c r="AE93" s="45">
        <v>0</v>
      </c>
      <c r="AF93" s="45">
        <v>0</v>
      </c>
      <c r="AG93" s="45">
        <v>0</v>
      </c>
      <c r="AH93" s="45">
        <v>1.2397364368886215</v>
      </c>
      <c r="AI93" s="45">
        <v>2.8712898156921458</v>
      </c>
      <c r="AJ93" s="45">
        <v>0</v>
      </c>
      <c r="AK93" s="45">
        <v>9.5525393811912522</v>
      </c>
      <c r="AL93" s="45">
        <v>13.663565633772018</v>
      </c>
      <c r="AM93" s="45">
        <v>143.33130328699843</v>
      </c>
      <c r="AN93" s="45">
        <v>24.66357153589102</v>
      </c>
      <c r="AO93" s="45">
        <v>0</v>
      </c>
      <c r="AP93" s="45">
        <v>0</v>
      </c>
      <c r="AQ93" s="45">
        <v>167.99487482288944</v>
      </c>
      <c r="AR93" s="45">
        <v>1.2397364368886215</v>
      </c>
      <c r="AS93" s="199">
        <v>135.50854022207156</v>
      </c>
      <c r="AT93" s="45">
        <v>143.33130328699843</v>
      </c>
      <c r="AU93" s="45">
        <v>29.194322655373931</v>
      </c>
      <c r="AV93" s="45">
        <v>0</v>
      </c>
      <c r="AW93" s="45">
        <v>0</v>
      </c>
      <c r="AX93" s="45">
        <v>172.52562594237236</v>
      </c>
      <c r="AY93" s="45">
        <v>2.8712898156921458</v>
      </c>
      <c r="AZ93" s="199">
        <v>60.086454874560886</v>
      </c>
      <c r="BA93" s="45">
        <v>143.33130328699843</v>
      </c>
      <c r="BB93" s="45">
        <v>53.857894191264947</v>
      </c>
      <c r="BC93" s="45">
        <v>0</v>
      </c>
      <c r="BD93" s="45">
        <v>0</v>
      </c>
      <c r="BE93" s="45">
        <v>197.18919747826337</v>
      </c>
      <c r="BF93" s="45">
        <v>4.1110262525807668</v>
      </c>
      <c r="BG93" s="45">
        <v>-12.240845660188761</v>
      </c>
      <c r="BH93" s="199">
        <v>47.965930004575981</v>
      </c>
      <c r="BI93" s="45">
        <v>0.30505282065135286</v>
      </c>
      <c r="BJ93" s="45">
        <v>0.70651715245430269</v>
      </c>
      <c r="BK93" s="45">
        <v>0</v>
      </c>
      <c r="BL93" s="45">
        <v>2.350523059505202</v>
      </c>
      <c r="BM93" s="45">
        <v>3.3620930326108569</v>
      </c>
      <c r="BN93" s="45">
        <v>143.33130328699843</v>
      </c>
      <c r="BO93" s="45">
        <v>0</v>
      </c>
      <c r="BP93" s="45">
        <v>53.857894191264947</v>
      </c>
      <c r="BQ93" s="45">
        <v>0</v>
      </c>
      <c r="BR93" s="45">
        <v>0</v>
      </c>
      <c r="BS93" s="45">
        <v>0</v>
      </c>
      <c r="BT93" s="45">
        <v>0</v>
      </c>
      <c r="BU93" s="45">
        <v>0</v>
      </c>
      <c r="BV93" s="45">
        <v>0</v>
      </c>
      <c r="BW93" s="45">
        <v>0</v>
      </c>
      <c r="BX93" s="45">
        <v>12.707765636388121</v>
      </c>
      <c r="BY93" s="45">
        <v>0.95579999738389754</v>
      </c>
      <c r="BZ93" s="45">
        <v>0</v>
      </c>
      <c r="CA93" s="45">
        <v>0</v>
      </c>
      <c r="CB93" s="45">
        <v>197.18919747826337</v>
      </c>
      <c r="CC93" s="45">
        <v>13.663565633772018</v>
      </c>
      <c r="CD93" s="199">
        <v>14.43175249884071</v>
      </c>
      <c r="CE93" s="45">
        <v>-9.8903226006835592</v>
      </c>
      <c r="CF93" s="45">
        <v>2.8408558078566108</v>
      </c>
      <c r="CG93" s="45">
        <v>0</v>
      </c>
      <c r="CH93" s="45">
        <v>2.8408558078566108</v>
      </c>
      <c r="CI93" s="45">
        <v>0.14204241406255627</v>
      </c>
      <c r="CJ93" s="45">
        <v>0</v>
      </c>
      <c r="CK93" s="45">
        <v>0.14204241406255627</v>
      </c>
      <c r="CL93" s="45"/>
      <c r="CM93" s="45">
        <v>0</v>
      </c>
      <c r="CN93" s="45"/>
      <c r="CO93" s="45">
        <v>0</v>
      </c>
      <c r="CP93" s="45">
        <v>0</v>
      </c>
      <c r="CQ93" s="45">
        <v>0</v>
      </c>
      <c r="CR93" s="45">
        <v>0</v>
      </c>
      <c r="CS93" s="45">
        <v>0</v>
      </c>
      <c r="CT93" s="45">
        <v>0</v>
      </c>
      <c r="CU93" s="45">
        <v>0</v>
      </c>
      <c r="CV93" s="45">
        <v>9999</v>
      </c>
      <c r="CW93" s="199">
        <v>9999</v>
      </c>
      <c r="CX93" s="24"/>
      <c r="CY93" s="24"/>
      <c r="CZ93" s="24"/>
      <c r="DA93" s="24"/>
      <c r="DB93" s="24"/>
      <c r="DC93" s="24"/>
      <c r="DD93" s="24"/>
      <c r="DE93" s="24"/>
      <c r="DF93" s="24"/>
      <c r="DG93" s="24"/>
      <c r="DH93" s="24"/>
      <c r="DI93" s="24"/>
      <c r="DJ93" s="24"/>
      <c r="DK93" s="24"/>
      <c r="DL93" s="24"/>
      <c r="DM93" s="24"/>
      <c r="DN93" s="24"/>
      <c r="DO93" s="24"/>
      <c r="DP93" s="24"/>
      <c r="DQ93" s="24"/>
      <c r="DR93" s="24"/>
      <c r="DS93" s="24"/>
      <c r="DT93" s="24"/>
      <c r="DU93" s="24"/>
      <c r="DV93" s="24"/>
      <c r="DW93" s="24"/>
      <c r="DX93" s="24"/>
      <c r="DY93" s="24"/>
      <c r="DZ93" s="24"/>
      <c r="EA93" s="24"/>
    </row>
    <row r="94" spans="1:131">
      <c r="A94" s="24" t="s">
        <v>420</v>
      </c>
      <c r="B94" s="24"/>
      <c r="C94" s="45">
        <v>6.6762790697674417</v>
      </c>
      <c r="D94" s="45">
        <v>68.226666666666659</v>
      </c>
      <c r="E94" s="45">
        <v>0</v>
      </c>
      <c r="F94" s="45">
        <v>4.0008899869194874</v>
      </c>
      <c r="G94" s="45">
        <v>0</v>
      </c>
      <c r="H94" s="45">
        <v>0</v>
      </c>
      <c r="I94" s="45"/>
      <c r="J94" s="45"/>
      <c r="K94" s="45"/>
      <c r="L94" s="45">
        <v>73.145658131418585</v>
      </c>
      <c r="M94" s="45">
        <v>1.7073275578542112E-2</v>
      </c>
      <c r="N94" s="45">
        <v>1.6950048331816986E-2</v>
      </c>
      <c r="O94" s="45">
        <v>0</v>
      </c>
      <c r="P94" s="45">
        <v>0</v>
      </c>
      <c r="Q94" s="45">
        <v>0</v>
      </c>
      <c r="R94" s="45">
        <v>0.79783090928932687</v>
      </c>
      <c r="S94" s="45">
        <v>1.843665881971347</v>
      </c>
      <c r="T94" s="45">
        <v>0</v>
      </c>
      <c r="U94" s="45">
        <v>7.9972084671416068</v>
      </c>
      <c r="V94" s="45">
        <v>0.24005339921516924</v>
      </c>
      <c r="W94" s="45">
        <v>0.56012459816872828</v>
      </c>
      <c r="X94" s="45">
        <v>0</v>
      </c>
      <c r="Y94" s="45">
        <v>0</v>
      </c>
      <c r="Z94" s="45">
        <v>0</v>
      </c>
      <c r="AA94" s="45">
        <v>0</v>
      </c>
      <c r="AB94" s="45">
        <v>0</v>
      </c>
      <c r="AC94" s="45">
        <v>0</v>
      </c>
      <c r="AD94" s="45">
        <v>0</v>
      </c>
      <c r="AE94" s="45">
        <v>0</v>
      </c>
      <c r="AF94" s="45">
        <v>0</v>
      </c>
      <c r="AG94" s="45">
        <v>0</v>
      </c>
      <c r="AH94" s="45">
        <v>1.0378843085044962</v>
      </c>
      <c r="AI94" s="45">
        <v>2.4037904801400751</v>
      </c>
      <c r="AJ94" s="45">
        <v>0</v>
      </c>
      <c r="AK94" s="45">
        <v>7.9972084671416068</v>
      </c>
      <c r="AL94" s="45">
        <v>11.438883255786179</v>
      </c>
      <c r="AM94" s="45">
        <v>35.059455480272995</v>
      </c>
      <c r="AN94" s="45">
        <v>6.0328160591388107</v>
      </c>
      <c r="AO94" s="45">
        <v>0</v>
      </c>
      <c r="AP94" s="45">
        <v>0</v>
      </c>
      <c r="AQ94" s="45">
        <v>41.092271539411804</v>
      </c>
      <c r="AR94" s="45">
        <v>1.0378843085044962</v>
      </c>
      <c r="AS94" s="199">
        <v>39.592343002682355</v>
      </c>
      <c r="AT94" s="45">
        <v>35.059455480272995</v>
      </c>
      <c r="AU94" s="45">
        <v>7.141057340163405</v>
      </c>
      <c r="AV94" s="45">
        <v>0</v>
      </c>
      <c r="AW94" s="45">
        <v>0</v>
      </c>
      <c r="AX94" s="45">
        <v>42.200512820436401</v>
      </c>
      <c r="AY94" s="45">
        <v>2.4037904801400751</v>
      </c>
      <c r="AZ94" s="199">
        <v>17.555819930685999</v>
      </c>
      <c r="BA94" s="45">
        <v>35.059455480272995</v>
      </c>
      <c r="BB94" s="45">
        <v>13.173873399302217</v>
      </c>
      <c r="BC94" s="45">
        <v>0</v>
      </c>
      <c r="BD94" s="45">
        <v>0</v>
      </c>
      <c r="BE94" s="45">
        <v>48.233328879575211</v>
      </c>
      <c r="BF94" s="45">
        <v>3.4416747886445713</v>
      </c>
      <c r="BG94" s="45">
        <v>-9.7902216838547336</v>
      </c>
      <c r="BH94" s="199">
        <v>14.014493478208863</v>
      </c>
      <c r="BI94" s="45">
        <v>1.0440721433002755</v>
      </c>
      <c r="BJ94" s="45">
        <v>2.4181218061394114</v>
      </c>
      <c r="BK94" s="45">
        <v>0</v>
      </c>
      <c r="BL94" s="45">
        <v>8.0448875816793191</v>
      </c>
      <c r="BM94" s="45">
        <v>11.507081531119006</v>
      </c>
      <c r="BN94" s="45">
        <v>35.059455480272995</v>
      </c>
      <c r="BO94" s="45">
        <v>0</v>
      </c>
      <c r="BP94" s="45">
        <v>13.173873399302217</v>
      </c>
      <c r="BQ94" s="45">
        <v>0</v>
      </c>
      <c r="BR94" s="45">
        <v>0</v>
      </c>
      <c r="BS94" s="45">
        <v>0</v>
      </c>
      <c r="BT94" s="45">
        <v>0</v>
      </c>
      <c r="BU94" s="45">
        <v>0</v>
      </c>
      <c r="BV94" s="45">
        <v>0</v>
      </c>
      <c r="BW94" s="45">
        <v>0</v>
      </c>
      <c r="BX94" s="45">
        <v>10.638705258402281</v>
      </c>
      <c r="BY94" s="45">
        <v>0.8001779973838975</v>
      </c>
      <c r="BZ94" s="45">
        <v>0</v>
      </c>
      <c r="CA94" s="45">
        <v>0</v>
      </c>
      <c r="CB94" s="45">
        <v>48.233328879575211</v>
      </c>
      <c r="CC94" s="45">
        <v>11.438883255786179</v>
      </c>
      <c r="CD94" s="199">
        <v>4.2166116919828811</v>
      </c>
      <c r="CE94" s="45">
        <v>-1.7453341021754094</v>
      </c>
      <c r="CF94" s="45">
        <v>0.69488559328866673</v>
      </c>
      <c r="CG94" s="45">
        <v>0</v>
      </c>
      <c r="CH94" s="45">
        <v>0.69488559328866673</v>
      </c>
      <c r="CI94" s="45">
        <v>3.4744187612423837E-2</v>
      </c>
      <c r="CJ94" s="45">
        <v>0</v>
      </c>
      <c r="CK94" s="45">
        <v>3.4744187612423837E-2</v>
      </c>
      <c r="CL94" s="45"/>
      <c r="CM94" s="45">
        <v>0</v>
      </c>
      <c r="CN94" s="45"/>
      <c r="CO94" s="45">
        <v>0</v>
      </c>
      <c r="CP94" s="45">
        <v>0</v>
      </c>
      <c r="CQ94" s="45">
        <v>0</v>
      </c>
      <c r="CR94" s="45">
        <v>0</v>
      </c>
      <c r="CS94" s="45">
        <v>0</v>
      </c>
      <c r="CT94" s="45">
        <v>0</v>
      </c>
      <c r="CU94" s="45">
        <v>0</v>
      </c>
      <c r="CV94" s="45">
        <v>9999</v>
      </c>
      <c r="CW94" s="199">
        <v>9999</v>
      </c>
      <c r="CX94" s="24"/>
      <c r="CY94" s="24"/>
      <c r="CZ94" s="24"/>
      <c r="DA94" s="24"/>
      <c r="DB94" s="24"/>
      <c r="DC94" s="24"/>
      <c r="DD94" s="24"/>
      <c r="DE94" s="24"/>
      <c r="DF94" s="24"/>
      <c r="DG94" s="24"/>
      <c r="DH94" s="24"/>
      <c r="DI94" s="24"/>
      <c r="DJ94" s="24"/>
      <c r="DK94" s="24"/>
      <c r="DL94" s="24"/>
      <c r="DM94" s="24"/>
      <c r="DN94" s="24"/>
      <c r="DO94" s="24"/>
      <c r="DP94" s="24"/>
      <c r="DQ94" s="24"/>
      <c r="DR94" s="24"/>
      <c r="DS94" s="24"/>
      <c r="DT94" s="24"/>
      <c r="DU94" s="24"/>
      <c r="DV94" s="24"/>
      <c r="DW94" s="24"/>
      <c r="DX94" s="24"/>
      <c r="DY94" s="24"/>
      <c r="DZ94" s="24"/>
      <c r="EA94" s="24"/>
    </row>
    <row r="95" spans="1:131">
      <c r="A95" s="24" t="s">
        <v>421</v>
      </c>
      <c r="B95" s="24"/>
      <c r="C95" s="45">
        <v>6.6762790697674417</v>
      </c>
      <c r="D95" s="45">
        <v>68.226666666666659</v>
      </c>
      <c r="E95" s="45">
        <v>0</v>
      </c>
      <c r="F95" s="45">
        <v>4.0008899869194874</v>
      </c>
      <c r="G95" s="45">
        <v>0</v>
      </c>
      <c r="H95" s="45">
        <v>0</v>
      </c>
      <c r="I95" s="45"/>
      <c r="J95" s="45"/>
      <c r="K95" s="45"/>
      <c r="L95" s="45">
        <v>73.145658131418585</v>
      </c>
      <c r="M95" s="45">
        <v>1.7073275578542112E-2</v>
      </c>
      <c r="N95" s="45">
        <v>1.6950048331816986E-2</v>
      </c>
      <c r="O95" s="45">
        <v>0</v>
      </c>
      <c r="P95" s="45">
        <v>0</v>
      </c>
      <c r="Q95" s="45">
        <v>0</v>
      </c>
      <c r="R95" s="45">
        <v>0.79783090928932687</v>
      </c>
      <c r="S95" s="45">
        <v>1.843665881971347</v>
      </c>
      <c r="T95" s="45">
        <v>0</v>
      </c>
      <c r="U95" s="45">
        <v>7.9972084671416068</v>
      </c>
      <c r="V95" s="45">
        <v>0.24005339921516924</v>
      </c>
      <c r="W95" s="45">
        <v>0.56012459816872828</v>
      </c>
      <c r="X95" s="45">
        <v>0</v>
      </c>
      <c r="Y95" s="45">
        <v>0</v>
      </c>
      <c r="Z95" s="45">
        <v>0</v>
      </c>
      <c r="AA95" s="45">
        <v>0</v>
      </c>
      <c r="AB95" s="45">
        <v>0</v>
      </c>
      <c r="AC95" s="45">
        <v>0</v>
      </c>
      <c r="AD95" s="45">
        <v>0</v>
      </c>
      <c r="AE95" s="45">
        <v>0</v>
      </c>
      <c r="AF95" s="45">
        <v>0</v>
      </c>
      <c r="AG95" s="45">
        <v>0</v>
      </c>
      <c r="AH95" s="45">
        <v>1.0378843085044962</v>
      </c>
      <c r="AI95" s="45">
        <v>2.4037904801400751</v>
      </c>
      <c r="AJ95" s="45">
        <v>0</v>
      </c>
      <c r="AK95" s="45">
        <v>7.9972084671416068</v>
      </c>
      <c r="AL95" s="45">
        <v>11.438883255786179</v>
      </c>
      <c r="AM95" s="45">
        <v>35.059455480272995</v>
      </c>
      <c r="AN95" s="45">
        <v>6.0328160591388107</v>
      </c>
      <c r="AO95" s="45">
        <v>0</v>
      </c>
      <c r="AP95" s="45">
        <v>0</v>
      </c>
      <c r="AQ95" s="45">
        <v>41.092271539411804</v>
      </c>
      <c r="AR95" s="45">
        <v>1.0378843085044962</v>
      </c>
      <c r="AS95" s="199">
        <v>39.592343002682355</v>
      </c>
      <c r="AT95" s="45">
        <v>35.059455480272995</v>
      </c>
      <c r="AU95" s="45">
        <v>7.141057340163405</v>
      </c>
      <c r="AV95" s="45">
        <v>0</v>
      </c>
      <c r="AW95" s="45">
        <v>0</v>
      </c>
      <c r="AX95" s="45">
        <v>42.200512820436401</v>
      </c>
      <c r="AY95" s="45">
        <v>2.4037904801400751</v>
      </c>
      <c r="AZ95" s="199">
        <v>17.555819930685999</v>
      </c>
      <c r="BA95" s="45">
        <v>35.059455480272995</v>
      </c>
      <c r="BB95" s="45">
        <v>13.173873399302217</v>
      </c>
      <c r="BC95" s="45">
        <v>0</v>
      </c>
      <c r="BD95" s="45">
        <v>0</v>
      </c>
      <c r="BE95" s="45">
        <v>48.233328879575211</v>
      </c>
      <c r="BF95" s="45">
        <v>3.4416747886445713</v>
      </c>
      <c r="BG95" s="45">
        <v>-9.7902216838547336</v>
      </c>
      <c r="BH95" s="199">
        <v>14.014493478208863</v>
      </c>
      <c r="BI95" s="45">
        <v>1.0440721433002755</v>
      </c>
      <c r="BJ95" s="45">
        <v>2.4181218061394114</v>
      </c>
      <c r="BK95" s="45">
        <v>0</v>
      </c>
      <c r="BL95" s="45">
        <v>8.0448875816793191</v>
      </c>
      <c r="BM95" s="45">
        <v>11.507081531119006</v>
      </c>
      <c r="BN95" s="45">
        <v>35.059455480272995</v>
      </c>
      <c r="BO95" s="45">
        <v>0</v>
      </c>
      <c r="BP95" s="45">
        <v>13.173873399302217</v>
      </c>
      <c r="BQ95" s="45">
        <v>0</v>
      </c>
      <c r="BR95" s="45">
        <v>0</v>
      </c>
      <c r="BS95" s="45">
        <v>0</v>
      </c>
      <c r="BT95" s="45">
        <v>0</v>
      </c>
      <c r="BU95" s="45">
        <v>0</v>
      </c>
      <c r="BV95" s="45">
        <v>0</v>
      </c>
      <c r="BW95" s="45">
        <v>0</v>
      </c>
      <c r="BX95" s="45">
        <v>10.638705258402281</v>
      </c>
      <c r="BY95" s="45">
        <v>0.8001779973838975</v>
      </c>
      <c r="BZ95" s="45">
        <v>0</v>
      </c>
      <c r="CA95" s="45">
        <v>0</v>
      </c>
      <c r="CB95" s="45">
        <v>48.233328879575211</v>
      </c>
      <c r="CC95" s="45">
        <v>11.438883255786179</v>
      </c>
      <c r="CD95" s="199">
        <v>4.2166116919828811</v>
      </c>
      <c r="CE95" s="45">
        <v>-1.7453341021754094</v>
      </c>
      <c r="CF95" s="45">
        <v>0.69488559328866673</v>
      </c>
      <c r="CG95" s="45">
        <v>0</v>
      </c>
      <c r="CH95" s="45">
        <v>0.69488559328866673</v>
      </c>
      <c r="CI95" s="45">
        <v>3.4744187612423837E-2</v>
      </c>
      <c r="CJ95" s="45">
        <v>0</v>
      </c>
      <c r="CK95" s="45">
        <v>3.4744187612423837E-2</v>
      </c>
      <c r="CL95" s="45"/>
      <c r="CM95" s="45">
        <v>0</v>
      </c>
      <c r="CN95" s="45"/>
      <c r="CO95" s="45">
        <v>0</v>
      </c>
      <c r="CP95" s="45">
        <v>0</v>
      </c>
      <c r="CQ95" s="45">
        <v>0</v>
      </c>
      <c r="CR95" s="45">
        <v>0</v>
      </c>
      <c r="CS95" s="45">
        <v>0</v>
      </c>
      <c r="CT95" s="45">
        <v>0</v>
      </c>
      <c r="CU95" s="45">
        <v>0</v>
      </c>
      <c r="CV95" s="45">
        <v>9999</v>
      </c>
      <c r="CW95" s="199">
        <v>9999</v>
      </c>
      <c r="CX95" s="24"/>
      <c r="CY95" s="24"/>
      <c r="CZ95" s="24"/>
      <c r="DA95" s="24"/>
      <c r="DB95" s="24"/>
      <c r="DC95" s="24"/>
      <c r="DD95" s="24"/>
      <c r="DE95" s="24"/>
      <c r="DF95" s="24"/>
      <c r="DG95" s="24"/>
      <c r="DH95" s="24"/>
      <c r="DI95" s="24"/>
      <c r="DJ95" s="24"/>
      <c r="DK95" s="24"/>
      <c r="DL95" s="24"/>
      <c r="DM95" s="24"/>
      <c r="DN95" s="24"/>
      <c r="DO95" s="24"/>
      <c r="DP95" s="24"/>
      <c r="DQ95" s="24"/>
      <c r="DR95" s="24"/>
      <c r="DS95" s="24"/>
      <c r="DT95" s="24"/>
      <c r="DU95" s="24"/>
      <c r="DV95" s="24"/>
      <c r="DW95" s="24"/>
      <c r="DX95" s="24"/>
      <c r="DY95" s="24"/>
      <c r="DZ95" s="24"/>
      <c r="EA95" s="24"/>
    </row>
    <row r="96" spans="1:131">
      <c r="A96" s="24" t="s">
        <v>423</v>
      </c>
      <c r="B96" s="24"/>
      <c r="C96" s="45">
        <v>11.627906976744185</v>
      </c>
      <c r="D96" s="45">
        <v>1298.0734693877553</v>
      </c>
      <c r="E96" s="45">
        <v>0</v>
      </c>
      <c r="F96" s="45">
        <v>134.02315442591345</v>
      </c>
      <c r="G96" s="45">
        <v>0</v>
      </c>
      <c r="H96" s="45">
        <v>0</v>
      </c>
      <c r="I96" s="45"/>
      <c r="J96" s="45"/>
      <c r="K96" s="45"/>
      <c r="L96" s="45">
        <v>1391.6616897786967</v>
      </c>
      <c r="M96" s="45">
        <v>0.32483436677816196</v>
      </c>
      <c r="N96" s="45">
        <v>0.32248985798864294</v>
      </c>
      <c r="O96" s="45">
        <v>0</v>
      </c>
      <c r="P96" s="45">
        <v>0</v>
      </c>
      <c r="Q96" s="45">
        <v>0</v>
      </c>
      <c r="R96" s="45">
        <v>26.726007341126671</v>
      </c>
      <c r="S96" s="45">
        <v>61.759737962574029</v>
      </c>
      <c r="T96" s="45">
        <v>0</v>
      </c>
      <c r="U96" s="45">
        <v>130.73887605793738</v>
      </c>
      <c r="V96" s="45">
        <v>8.0413892655548072</v>
      </c>
      <c r="W96" s="45">
        <v>18.763241619627884</v>
      </c>
      <c r="X96" s="45">
        <v>0</v>
      </c>
      <c r="Y96" s="45">
        <v>0</v>
      </c>
      <c r="Z96" s="45">
        <v>0</v>
      </c>
      <c r="AA96" s="45">
        <v>0</v>
      </c>
      <c r="AB96" s="45">
        <v>0</v>
      </c>
      <c r="AC96" s="45">
        <v>0</v>
      </c>
      <c r="AD96" s="45">
        <v>0</v>
      </c>
      <c r="AE96" s="45">
        <v>0</v>
      </c>
      <c r="AF96" s="45">
        <v>0</v>
      </c>
      <c r="AG96" s="45">
        <v>0</v>
      </c>
      <c r="AH96" s="45">
        <v>34.76739660668148</v>
      </c>
      <c r="AI96" s="45">
        <v>80.522979582201913</v>
      </c>
      <c r="AJ96" s="45">
        <v>0</v>
      </c>
      <c r="AK96" s="45">
        <v>130.73887605793738</v>
      </c>
      <c r="AL96" s="45">
        <v>246.02925224682076</v>
      </c>
      <c r="AM96" s="45">
        <v>667.03755633364551</v>
      </c>
      <c r="AN96" s="45">
        <v>114.77973136697989</v>
      </c>
      <c r="AO96" s="45">
        <v>0</v>
      </c>
      <c r="AP96" s="45">
        <v>0</v>
      </c>
      <c r="AQ96" s="45">
        <v>781.81728770062546</v>
      </c>
      <c r="AR96" s="45">
        <v>34.76739660668148</v>
      </c>
      <c r="AS96" s="199">
        <v>22.487081691655291</v>
      </c>
      <c r="AT96" s="45">
        <v>667.03755633364551</v>
      </c>
      <c r="AU96" s="45">
        <v>135.86501480324617</v>
      </c>
      <c r="AV96" s="45">
        <v>0</v>
      </c>
      <c r="AW96" s="45">
        <v>0</v>
      </c>
      <c r="AX96" s="45">
        <v>802.90257113689165</v>
      </c>
      <c r="AY96" s="45">
        <v>80.522979582201913</v>
      </c>
      <c r="AZ96" s="199">
        <v>9.9710986267870059</v>
      </c>
      <c r="BA96" s="45">
        <v>667.03755633364551</v>
      </c>
      <c r="BB96" s="45">
        <v>250.64474617022606</v>
      </c>
      <c r="BC96" s="45">
        <v>0</v>
      </c>
      <c r="BD96" s="45">
        <v>0</v>
      </c>
      <c r="BE96" s="45">
        <v>917.6823025038716</v>
      </c>
      <c r="BF96" s="45">
        <v>115.29037618888339</v>
      </c>
      <c r="BG96" s="45">
        <v>-7.1566326291843261</v>
      </c>
      <c r="BH96" s="199">
        <v>7.9597476635899556</v>
      </c>
      <c r="BI96" s="45">
        <v>1.838267098590656</v>
      </c>
      <c r="BJ96" s="45">
        <v>4.2575159055194378</v>
      </c>
      <c r="BK96" s="45">
        <v>0</v>
      </c>
      <c r="BL96" s="45">
        <v>6.9125962200414373</v>
      </c>
      <c r="BM96" s="45">
        <v>13.008379224151531</v>
      </c>
      <c r="BN96" s="45">
        <v>667.03755633364551</v>
      </c>
      <c r="BO96" s="45">
        <v>0</v>
      </c>
      <c r="BP96" s="45">
        <v>250.64474617022606</v>
      </c>
      <c r="BQ96" s="45">
        <v>0</v>
      </c>
      <c r="BR96" s="45">
        <v>0</v>
      </c>
      <c r="BS96" s="45">
        <v>0</v>
      </c>
      <c r="BT96" s="45">
        <v>0</v>
      </c>
      <c r="BU96" s="45">
        <v>0</v>
      </c>
      <c r="BV96" s="45">
        <v>0</v>
      </c>
      <c r="BW96" s="45">
        <v>0</v>
      </c>
      <c r="BX96" s="45">
        <v>219.22462136163807</v>
      </c>
      <c r="BY96" s="45">
        <v>26.804630885182689</v>
      </c>
      <c r="BZ96" s="45">
        <v>0</v>
      </c>
      <c r="CA96" s="45">
        <v>0</v>
      </c>
      <c r="CB96" s="45">
        <v>917.6823025038716</v>
      </c>
      <c r="CC96" s="45">
        <v>246.02925224682076</v>
      </c>
      <c r="CD96" s="199">
        <v>3.729972326962312</v>
      </c>
      <c r="CE96" s="45">
        <v>-0.24403640914288602</v>
      </c>
      <c r="CF96" s="45">
        <v>13.220821080336949</v>
      </c>
      <c r="CG96" s="45">
        <v>0</v>
      </c>
      <c r="CH96" s="45">
        <v>13.220821080336949</v>
      </c>
      <c r="CI96" s="45">
        <v>0.66103930264488109</v>
      </c>
      <c r="CJ96" s="45">
        <v>0</v>
      </c>
      <c r="CK96" s="45">
        <v>0.66103930264488109</v>
      </c>
      <c r="CL96" s="45"/>
      <c r="CM96" s="45">
        <v>0</v>
      </c>
      <c r="CN96" s="45"/>
      <c r="CO96" s="45">
        <v>0</v>
      </c>
      <c r="CP96" s="45">
        <v>0</v>
      </c>
      <c r="CQ96" s="45">
        <v>0</v>
      </c>
      <c r="CR96" s="45">
        <v>0</v>
      </c>
      <c r="CS96" s="45">
        <v>0</v>
      </c>
      <c r="CT96" s="45">
        <v>0</v>
      </c>
      <c r="CU96" s="45">
        <v>0</v>
      </c>
      <c r="CV96" s="45">
        <v>9999</v>
      </c>
      <c r="CW96" s="199">
        <v>9999</v>
      </c>
      <c r="CX96" s="24"/>
      <c r="CY96" s="24"/>
      <c r="CZ96" s="24"/>
      <c r="DA96" s="24"/>
      <c r="DB96" s="24"/>
      <c r="DC96" s="24"/>
      <c r="DD96" s="24"/>
      <c r="DE96" s="24"/>
      <c r="DF96" s="24"/>
      <c r="DG96" s="24"/>
      <c r="DH96" s="24"/>
      <c r="DI96" s="24"/>
      <c r="DJ96" s="24"/>
      <c r="DK96" s="24"/>
      <c r="DL96" s="24"/>
      <c r="DM96" s="24"/>
      <c r="DN96" s="24"/>
      <c r="DO96" s="24"/>
      <c r="DP96" s="24"/>
      <c r="DQ96" s="24"/>
      <c r="DR96" s="24"/>
      <c r="DS96" s="24"/>
      <c r="DT96" s="24"/>
      <c r="DU96" s="24"/>
      <c r="DV96" s="24"/>
      <c r="DW96" s="24"/>
      <c r="DX96" s="24"/>
      <c r="DY96" s="24"/>
      <c r="DZ96" s="24"/>
      <c r="EA96" s="24"/>
    </row>
    <row r="97" spans="1:131">
      <c r="A97" s="24" t="s">
        <v>413</v>
      </c>
      <c r="B97" s="24"/>
      <c r="C97" s="45">
        <v>11.627906976744185</v>
      </c>
      <c r="D97" s="45">
        <v>743.50510204081638</v>
      </c>
      <c r="E97" s="45">
        <v>0</v>
      </c>
      <c r="F97" s="45">
        <v>83.017365819435099</v>
      </c>
      <c r="G97" s="45">
        <v>0</v>
      </c>
      <c r="H97" s="45">
        <v>0</v>
      </c>
      <c r="I97" s="45"/>
      <c r="J97" s="45"/>
      <c r="K97" s="45"/>
      <c r="L97" s="45">
        <v>797.11017216400808</v>
      </c>
      <c r="M97" s="45">
        <v>0.18605727234504985</v>
      </c>
      <c r="N97" s="45">
        <v>0.18471439438945222</v>
      </c>
      <c r="O97" s="45">
        <v>0</v>
      </c>
      <c r="P97" s="45">
        <v>0</v>
      </c>
      <c r="Q97" s="45">
        <v>0</v>
      </c>
      <c r="R97" s="45">
        <v>16.554771732056992</v>
      </c>
      <c r="S97" s="45">
        <v>38.255559506217139</v>
      </c>
      <c r="T97" s="45">
        <v>0</v>
      </c>
      <c r="U97" s="45">
        <v>80.982999892927637</v>
      </c>
      <c r="V97" s="45">
        <v>4.981041949166106</v>
      </c>
      <c r="W97" s="45">
        <v>11.622431214720914</v>
      </c>
      <c r="X97" s="45">
        <v>0</v>
      </c>
      <c r="Y97" s="45">
        <v>0</v>
      </c>
      <c r="Z97" s="45">
        <v>0</v>
      </c>
      <c r="AA97" s="45">
        <v>0</v>
      </c>
      <c r="AB97" s="45">
        <v>0</v>
      </c>
      <c r="AC97" s="45">
        <v>0</v>
      </c>
      <c r="AD97" s="45">
        <v>0</v>
      </c>
      <c r="AE97" s="45">
        <v>0</v>
      </c>
      <c r="AF97" s="45">
        <v>0</v>
      </c>
      <c r="AG97" s="45">
        <v>0</v>
      </c>
      <c r="AH97" s="45">
        <v>21.535813681223097</v>
      </c>
      <c r="AI97" s="45">
        <v>49.877990720938051</v>
      </c>
      <c r="AJ97" s="45">
        <v>0</v>
      </c>
      <c r="AK97" s="45">
        <v>80.982999892927637</v>
      </c>
      <c r="AL97" s="45">
        <v>152.3968042950888</v>
      </c>
      <c r="AM97" s="45">
        <v>382.06298648166677</v>
      </c>
      <c r="AN97" s="45">
        <v>65.743055300617698</v>
      </c>
      <c r="AO97" s="45">
        <v>0</v>
      </c>
      <c r="AP97" s="45">
        <v>0</v>
      </c>
      <c r="AQ97" s="45">
        <v>447.80604178228447</v>
      </c>
      <c r="AR97" s="45">
        <v>21.535813681223097</v>
      </c>
      <c r="AS97" s="199">
        <v>20.793551077790156</v>
      </c>
      <c r="AT97" s="45">
        <v>382.06298648166677</v>
      </c>
      <c r="AU97" s="45">
        <v>77.820195911337436</v>
      </c>
      <c r="AV97" s="45">
        <v>0</v>
      </c>
      <c r="AW97" s="45">
        <v>0</v>
      </c>
      <c r="AX97" s="45">
        <v>459.88318239300418</v>
      </c>
      <c r="AY97" s="45">
        <v>49.877990720938051</v>
      </c>
      <c r="AZ97" s="199">
        <v>9.2201625555849009</v>
      </c>
      <c r="BA97" s="45">
        <v>382.06298648166677</v>
      </c>
      <c r="BB97" s="45">
        <v>143.56325121195513</v>
      </c>
      <c r="BC97" s="45">
        <v>0</v>
      </c>
      <c r="BD97" s="45">
        <v>0</v>
      </c>
      <c r="BE97" s="45">
        <v>525.62623769362187</v>
      </c>
      <c r="BF97" s="45">
        <v>71.413804402161148</v>
      </c>
      <c r="BG97" s="45">
        <v>-6.6601616274627427</v>
      </c>
      <c r="BH97" s="199">
        <v>7.3602889818556596</v>
      </c>
      <c r="BI97" s="45">
        <v>1.9879847488504783</v>
      </c>
      <c r="BJ97" s="45">
        <v>4.6042692569811958</v>
      </c>
      <c r="BK97" s="45">
        <v>0</v>
      </c>
      <c r="BL97" s="45">
        <v>7.4755925680982527</v>
      </c>
      <c r="BM97" s="45">
        <v>14.067846573929929</v>
      </c>
      <c r="BN97" s="45">
        <v>382.06298648166677</v>
      </c>
      <c r="BO97" s="45">
        <v>0</v>
      </c>
      <c r="BP97" s="45">
        <v>143.56325121195513</v>
      </c>
      <c r="BQ97" s="45">
        <v>0</v>
      </c>
      <c r="BR97" s="45">
        <v>0</v>
      </c>
      <c r="BS97" s="45">
        <v>0</v>
      </c>
      <c r="BT97" s="45">
        <v>0</v>
      </c>
      <c r="BU97" s="45">
        <v>0</v>
      </c>
      <c r="BV97" s="45">
        <v>0</v>
      </c>
      <c r="BW97" s="45">
        <v>0</v>
      </c>
      <c r="BX97" s="45">
        <v>135.79333113120177</v>
      </c>
      <c r="BY97" s="45">
        <v>16.603473163887021</v>
      </c>
      <c r="BZ97" s="45">
        <v>0</v>
      </c>
      <c r="CA97" s="45">
        <v>0</v>
      </c>
      <c r="CB97" s="45">
        <v>525.62623769362187</v>
      </c>
      <c r="CC97" s="45">
        <v>152.3968042950888</v>
      </c>
      <c r="CD97" s="199">
        <v>3.4490633850552528</v>
      </c>
      <c r="CE97" s="45">
        <v>0.81543094063551591</v>
      </c>
      <c r="CF97" s="45">
        <v>7.5725666984285294</v>
      </c>
      <c r="CG97" s="45">
        <v>0</v>
      </c>
      <c r="CH97" s="45">
        <v>7.5725666984285294</v>
      </c>
      <c r="CI97" s="45">
        <v>0.37862733177790386</v>
      </c>
      <c r="CJ97" s="45">
        <v>0</v>
      </c>
      <c r="CK97" s="45">
        <v>0.37862733177790386</v>
      </c>
      <c r="CL97" s="45"/>
      <c r="CM97" s="45">
        <v>0</v>
      </c>
      <c r="CN97" s="45"/>
      <c r="CO97" s="45">
        <v>0</v>
      </c>
      <c r="CP97" s="45">
        <v>0</v>
      </c>
      <c r="CQ97" s="45">
        <v>0</v>
      </c>
      <c r="CR97" s="45">
        <v>0</v>
      </c>
      <c r="CS97" s="45">
        <v>0</v>
      </c>
      <c r="CT97" s="45">
        <v>0</v>
      </c>
      <c r="CU97" s="45">
        <v>0</v>
      </c>
      <c r="CV97" s="45">
        <v>9999</v>
      </c>
      <c r="CW97" s="199">
        <v>9999</v>
      </c>
      <c r="CX97" s="24"/>
      <c r="CY97" s="24"/>
      <c r="CZ97" s="24"/>
      <c r="DA97" s="24"/>
      <c r="DB97" s="24"/>
      <c r="DC97" s="24"/>
      <c r="DD97" s="24"/>
      <c r="DE97" s="24"/>
      <c r="DF97" s="24"/>
      <c r="DG97" s="24"/>
      <c r="DH97" s="24"/>
      <c r="DI97" s="24"/>
      <c r="DJ97" s="24"/>
      <c r="DK97" s="24"/>
      <c r="DL97" s="24"/>
      <c r="DM97" s="24"/>
      <c r="DN97" s="24"/>
      <c r="DO97" s="24"/>
      <c r="DP97" s="24"/>
      <c r="DQ97" s="24"/>
      <c r="DR97" s="24"/>
      <c r="DS97" s="24"/>
      <c r="DT97" s="24"/>
      <c r="DU97" s="24"/>
      <c r="DV97" s="24"/>
      <c r="DW97" s="24"/>
      <c r="DX97" s="24"/>
      <c r="DY97" s="24"/>
      <c r="DZ97" s="24"/>
      <c r="EA97" s="24"/>
    </row>
    <row r="98" spans="1:131">
      <c r="A98" s="24" t="s">
        <v>425</v>
      </c>
      <c r="B98" s="24"/>
      <c r="C98" s="45">
        <v>16.279069767441861</v>
      </c>
      <c r="D98" s="45">
        <v>1606.9202380952379</v>
      </c>
      <c r="E98" s="45">
        <v>0</v>
      </c>
      <c r="F98" s="45">
        <v>332.28218672874203</v>
      </c>
      <c r="G98" s="45">
        <v>0</v>
      </c>
      <c r="H98" s="45">
        <v>0</v>
      </c>
      <c r="I98" s="45"/>
      <c r="J98" s="45"/>
      <c r="K98" s="45"/>
      <c r="L98" s="45">
        <v>1722.7756260529418</v>
      </c>
      <c r="M98" s="45">
        <v>0.40212124376201641</v>
      </c>
      <c r="N98" s="45">
        <v>0.39921891295323159</v>
      </c>
      <c r="O98" s="45">
        <v>0</v>
      </c>
      <c r="P98" s="45">
        <v>0</v>
      </c>
      <c r="Q98" s="45">
        <v>0</v>
      </c>
      <c r="R98" s="45">
        <v>66.261506826024373</v>
      </c>
      <c r="S98" s="45">
        <v>153.120263956646</v>
      </c>
      <c r="T98" s="45">
        <v>0</v>
      </c>
      <c r="U98" s="45">
        <v>194.99885231854915</v>
      </c>
      <c r="V98" s="45">
        <v>19.936931203724523</v>
      </c>
      <c r="W98" s="45">
        <v>46.519506142023886</v>
      </c>
      <c r="X98" s="45">
        <v>0</v>
      </c>
      <c r="Y98" s="45">
        <v>0</v>
      </c>
      <c r="Z98" s="45">
        <v>0</v>
      </c>
      <c r="AA98" s="45">
        <v>0</v>
      </c>
      <c r="AB98" s="45">
        <v>0</v>
      </c>
      <c r="AC98" s="45">
        <v>0</v>
      </c>
      <c r="AD98" s="45">
        <v>0</v>
      </c>
      <c r="AE98" s="45">
        <v>0</v>
      </c>
      <c r="AF98" s="45">
        <v>0</v>
      </c>
      <c r="AG98" s="45">
        <v>0</v>
      </c>
      <c r="AH98" s="45">
        <v>86.1984380297489</v>
      </c>
      <c r="AI98" s="45">
        <v>199.63977009866989</v>
      </c>
      <c r="AJ98" s="45">
        <v>0</v>
      </c>
      <c r="AK98" s="45">
        <v>194.99885231854915</v>
      </c>
      <c r="AL98" s="45">
        <v>480.83706044696794</v>
      </c>
      <c r="AM98" s="45">
        <v>825.74382276504309</v>
      </c>
      <c r="AN98" s="45">
        <v>142.08893225722269</v>
      </c>
      <c r="AO98" s="45">
        <v>0</v>
      </c>
      <c r="AP98" s="45">
        <v>0</v>
      </c>
      <c r="AQ98" s="45">
        <v>967.83275502226581</v>
      </c>
      <c r="AR98" s="45">
        <v>86.1984380297489</v>
      </c>
      <c r="AS98" s="199">
        <v>11.227961632996717</v>
      </c>
      <c r="AT98" s="45">
        <v>825.74382276504309</v>
      </c>
      <c r="AU98" s="45">
        <v>168.19097461364754</v>
      </c>
      <c r="AV98" s="45">
        <v>0</v>
      </c>
      <c r="AW98" s="45">
        <v>0</v>
      </c>
      <c r="AX98" s="45">
        <v>993.93479737869063</v>
      </c>
      <c r="AY98" s="45">
        <v>199.63977009866989</v>
      </c>
      <c r="AZ98" s="199">
        <v>4.9786412641501672</v>
      </c>
      <c r="BA98" s="45">
        <v>825.74382276504309</v>
      </c>
      <c r="BB98" s="45">
        <v>310.27990687087026</v>
      </c>
      <c r="BC98" s="45">
        <v>0</v>
      </c>
      <c r="BD98" s="45">
        <v>0</v>
      </c>
      <c r="BE98" s="45">
        <v>1136.0237296359132</v>
      </c>
      <c r="BF98" s="45">
        <v>285.83820812841878</v>
      </c>
      <c r="BG98" s="45">
        <v>-1.0439333754652007</v>
      </c>
      <c r="BH98" s="199">
        <v>3.974359261045783</v>
      </c>
      <c r="BI98" s="45">
        <v>3.6816355246181409</v>
      </c>
      <c r="BJ98" s="45">
        <v>8.5268467332110731</v>
      </c>
      <c r="BK98" s="45">
        <v>0</v>
      </c>
      <c r="BL98" s="45">
        <v>8.3286277381032079</v>
      </c>
      <c r="BM98" s="45">
        <v>20.537109995932422</v>
      </c>
      <c r="BN98" s="45">
        <v>825.74382276504309</v>
      </c>
      <c r="BO98" s="45">
        <v>0</v>
      </c>
      <c r="BP98" s="45">
        <v>310.27990687087026</v>
      </c>
      <c r="BQ98" s="45">
        <v>0</v>
      </c>
      <c r="BR98" s="45">
        <v>0</v>
      </c>
      <c r="BS98" s="45">
        <v>0</v>
      </c>
      <c r="BT98" s="45">
        <v>0</v>
      </c>
      <c r="BU98" s="45">
        <v>0</v>
      </c>
      <c r="BV98" s="45">
        <v>0</v>
      </c>
      <c r="BW98" s="45">
        <v>0</v>
      </c>
      <c r="BX98" s="45">
        <v>414.3806231012195</v>
      </c>
      <c r="BY98" s="45">
        <v>66.456437345748412</v>
      </c>
      <c r="BZ98" s="45">
        <v>0</v>
      </c>
      <c r="CA98" s="45">
        <v>0</v>
      </c>
      <c r="CB98" s="45">
        <v>1136.0237296359132</v>
      </c>
      <c r="CC98" s="45">
        <v>480.83706044696794</v>
      </c>
      <c r="CD98" s="199">
        <v>2.3625960290579693</v>
      </c>
      <c r="CE98" s="45">
        <v>7.2846943626380103</v>
      </c>
      <c r="CF98" s="45">
        <v>16.366411808916986</v>
      </c>
      <c r="CG98" s="45">
        <v>0</v>
      </c>
      <c r="CH98" s="45">
        <v>16.366411808916986</v>
      </c>
      <c r="CI98" s="45">
        <v>0.81831842237514751</v>
      </c>
      <c r="CJ98" s="45">
        <v>0</v>
      </c>
      <c r="CK98" s="45">
        <v>0.81831842237514751</v>
      </c>
      <c r="CL98" s="45"/>
      <c r="CM98" s="45">
        <v>0</v>
      </c>
      <c r="CN98" s="45"/>
      <c r="CO98" s="45">
        <v>0</v>
      </c>
      <c r="CP98" s="45">
        <v>0</v>
      </c>
      <c r="CQ98" s="45">
        <v>0</v>
      </c>
      <c r="CR98" s="45">
        <v>0</v>
      </c>
      <c r="CS98" s="45">
        <v>0</v>
      </c>
      <c r="CT98" s="45">
        <v>0</v>
      </c>
      <c r="CU98" s="45">
        <v>0</v>
      </c>
      <c r="CV98" s="45">
        <v>9999</v>
      </c>
      <c r="CW98" s="199">
        <v>9999</v>
      </c>
      <c r="CX98" s="24"/>
      <c r="CY98" s="24"/>
      <c r="CZ98" s="24"/>
      <c r="DA98" s="24"/>
      <c r="DB98" s="24"/>
      <c r="DC98" s="24"/>
      <c r="DD98" s="24"/>
      <c r="DE98" s="24"/>
      <c r="DF98" s="24"/>
      <c r="DG98" s="24"/>
      <c r="DH98" s="24"/>
      <c r="DI98" s="24"/>
      <c r="DJ98" s="24"/>
      <c r="DK98" s="24"/>
      <c r="DL98" s="24"/>
      <c r="DM98" s="24"/>
      <c r="DN98" s="24"/>
      <c r="DO98" s="24"/>
      <c r="DP98" s="24"/>
      <c r="DQ98" s="24"/>
      <c r="DR98" s="24"/>
      <c r="DS98" s="24"/>
      <c r="DT98" s="24"/>
      <c r="DU98" s="24"/>
      <c r="DV98" s="24"/>
      <c r="DW98" s="24"/>
      <c r="DX98" s="24"/>
      <c r="DY98" s="24"/>
      <c r="DZ98" s="24"/>
      <c r="EA98" s="24"/>
    </row>
    <row r="99" spans="1:131">
      <c r="A99" s="24" t="s">
        <v>424</v>
      </c>
      <c r="B99" s="24"/>
      <c r="C99" s="45">
        <v>11.627906976744185</v>
      </c>
      <c r="D99" s="45">
        <v>3159.841836734694</v>
      </c>
      <c r="E99" s="45">
        <v>0</v>
      </c>
      <c r="F99" s="45">
        <v>532.0694632777404</v>
      </c>
      <c r="G99" s="45">
        <v>0</v>
      </c>
      <c r="H99" s="45">
        <v>0</v>
      </c>
      <c r="I99" s="45"/>
      <c r="J99" s="45"/>
      <c r="K99" s="45"/>
      <c r="L99" s="45">
        <v>3387.6594304155228</v>
      </c>
      <c r="M99" s="45">
        <v>0.7907296823799802</v>
      </c>
      <c r="N99" s="45">
        <v>0.7850225501302095</v>
      </c>
      <c r="O99" s="45">
        <v>0</v>
      </c>
      <c r="P99" s="45">
        <v>0</v>
      </c>
      <c r="Q99" s="45">
        <v>0</v>
      </c>
      <c r="R99" s="45">
        <v>106.10175862866241</v>
      </c>
      <c r="S99" s="45">
        <v>245.18502620445005</v>
      </c>
      <c r="T99" s="45">
        <v>0</v>
      </c>
      <c r="U99" s="45">
        <v>519.03093843485806</v>
      </c>
      <c r="V99" s="45">
        <v>31.924167796664424</v>
      </c>
      <c r="W99" s="45">
        <v>74.489724858883662</v>
      </c>
      <c r="X99" s="45">
        <v>0</v>
      </c>
      <c r="Y99" s="45">
        <v>0</v>
      </c>
      <c r="Z99" s="45">
        <v>0</v>
      </c>
      <c r="AA99" s="45">
        <v>0</v>
      </c>
      <c r="AB99" s="45">
        <v>0</v>
      </c>
      <c r="AC99" s="45">
        <v>0</v>
      </c>
      <c r="AD99" s="45">
        <v>0</v>
      </c>
      <c r="AE99" s="45">
        <v>0</v>
      </c>
      <c r="AF99" s="45">
        <v>0</v>
      </c>
      <c r="AG99" s="45">
        <v>0</v>
      </c>
      <c r="AH99" s="45">
        <v>138.02592642532684</v>
      </c>
      <c r="AI99" s="45">
        <v>319.6747510633337</v>
      </c>
      <c r="AJ99" s="45">
        <v>0</v>
      </c>
      <c r="AK99" s="45">
        <v>519.03093843485806</v>
      </c>
      <c r="AL99" s="45">
        <v>976.73161592351858</v>
      </c>
      <c r="AM99" s="45">
        <v>1623.7395084967363</v>
      </c>
      <c r="AN99" s="45">
        <v>279.40313528911093</v>
      </c>
      <c r="AO99" s="45">
        <v>0</v>
      </c>
      <c r="AP99" s="45">
        <v>0</v>
      </c>
      <c r="AQ99" s="45">
        <v>1903.1426437858472</v>
      </c>
      <c r="AR99" s="45">
        <v>138.02592642532684</v>
      </c>
      <c r="AS99" s="199">
        <v>13.788298278986471</v>
      </c>
      <c r="AT99" s="45">
        <v>1623.7395084967363</v>
      </c>
      <c r="AU99" s="45">
        <v>330.73009197727737</v>
      </c>
      <c r="AV99" s="45">
        <v>0</v>
      </c>
      <c r="AW99" s="45">
        <v>0</v>
      </c>
      <c r="AX99" s="45">
        <v>1954.4696004740138</v>
      </c>
      <c r="AY99" s="45">
        <v>319.6747510633337</v>
      </c>
      <c r="AZ99" s="199">
        <v>6.1139317195770513</v>
      </c>
      <c r="BA99" s="45">
        <v>1623.7395084967363</v>
      </c>
      <c r="BB99" s="45">
        <v>610.1332272663883</v>
      </c>
      <c r="BC99" s="45">
        <v>0</v>
      </c>
      <c r="BD99" s="45">
        <v>0</v>
      </c>
      <c r="BE99" s="45">
        <v>2233.8727357631246</v>
      </c>
      <c r="BF99" s="45">
        <v>457.70067748866052</v>
      </c>
      <c r="BG99" s="45">
        <v>-3.3109154122748703</v>
      </c>
      <c r="BH99" s="199">
        <v>4.8806410950057391</v>
      </c>
      <c r="BI99" s="45">
        <v>2.9979959513995063</v>
      </c>
      <c r="BJ99" s="45">
        <v>6.9435042696200471</v>
      </c>
      <c r="BK99" s="45">
        <v>0</v>
      </c>
      <c r="BL99" s="45">
        <v>11.273625849710402</v>
      </c>
      <c r="BM99" s="45">
        <v>21.215126070729955</v>
      </c>
      <c r="BN99" s="45">
        <v>1623.7395084967363</v>
      </c>
      <c r="BO99" s="45">
        <v>0</v>
      </c>
      <c r="BP99" s="45">
        <v>610.1332272663883</v>
      </c>
      <c r="BQ99" s="45">
        <v>0</v>
      </c>
      <c r="BR99" s="45">
        <v>0</v>
      </c>
      <c r="BS99" s="45">
        <v>0</v>
      </c>
      <c r="BT99" s="45">
        <v>0</v>
      </c>
      <c r="BU99" s="45">
        <v>0</v>
      </c>
      <c r="BV99" s="45">
        <v>0</v>
      </c>
      <c r="BW99" s="45">
        <v>0</v>
      </c>
      <c r="BX99" s="45">
        <v>870.31772326797045</v>
      </c>
      <c r="BY99" s="45">
        <v>106.41389265554808</v>
      </c>
      <c r="BZ99" s="45">
        <v>0</v>
      </c>
      <c r="CA99" s="45">
        <v>0</v>
      </c>
      <c r="CB99" s="45">
        <v>2233.8727357631246</v>
      </c>
      <c r="CC99" s="45">
        <v>976.73161592351858</v>
      </c>
      <c r="CD99" s="199">
        <v>2.2870896153504305</v>
      </c>
      <c r="CE99" s="45">
        <v>7.9627104374355353</v>
      </c>
      <c r="CF99" s="45">
        <v>32.182849854666841</v>
      </c>
      <c r="CG99" s="45">
        <v>0</v>
      </c>
      <c r="CH99" s="45">
        <v>32.182849854666841</v>
      </c>
      <c r="CI99" s="45">
        <v>1.6091382294473737</v>
      </c>
      <c r="CJ99" s="45">
        <v>0</v>
      </c>
      <c r="CK99" s="45">
        <v>1.6091382294473737</v>
      </c>
      <c r="CL99" s="45"/>
      <c r="CM99" s="45">
        <v>0</v>
      </c>
      <c r="CN99" s="45"/>
      <c r="CO99" s="45">
        <v>0</v>
      </c>
      <c r="CP99" s="45">
        <v>0</v>
      </c>
      <c r="CQ99" s="45">
        <v>0</v>
      </c>
      <c r="CR99" s="45">
        <v>0</v>
      </c>
      <c r="CS99" s="45">
        <v>0</v>
      </c>
      <c r="CT99" s="45">
        <v>0</v>
      </c>
      <c r="CU99" s="45">
        <v>0</v>
      </c>
      <c r="CV99" s="45">
        <v>9999</v>
      </c>
      <c r="CW99" s="199">
        <v>9999</v>
      </c>
      <c r="CX99" s="24"/>
      <c r="CY99" s="24"/>
      <c r="CZ99" s="24"/>
      <c r="DA99" s="24"/>
      <c r="DB99" s="24"/>
      <c r="DC99" s="24"/>
      <c r="DD99" s="24"/>
      <c r="DE99" s="24"/>
      <c r="DF99" s="24"/>
      <c r="DG99" s="24"/>
      <c r="DH99" s="24"/>
      <c r="DI99" s="24"/>
      <c r="DJ99" s="24"/>
      <c r="DK99" s="24"/>
      <c r="DL99" s="24"/>
      <c r="DM99" s="24"/>
      <c r="DN99" s="24"/>
      <c r="DO99" s="24"/>
      <c r="DP99" s="24"/>
      <c r="DQ99" s="24"/>
      <c r="DR99" s="24"/>
      <c r="DS99" s="24"/>
      <c r="DT99" s="24"/>
      <c r="DU99" s="24"/>
      <c r="DV99" s="24"/>
      <c r="DW99" s="24"/>
      <c r="DX99" s="24"/>
      <c r="DY99" s="24"/>
      <c r="DZ99" s="24"/>
      <c r="EA99" s="24"/>
    </row>
    <row r="100" spans="1:131">
      <c r="A100" s="24" t="s">
        <v>422</v>
      </c>
      <c r="B100" s="24"/>
      <c r="C100" s="45">
        <v>6.6762790697674417</v>
      </c>
      <c r="D100" s="45">
        <v>278.92666666666668</v>
      </c>
      <c r="E100" s="45">
        <v>0</v>
      </c>
      <c r="F100" s="45">
        <v>30.451059986919489</v>
      </c>
      <c r="G100" s="45">
        <v>0</v>
      </c>
      <c r="H100" s="45">
        <v>0</v>
      </c>
      <c r="I100" s="45"/>
      <c r="J100" s="45"/>
      <c r="K100" s="45"/>
      <c r="L100" s="45">
        <v>299.03666118432898</v>
      </c>
      <c r="M100" s="45">
        <v>6.9799567806392765E-2</v>
      </c>
      <c r="N100" s="45">
        <v>6.9295785827134165E-2</v>
      </c>
      <c r="O100" s="45">
        <v>0</v>
      </c>
      <c r="P100" s="45">
        <v>0</v>
      </c>
      <c r="Q100" s="45">
        <v>0</v>
      </c>
      <c r="R100" s="45">
        <v>6.0723481419427285</v>
      </c>
      <c r="S100" s="45">
        <v>14.032272957090957</v>
      </c>
      <c r="T100" s="45">
        <v>0</v>
      </c>
      <c r="U100" s="45">
        <v>60.867325909236541</v>
      </c>
      <c r="V100" s="45">
        <v>1.8270635992151694</v>
      </c>
      <c r="W100" s="45">
        <v>4.2631483981687284</v>
      </c>
      <c r="X100" s="45">
        <v>0</v>
      </c>
      <c r="Y100" s="45">
        <v>0</v>
      </c>
      <c r="Z100" s="45">
        <v>0</v>
      </c>
      <c r="AA100" s="45">
        <v>0</v>
      </c>
      <c r="AB100" s="45">
        <v>0</v>
      </c>
      <c r="AC100" s="45">
        <v>0</v>
      </c>
      <c r="AD100" s="45">
        <v>0</v>
      </c>
      <c r="AE100" s="45">
        <v>0</v>
      </c>
      <c r="AF100" s="45">
        <v>0</v>
      </c>
      <c r="AG100" s="45">
        <v>0</v>
      </c>
      <c r="AH100" s="45">
        <v>7.8994117411578983</v>
      </c>
      <c r="AI100" s="45">
        <v>18.295421355259684</v>
      </c>
      <c r="AJ100" s="45">
        <v>0</v>
      </c>
      <c r="AK100" s="45">
        <v>60.867325909236541</v>
      </c>
      <c r="AL100" s="45">
        <v>87.062159005654138</v>
      </c>
      <c r="AM100" s="45">
        <v>143.33130328699843</v>
      </c>
      <c r="AN100" s="45">
        <v>24.66357153589102</v>
      </c>
      <c r="AO100" s="45">
        <v>0</v>
      </c>
      <c r="AP100" s="45">
        <v>0</v>
      </c>
      <c r="AQ100" s="45">
        <v>167.99487482288944</v>
      </c>
      <c r="AR100" s="45">
        <v>7.8994117411578983</v>
      </c>
      <c r="AS100" s="199">
        <v>21.266757617860883</v>
      </c>
      <c r="AT100" s="45">
        <v>143.33130328699843</v>
      </c>
      <c r="AU100" s="45">
        <v>29.194322655373931</v>
      </c>
      <c r="AV100" s="45">
        <v>0</v>
      </c>
      <c r="AW100" s="45">
        <v>0</v>
      </c>
      <c r="AX100" s="45">
        <v>172.52562594237236</v>
      </c>
      <c r="AY100" s="45">
        <v>18.295421355259684</v>
      </c>
      <c r="AZ100" s="199">
        <v>9.4299892083531383</v>
      </c>
      <c r="BA100" s="45">
        <v>143.33130328699843</v>
      </c>
      <c r="BB100" s="45">
        <v>53.857894191264947</v>
      </c>
      <c r="BC100" s="45">
        <v>0</v>
      </c>
      <c r="BD100" s="45">
        <v>0</v>
      </c>
      <c r="BE100" s="45">
        <v>197.18919747826337</v>
      </c>
      <c r="BF100" s="45">
        <v>26.194833096417582</v>
      </c>
      <c r="BG100" s="45">
        <v>-6.8068458454061123</v>
      </c>
      <c r="BH100" s="199">
        <v>7.5277898031436994</v>
      </c>
      <c r="BI100" s="45">
        <v>1.9437501080264881</v>
      </c>
      <c r="BJ100" s="45">
        <v>4.5018196798618169</v>
      </c>
      <c r="BK100" s="45">
        <v>0</v>
      </c>
      <c r="BL100" s="45">
        <v>14.977174907206436</v>
      </c>
      <c r="BM100" s="45">
        <v>21.422744695094742</v>
      </c>
      <c r="BN100" s="45">
        <v>143.33130328699843</v>
      </c>
      <c r="BO100" s="45">
        <v>0</v>
      </c>
      <c r="BP100" s="45">
        <v>53.857894191264947</v>
      </c>
      <c r="BQ100" s="45">
        <v>0</v>
      </c>
      <c r="BR100" s="45">
        <v>0</v>
      </c>
      <c r="BS100" s="45">
        <v>0</v>
      </c>
      <c r="BT100" s="45">
        <v>0</v>
      </c>
      <c r="BU100" s="45">
        <v>0</v>
      </c>
      <c r="BV100" s="45">
        <v>0</v>
      </c>
      <c r="BW100" s="45">
        <v>0</v>
      </c>
      <c r="BX100" s="45">
        <v>80.971947008270234</v>
      </c>
      <c r="BY100" s="45">
        <v>6.0902119973838982</v>
      </c>
      <c r="BZ100" s="45">
        <v>0</v>
      </c>
      <c r="CA100" s="45">
        <v>0</v>
      </c>
      <c r="CB100" s="45">
        <v>197.18919747826337</v>
      </c>
      <c r="CC100" s="45">
        <v>87.062159005654138</v>
      </c>
      <c r="CD100" s="199">
        <v>2.2649242762915764</v>
      </c>
      <c r="CE100" s="45">
        <v>8.1703290618003326</v>
      </c>
      <c r="CF100" s="45">
        <v>2.8408558078566108</v>
      </c>
      <c r="CG100" s="45">
        <v>0</v>
      </c>
      <c r="CH100" s="45">
        <v>2.8408558078566108</v>
      </c>
      <c r="CI100" s="45">
        <v>0.14204241406255627</v>
      </c>
      <c r="CJ100" s="45">
        <v>0</v>
      </c>
      <c r="CK100" s="45">
        <v>0.14204241406255627</v>
      </c>
      <c r="CL100" s="45"/>
      <c r="CM100" s="45">
        <v>0</v>
      </c>
      <c r="CN100" s="45"/>
      <c r="CO100" s="45">
        <v>0</v>
      </c>
      <c r="CP100" s="45">
        <v>0</v>
      </c>
      <c r="CQ100" s="45">
        <v>0</v>
      </c>
      <c r="CR100" s="45">
        <v>0</v>
      </c>
      <c r="CS100" s="45">
        <v>0</v>
      </c>
      <c r="CT100" s="45">
        <v>0</v>
      </c>
      <c r="CU100" s="45">
        <v>0</v>
      </c>
      <c r="CV100" s="45">
        <v>9999</v>
      </c>
      <c r="CW100" s="199">
        <v>9999</v>
      </c>
      <c r="CX100" s="24"/>
      <c r="CY100" s="24"/>
      <c r="CZ100" s="24"/>
      <c r="DA100" s="24"/>
      <c r="DB100" s="24"/>
      <c r="DC100" s="24"/>
      <c r="DD100" s="24"/>
      <c r="DE100" s="24"/>
      <c r="DF100" s="24"/>
      <c r="DG100" s="24"/>
      <c r="DH100" s="24"/>
      <c r="DI100" s="24"/>
      <c r="DJ100" s="24"/>
      <c r="DK100" s="24"/>
      <c r="DL100" s="24"/>
      <c r="DM100" s="24"/>
      <c r="DN100" s="24"/>
      <c r="DO100" s="24"/>
      <c r="DP100" s="24"/>
      <c r="DQ100" s="24"/>
      <c r="DR100" s="24"/>
      <c r="DS100" s="24"/>
      <c r="DT100" s="24"/>
      <c r="DU100" s="24"/>
      <c r="DV100" s="24"/>
      <c r="DW100" s="24"/>
      <c r="DX100" s="24"/>
      <c r="DY100" s="24"/>
      <c r="DZ100" s="24"/>
      <c r="EA100" s="24"/>
    </row>
    <row r="101" spans="1:131">
      <c r="A101" s="24" t="s">
        <v>426</v>
      </c>
      <c r="B101" s="24"/>
      <c r="C101" s="45">
        <v>16.279069767441861</v>
      </c>
      <c r="D101" s="45">
        <v>1606.9202380952379</v>
      </c>
      <c r="E101" s="45">
        <v>0</v>
      </c>
      <c r="F101" s="45">
        <v>371.54658006207535</v>
      </c>
      <c r="G101" s="45">
        <v>0</v>
      </c>
      <c r="H101" s="45">
        <v>0</v>
      </c>
      <c r="I101" s="45"/>
      <c r="J101" s="45"/>
      <c r="K101" s="45"/>
      <c r="L101" s="45">
        <v>1722.7756260529418</v>
      </c>
      <c r="M101" s="45">
        <v>0.40212124376201641</v>
      </c>
      <c r="N101" s="45">
        <v>0.39921891295323159</v>
      </c>
      <c r="O101" s="45">
        <v>0</v>
      </c>
      <c r="P101" s="45">
        <v>0</v>
      </c>
      <c r="Q101" s="45">
        <v>0</v>
      </c>
      <c r="R101" s="45">
        <v>74.091351370174664</v>
      </c>
      <c r="S101" s="45">
        <v>171.21384378554487</v>
      </c>
      <c r="T101" s="45">
        <v>0</v>
      </c>
      <c r="U101" s="45">
        <v>218.04104941121025</v>
      </c>
      <c r="V101" s="45">
        <v>22.292794803724522</v>
      </c>
      <c r="W101" s="45">
        <v>52.016521208690548</v>
      </c>
      <c r="X101" s="45">
        <v>0</v>
      </c>
      <c r="Y101" s="45">
        <v>0</v>
      </c>
      <c r="Z101" s="45">
        <v>0</v>
      </c>
      <c r="AA101" s="45">
        <v>0</v>
      </c>
      <c r="AB101" s="45">
        <v>0</v>
      </c>
      <c r="AC101" s="45">
        <v>0</v>
      </c>
      <c r="AD101" s="45">
        <v>0</v>
      </c>
      <c r="AE101" s="45">
        <v>0</v>
      </c>
      <c r="AF101" s="45">
        <v>0</v>
      </c>
      <c r="AG101" s="45">
        <v>0</v>
      </c>
      <c r="AH101" s="45">
        <v>96.384146173899182</v>
      </c>
      <c r="AI101" s="45">
        <v>223.2303649942354</v>
      </c>
      <c r="AJ101" s="45">
        <v>0</v>
      </c>
      <c r="AK101" s="45">
        <v>218.04104941121025</v>
      </c>
      <c r="AL101" s="45">
        <v>537.65556057934486</v>
      </c>
      <c r="AM101" s="45">
        <v>825.74382276504309</v>
      </c>
      <c r="AN101" s="45">
        <v>142.08893225722269</v>
      </c>
      <c r="AO101" s="45">
        <v>0</v>
      </c>
      <c r="AP101" s="45">
        <v>0</v>
      </c>
      <c r="AQ101" s="45">
        <v>967.83275502226581</v>
      </c>
      <c r="AR101" s="45">
        <v>96.384146173899182</v>
      </c>
      <c r="AS101" s="199">
        <v>10.041410267577334</v>
      </c>
      <c r="AT101" s="45">
        <v>825.74382276504309</v>
      </c>
      <c r="AU101" s="45">
        <v>168.19097461364754</v>
      </c>
      <c r="AV101" s="45">
        <v>0</v>
      </c>
      <c r="AW101" s="45">
        <v>0</v>
      </c>
      <c r="AX101" s="45">
        <v>993.93479737869063</v>
      </c>
      <c r="AY101" s="45">
        <v>223.2303649942354</v>
      </c>
      <c r="AZ101" s="199">
        <v>4.4525071551281004</v>
      </c>
      <c r="BA101" s="45">
        <v>825.74382276504309</v>
      </c>
      <c r="BB101" s="45">
        <v>310.27990687087026</v>
      </c>
      <c r="BC101" s="45">
        <v>0</v>
      </c>
      <c r="BD101" s="45">
        <v>0</v>
      </c>
      <c r="BE101" s="45">
        <v>1136.0237296359132</v>
      </c>
      <c r="BF101" s="45">
        <v>319.61451116813458</v>
      </c>
      <c r="BG101" s="45">
        <v>0.39869180433642498</v>
      </c>
      <c r="BH101" s="199">
        <v>3.5543559192101357</v>
      </c>
      <c r="BI101" s="45">
        <v>4.1166789639662404</v>
      </c>
      <c r="BJ101" s="45">
        <v>9.5344284736645939</v>
      </c>
      <c r="BK101" s="45">
        <v>0</v>
      </c>
      <c r="BL101" s="45">
        <v>9.312786770687028</v>
      </c>
      <c r="BM101" s="45">
        <v>22.963894208317864</v>
      </c>
      <c r="BN101" s="45">
        <v>825.74382276504309</v>
      </c>
      <c r="BO101" s="45">
        <v>0</v>
      </c>
      <c r="BP101" s="45">
        <v>310.27990687087026</v>
      </c>
      <c r="BQ101" s="45">
        <v>0</v>
      </c>
      <c r="BR101" s="45">
        <v>0</v>
      </c>
      <c r="BS101" s="45">
        <v>0</v>
      </c>
      <c r="BT101" s="45">
        <v>0</v>
      </c>
      <c r="BU101" s="45">
        <v>0</v>
      </c>
      <c r="BV101" s="45">
        <v>0</v>
      </c>
      <c r="BW101" s="45">
        <v>0</v>
      </c>
      <c r="BX101" s="45">
        <v>463.34624456692978</v>
      </c>
      <c r="BY101" s="45">
        <v>74.309316012415067</v>
      </c>
      <c r="BZ101" s="45">
        <v>0</v>
      </c>
      <c r="CA101" s="45">
        <v>0</v>
      </c>
      <c r="CB101" s="45">
        <v>1136.0237296359132</v>
      </c>
      <c r="CC101" s="45">
        <v>537.65556057934486</v>
      </c>
      <c r="CD101" s="199">
        <v>2.1129210091527804</v>
      </c>
      <c r="CE101" s="45">
        <v>9.7114785750234507</v>
      </c>
      <c r="CF101" s="45">
        <v>16.366411808916986</v>
      </c>
      <c r="CG101" s="45">
        <v>0</v>
      </c>
      <c r="CH101" s="45">
        <v>16.366411808916986</v>
      </c>
      <c r="CI101" s="45">
        <v>0.81831842237514751</v>
      </c>
      <c r="CJ101" s="45">
        <v>0</v>
      </c>
      <c r="CK101" s="45">
        <v>0.81831842237514751</v>
      </c>
      <c r="CL101" s="45"/>
      <c r="CM101" s="45">
        <v>0</v>
      </c>
      <c r="CN101" s="45"/>
      <c r="CO101" s="45">
        <v>0</v>
      </c>
      <c r="CP101" s="45">
        <v>0</v>
      </c>
      <c r="CQ101" s="45">
        <v>0</v>
      </c>
      <c r="CR101" s="45">
        <v>0</v>
      </c>
      <c r="CS101" s="45">
        <v>0</v>
      </c>
      <c r="CT101" s="45">
        <v>0</v>
      </c>
      <c r="CU101" s="45">
        <v>0</v>
      </c>
      <c r="CV101" s="45">
        <v>9999</v>
      </c>
      <c r="CW101" s="199">
        <v>9999</v>
      </c>
      <c r="CX101" s="24"/>
      <c r="CY101" s="24"/>
      <c r="CZ101" s="24"/>
      <c r="DA101" s="24"/>
      <c r="DB101" s="24"/>
      <c r="DC101" s="24"/>
      <c r="DD101" s="24"/>
      <c r="DE101" s="24"/>
      <c r="DF101" s="24"/>
      <c r="DG101" s="24"/>
      <c r="DH101" s="24"/>
      <c r="DI101" s="24"/>
      <c r="DJ101" s="24"/>
      <c r="DK101" s="24"/>
      <c r="DL101" s="24"/>
      <c r="DM101" s="24"/>
      <c r="DN101" s="24"/>
      <c r="DO101" s="24"/>
      <c r="DP101" s="24"/>
      <c r="DQ101" s="24"/>
      <c r="DR101" s="24"/>
      <c r="DS101" s="24"/>
      <c r="DT101" s="24"/>
      <c r="DU101" s="24"/>
      <c r="DV101" s="24"/>
      <c r="DW101" s="24"/>
      <c r="DX101" s="24"/>
      <c r="DY101" s="24"/>
      <c r="DZ101" s="24"/>
      <c r="EA101" s="24"/>
    </row>
    <row r="102" spans="1:131">
      <c r="A102" s="24" t="s">
        <v>428</v>
      </c>
      <c r="B102" s="24"/>
      <c r="C102" s="45">
        <v>13.953488372093023</v>
      </c>
      <c r="D102" s="45">
        <v>640.16615646258492</v>
      </c>
      <c r="E102" s="45">
        <v>0</v>
      </c>
      <c r="F102" s="45">
        <v>154.26033291735365</v>
      </c>
      <c r="G102" s="45">
        <v>0</v>
      </c>
      <c r="H102" s="45">
        <v>0</v>
      </c>
      <c r="I102" s="45"/>
      <c r="J102" s="45"/>
      <c r="K102" s="45"/>
      <c r="L102" s="45">
        <v>686.32071762629175</v>
      </c>
      <c r="M102" s="45">
        <v>0.16019737940211778</v>
      </c>
      <c r="N102" s="45">
        <v>0.15904114655707932</v>
      </c>
      <c r="O102" s="45">
        <v>0</v>
      </c>
      <c r="P102" s="45">
        <v>0</v>
      </c>
      <c r="Q102" s="45">
        <v>0</v>
      </c>
      <c r="R102" s="45">
        <v>30.761571070712684</v>
      </c>
      <c r="S102" s="45">
        <v>71.085311935868958</v>
      </c>
      <c r="T102" s="45">
        <v>0</v>
      </c>
      <c r="U102" s="45">
        <v>115.38708219658041</v>
      </c>
      <c r="V102" s="45">
        <v>9.2556199750412187</v>
      </c>
      <c r="W102" s="45">
        <v>21.59644660842951</v>
      </c>
      <c r="X102" s="45">
        <v>0</v>
      </c>
      <c r="Y102" s="45">
        <v>0</v>
      </c>
      <c r="Z102" s="45">
        <v>0</v>
      </c>
      <c r="AA102" s="45">
        <v>0</v>
      </c>
      <c r="AB102" s="45">
        <v>0</v>
      </c>
      <c r="AC102" s="45">
        <v>0</v>
      </c>
      <c r="AD102" s="45">
        <v>0</v>
      </c>
      <c r="AE102" s="45">
        <v>0</v>
      </c>
      <c r="AF102" s="45">
        <v>0</v>
      </c>
      <c r="AG102" s="45">
        <v>0</v>
      </c>
      <c r="AH102" s="45">
        <v>40.017191045753904</v>
      </c>
      <c r="AI102" s="45">
        <v>92.681758544298475</v>
      </c>
      <c r="AJ102" s="45">
        <v>0</v>
      </c>
      <c r="AK102" s="45">
        <v>115.38708219658041</v>
      </c>
      <c r="AL102" s="45">
        <v>248.08603178663276</v>
      </c>
      <c r="AM102" s="45">
        <v>328.96047775763333</v>
      </c>
      <c r="AN102" s="45">
        <v>56.605501307768009</v>
      </c>
      <c r="AO102" s="45">
        <v>0</v>
      </c>
      <c r="AP102" s="45">
        <v>0</v>
      </c>
      <c r="AQ102" s="45">
        <v>385.56597906540134</v>
      </c>
      <c r="AR102" s="45">
        <v>40.017191045753904</v>
      </c>
      <c r="AS102" s="199">
        <v>9.6350085798016671</v>
      </c>
      <c r="AT102" s="45">
        <v>328.96047775763333</v>
      </c>
      <c r="AU102" s="45">
        <v>67.004053603644792</v>
      </c>
      <c r="AV102" s="45">
        <v>0</v>
      </c>
      <c r="AW102" s="45">
        <v>0</v>
      </c>
      <c r="AX102" s="45">
        <v>395.96453136127809</v>
      </c>
      <c r="AY102" s="45">
        <v>92.681758544298475</v>
      </c>
      <c r="AZ102" s="199">
        <v>4.2723027441481012</v>
      </c>
      <c r="BA102" s="45">
        <v>328.96047775763333</v>
      </c>
      <c r="BB102" s="45">
        <v>123.6095549114128</v>
      </c>
      <c r="BC102" s="45">
        <v>0</v>
      </c>
      <c r="BD102" s="45">
        <v>0</v>
      </c>
      <c r="BE102" s="45">
        <v>452.5700326690461</v>
      </c>
      <c r="BF102" s="45">
        <v>132.69894959005237</v>
      </c>
      <c r="BG102" s="45">
        <v>0.97449130225179015</v>
      </c>
      <c r="BH102" s="199">
        <v>3.4105019976960884</v>
      </c>
      <c r="BI102" s="45">
        <v>4.2903192119358886</v>
      </c>
      <c r="BJ102" s="45">
        <v>9.9365877236103177</v>
      </c>
      <c r="BK102" s="45">
        <v>0</v>
      </c>
      <c r="BL102" s="45">
        <v>12.370868684691011</v>
      </c>
      <c r="BM102" s="45">
        <v>26.597775620237215</v>
      </c>
      <c r="BN102" s="45">
        <v>328.96047775763333</v>
      </c>
      <c r="BO102" s="45">
        <v>0</v>
      </c>
      <c r="BP102" s="45">
        <v>123.6095549114128</v>
      </c>
      <c r="BQ102" s="45">
        <v>0</v>
      </c>
      <c r="BR102" s="45">
        <v>0</v>
      </c>
      <c r="BS102" s="45">
        <v>0</v>
      </c>
      <c r="BT102" s="45">
        <v>0</v>
      </c>
      <c r="BU102" s="45">
        <v>0</v>
      </c>
      <c r="BV102" s="45">
        <v>0</v>
      </c>
      <c r="BW102" s="45">
        <v>0</v>
      </c>
      <c r="BX102" s="45">
        <v>217.23396520316203</v>
      </c>
      <c r="BY102" s="45">
        <v>30.85206658347073</v>
      </c>
      <c r="BZ102" s="45">
        <v>0</v>
      </c>
      <c r="CA102" s="45">
        <v>0</v>
      </c>
      <c r="CB102" s="45">
        <v>452.5700326690461</v>
      </c>
      <c r="CC102" s="45">
        <v>248.08603178663276</v>
      </c>
      <c r="CD102" s="199">
        <v>1.8242463286215183</v>
      </c>
      <c r="CE102" s="45">
        <v>13.345359986942796</v>
      </c>
      <c r="CF102" s="45">
        <v>6.5200640918042199</v>
      </c>
      <c r="CG102" s="45">
        <v>0</v>
      </c>
      <c r="CH102" s="45">
        <v>6.5200640918042199</v>
      </c>
      <c r="CI102" s="45">
        <v>0.32600234087248869</v>
      </c>
      <c r="CJ102" s="45">
        <v>0</v>
      </c>
      <c r="CK102" s="45">
        <v>0.32600234087248869</v>
      </c>
      <c r="CL102" s="45"/>
      <c r="CM102" s="45">
        <v>0</v>
      </c>
      <c r="CN102" s="45"/>
      <c r="CO102" s="45">
        <v>0</v>
      </c>
      <c r="CP102" s="45">
        <v>0</v>
      </c>
      <c r="CQ102" s="45">
        <v>0</v>
      </c>
      <c r="CR102" s="45">
        <v>0</v>
      </c>
      <c r="CS102" s="45">
        <v>0</v>
      </c>
      <c r="CT102" s="45">
        <v>0</v>
      </c>
      <c r="CU102" s="45">
        <v>0</v>
      </c>
      <c r="CV102" s="45">
        <v>9999</v>
      </c>
      <c r="CW102" s="199">
        <v>9999</v>
      </c>
      <c r="CX102" s="24"/>
      <c r="CY102" s="24"/>
      <c r="CZ102" s="24"/>
      <c r="DA102" s="24"/>
      <c r="DB102" s="24"/>
      <c r="DC102" s="24"/>
      <c r="DD102" s="24"/>
      <c r="DE102" s="24"/>
      <c r="DF102" s="24"/>
      <c r="DG102" s="24"/>
      <c r="DH102" s="24"/>
      <c r="DI102" s="24"/>
      <c r="DJ102" s="24"/>
      <c r="DK102" s="24"/>
      <c r="DL102" s="24"/>
      <c r="DM102" s="24"/>
      <c r="DN102" s="24"/>
      <c r="DO102" s="24"/>
      <c r="DP102" s="24"/>
      <c r="DQ102" s="24"/>
      <c r="DR102" s="24"/>
      <c r="DS102" s="24"/>
      <c r="DT102" s="24"/>
      <c r="DU102" s="24"/>
      <c r="DV102" s="24"/>
      <c r="DW102" s="24"/>
      <c r="DX102" s="24"/>
      <c r="DY102" s="24"/>
      <c r="DZ102" s="24"/>
      <c r="EA102" s="24"/>
    </row>
    <row r="103" spans="1:131">
      <c r="A103" s="24" t="s">
        <v>430</v>
      </c>
      <c r="B103" s="24"/>
      <c r="C103" s="45">
        <v>16.279069767441861</v>
      </c>
      <c r="D103" s="45">
        <v>649.36581632653053</v>
      </c>
      <c r="E103" s="45">
        <v>0</v>
      </c>
      <c r="F103" s="45">
        <v>186.95819668884204</v>
      </c>
      <c r="G103" s="45">
        <v>0</v>
      </c>
      <c r="H103" s="45">
        <v>0</v>
      </c>
      <c r="I103" s="45"/>
      <c r="J103" s="45"/>
      <c r="K103" s="45"/>
      <c r="L103" s="45">
        <v>696.18365257841458</v>
      </c>
      <c r="M103" s="45">
        <v>0.16249953390797076</v>
      </c>
      <c r="N103" s="45">
        <v>0.16132668514409546</v>
      </c>
      <c r="O103" s="45">
        <v>0</v>
      </c>
      <c r="P103" s="45">
        <v>0</v>
      </c>
      <c r="Q103" s="45">
        <v>0</v>
      </c>
      <c r="R103" s="45">
        <v>37.281961901231682</v>
      </c>
      <c r="S103" s="45">
        <v>86.152943399351443</v>
      </c>
      <c r="T103" s="45">
        <v>0</v>
      </c>
      <c r="U103" s="45">
        <v>109.71588379376797</v>
      </c>
      <c r="V103" s="45">
        <v>11.217491801330523</v>
      </c>
      <c r="W103" s="45">
        <v>26.174147536437886</v>
      </c>
      <c r="X103" s="45">
        <v>0</v>
      </c>
      <c r="Y103" s="45">
        <v>0</v>
      </c>
      <c r="Z103" s="45">
        <v>0</v>
      </c>
      <c r="AA103" s="45">
        <v>0</v>
      </c>
      <c r="AB103" s="45">
        <v>0</v>
      </c>
      <c r="AC103" s="45">
        <v>0</v>
      </c>
      <c r="AD103" s="45">
        <v>0</v>
      </c>
      <c r="AE103" s="45">
        <v>0</v>
      </c>
      <c r="AF103" s="45">
        <v>0</v>
      </c>
      <c r="AG103" s="45">
        <v>0</v>
      </c>
      <c r="AH103" s="45">
        <v>48.499453702562207</v>
      </c>
      <c r="AI103" s="45">
        <v>112.32709093578933</v>
      </c>
      <c r="AJ103" s="45">
        <v>0</v>
      </c>
      <c r="AK103" s="45">
        <v>109.71588379376797</v>
      </c>
      <c r="AL103" s="45">
        <v>270.54242843211949</v>
      </c>
      <c r="AM103" s="45">
        <v>333.6878824688946</v>
      </c>
      <c r="AN103" s="45">
        <v>57.41896411457607</v>
      </c>
      <c r="AO103" s="45">
        <v>0</v>
      </c>
      <c r="AP103" s="45">
        <v>0</v>
      </c>
      <c r="AQ103" s="45">
        <v>391.10684658347066</v>
      </c>
      <c r="AR103" s="45">
        <v>48.499453702562207</v>
      </c>
      <c r="AS103" s="199">
        <v>8.0641495259318479</v>
      </c>
      <c r="AT103" s="45">
        <v>333.6878824688946</v>
      </c>
      <c r="AU103" s="45">
        <v>67.966951277063316</v>
      </c>
      <c r="AV103" s="45">
        <v>0</v>
      </c>
      <c r="AW103" s="45">
        <v>0</v>
      </c>
      <c r="AX103" s="45">
        <v>401.65483374595794</v>
      </c>
      <c r="AY103" s="45">
        <v>112.32709093578933</v>
      </c>
      <c r="AZ103" s="199">
        <v>3.5757610243423819</v>
      </c>
      <c r="BA103" s="45">
        <v>333.6878824688946</v>
      </c>
      <c r="BB103" s="45">
        <v>125.38591539163939</v>
      </c>
      <c r="BC103" s="45">
        <v>0</v>
      </c>
      <c r="BD103" s="45">
        <v>0</v>
      </c>
      <c r="BE103" s="45">
        <v>459.073797860534</v>
      </c>
      <c r="BF103" s="45">
        <v>160.82654463835155</v>
      </c>
      <c r="BG103" s="45">
        <v>3.7458270142695529</v>
      </c>
      <c r="BH103" s="199">
        <v>2.8544653427258972</v>
      </c>
      <c r="BI103" s="45">
        <v>5.1260535638832296</v>
      </c>
      <c r="BJ103" s="45">
        <v>11.872189083680739</v>
      </c>
      <c r="BK103" s="45">
        <v>0</v>
      </c>
      <c r="BL103" s="45">
        <v>11.596202723948018</v>
      </c>
      <c r="BM103" s="45">
        <v>28.594445371511984</v>
      </c>
      <c r="BN103" s="45">
        <v>333.6878824688946</v>
      </c>
      <c r="BO103" s="45">
        <v>0</v>
      </c>
      <c r="BP103" s="45">
        <v>125.38591539163939</v>
      </c>
      <c r="BQ103" s="45">
        <v>0</v>
      </c>
      <c r="BR103" s="45">
        <v>0</v>
      </c>
      <c r="BS103" s="45">
        <v>0</v>
      </c>
      <c r="BT103" s="45">
        <v>0</v>
      </c>
      <c r="BU103" s="45">
        <v>0</v>
      </c>
      <c r="BV103" s="45">
        <v>0</v>
      </c>
      <c r="BW103" s="45">
        <v>0</v>
      </c>
      <c r="BX103" s="45">
        <v>233.1507890943511</v>
      </c>
      <c r="BY103" s="45">
        <v>37.39163933776841</v>
      </c>
      <c r="BZ103" s="45">
        <v>0</v>
      </c>
      <c r="CA103" s="45">
        <v>0</v>
      </c>
      <c r="CB103" s="45">
        <v>459.073797860534</v>
      </c>
      <c r="CC103" s="45">
        <v>270.54242843211949</v>
      </c>
      <c r="CD103" s="199">
        <v>1.6968643348143746</v>
      </c>
      <c r="CE103" s="45">
        <v>15.342029738217567</v>
      </c>
      <c r="CF103" s="45">
        <v>6.6137622220945982</v>
      </c>
      <c r="CG103" s="45">
        <v>0</v>
      </c>
      <c r="CH103" s="45">
        <v>6.6137622220945982</v>
      </c>
      <c r="CI103" s="45">
        <v>0.33068723497474706</v>
      </c>
      <c r="CJ103" s="45">
        <v>0</v>
      </c>
      <c r="CK103" s="45">
        <v>0.33068723497474706</v>
      </c>
      <c r="CL103" s="45"/>
      <c r="CM103" s="45">
        <v>0</v>
      </c>
      <c r="CN103" s="45"/>
      <c r="CO103" s="45">
        <v>0</v>
      </c>
      <c r="CP103" s="45">
        <v>0</v>
      </c>
      <c r="CQ103" s="45">
        <v>0</v>
      </c>
      <c r="CR103" s="45">
        <v>0</v>
      </c>
      <c r="CS103" s="45">
        <v>0</v>
      </c>
      <c r="CT103" s="45">
        <v>0</v>
      </c>
      <c r="CU103" s="45">
        <v>0</v>
      </c>
      <c r="CV103" s="45">
        <v>9999</v>
      </c>
      <c r="CW103" s="199">
        <v>9999</v>
      </c>
      <c r="CX103" s="24"/>
      <c r="CY103" s="24"/>
      <c r="CZ103" s="24"/>
      <c r="DA103" s="24"/>
      <c r="DB103" s="24"/>
      <c r="DC103" s="24"/>
      <c r="DD103" s="24"/>
      <c r="DE103" s="24"/>
      <c r="DF103" s="24"/>
      <c r="DG103" s="24"/>
      <c r="DH103" s="24"/>
      <c r="DI103" s="24"/>
      <c r="DJ103" s="24"/>
      <c r="DK103" s="24"/>
      <c r="DL103" s="24"/>
      <c r="DM103" s="24"/>
      <c r="DN103" s="24"/>
      <c r="DO103" s="24"/>
      <c r="DP103" s="24"/>
      <c r="DQ103" s="24"/>
      <c r="DR103" s="24"/>
      <c r="DS103" s="24"/>
      <c r="DT103" s="24"/>
      <c r="DU103" s="24"/>
      <c r="DV103" s="24"/>
      <c r="DW103" s="24"/>
      <c r="DX103" s="24"/>
      <c r="DY103" s="24"/>
      <c r="DZ103" s="24"/>
      <c r="EA103" s="24"/>
    </row>
    <row r="104" spans="1:131">
      <c r="A104" s="24" t="s">
        <v>429</v>
      </c>
      <c r="B104" s="24"/>
      <c r="C104" s="45">
        <v>11.627906976744185</v>
      </c>
      <c r="D104" s="45">
        <v>1298.0734693877553</v>
      </c>
      <c r="E104" s="45">
        <v>0</v>
      </c>
      <c r="F104" s="45">
        <v>338.08982109258011</v>
      </c>
      <c r="G104" s="45">
        <v>0</v>
      </c>
      <c r="H104" s="45">
        <v>0</v>
      </c>
      <c r="I104" s="45"/>
      <c r="J104" s="45"/>
      <c r="K104" s="45"/>
      <c r="L104" s="45">
        <v>1391.6616897786967</v>
      </c>
      <c r="M104" s="45">
        <v>0.32483436677816196</v>
      </c>
      <c r="N104" s="45">
        <v>0.32248985798864294</v>
      </c>
      <c r="O104" s="45">
        <v>0</v>
      </c>
      <c r="P104" s="45">
        <v>0</v>
      </c>
      <c r="Q104" s="45">
        <v>0</v>
      </c>
      <c r="R104" s="45">
        <v>67.419626699469944</v>
      </c>
      <c r="S104" s="45">
        <v>155.79650283514036</v>
      </c>
      <c r="T104" s="45">
        <v>0</v>
      </c>
      <c r="U104" s="45">
        <v>329.80482667796895</v>
      </c>
      <c r="V104" s="45">
        <v>20.285389265554809</v>
      </c>
      <c r="W104" s="45">
        <v>47.332574952961217</v>
      </c>
      <c r="X104" s="45">
        <v>0</v>
      </c>
      <c r="Y104" s="45">
        <v>0</v>
      </c>
      <c r="Z104" s="45">
        <v>0</v>
      </c>
      <c r="AA104" s="45">
        <v>0</v>
      </c>
      <c r="AB104" s="45">
        <v>0</v>
      </c>
      <c r="AC104" s="45">
        <v>0</v>
      </c>
      <c r="AD104" s="45">
        <v>0</v>
      </c>
      <c r="AE104" s="45">
        <v>0</v>
      </c>
      <c r="AF104" s="45">
        <v>0</v>
      </c>
      <c r="AG104" s="45">
        <v>0</v>
      </c>
      <c r="AH104" s="45">
        <v>87.705015965024756</v>
      </c>
      <c r="AI104" s="45">
        <v>203.12907778810157</v>
      </c>
      <c r="AJ104" s="45">
        <v>0</v>
      </c>
      <c r="AK104" s="45">
        <v>329.80482667796895</v>
      </c>
      <c r="AL104" s="45">
        <v>620.63892043109524</v>
      </c>
      <c r="AM104" s="45">
        <v>667.03755633364551</v>
      </c>
      <c r="AN104" s="45">
        <v>114.77973136697989</v>
      </c>
      <c r="AO104" s="45">
        <v>0</v>
      </c>
      <c r="AP104" s="45">
        <v>0</v>
      </c>
      <c r="AQ104" s="45">
        <v>781.81728770062546</v>
      </c>
      <c r="AR104" s="45">
        <v>87.705015965024756</v>
      </c>
      <c r="AS104" s="199">
        <v>8.9141684668571362</v>
      </c>
      <c r="AT104" s="45">
        <v>667.03755633364551</v>
      </c>
      <c r="AU104" s="45">
        <v>135.86501480324617</v>
      </c>
      <c r="AV104" s="45">
        <v>0</v>
      </c>
      <c r="AW104" s="45">
        <v>0</v>
      </c>
      <c r="AX104" s="45">
        <v>802.90257113689165</v>
      </c>
      <c r="AY104" s="45">
        <v>203.12907778810157</v>
      </c>
      <c r="AZ104" s="199">
        <v>3.9526717685119244</v>
      </c>
      <c r="BA104" s="45">
        <v>667.03755633364551</v>
      </c>
      <c r="BB104" s="45">
        <v>250.64474617022606</v>
      </c>
      <c r="BC104" s="45">
        <v>0</v>
      </c>
      <c r="BD104" s="45">
        <v>0</v>
      </c>
      <c r="BE104" s="45">
        <v>917.6823025038716</v>
      </c>
      <c r="BF104" s="45">
        <v>290.83409375312635</v>
      </c>
      <c r="BG104" s="45">
        <v>2.1249435559196197</v>
      </c>
      <c r="BH104" s="199">
        <v>3.1553463717456847</v>
      </c>
      <c r="BI104" s="45">
        <v>4.6372538920239279</v>
      </c>
      <c r="BJ104" s="45">
        <v>10.740105297190107</v>
      </c>
      <c r="BK104" s="45">
        <v>0</v>
      </c>
      <c r="BL104" s="45">
        <v>17.437870562962811</v>
      </c>
      <c r="BM104" s="45">
        <v>32.815229752176847</v>
      </c>
      <c r="BN104" s="45">
        <v>667.03755633364551</v>
      </c>
      <c r="BO104" s="45">
        <v>0</v>
      </c>
      <c r="BP104" s="45">
        <v>250.64474617022606</v>
      </c>
      <c r="BQ104" s="45">
        <v>0</v>
      </c>
      <c r="BR104" s="45">
        <v>0</v>
      </c>
      <c r="BS104" s="45">
        <v>0</v>
      </c>
      <c r="BT104" s="45">
        <v>0</v>
      </c>
      <c r="BU104" s="45">
        <v>0</v>
      </c>
      <c r="BV104" s="45">
        <v>0</v>
      </c>
      <c r="BW104" s="45">
        <v>0</v>
      </c>
      <c r="BX104" s="45">
        <v>553.02095621257922</v>
      </c>
      <c r="BY104" s="45">
        <v>67.617964218516022</v>
      </c>
      <c r="BZ104" s="45">
        <v>0</v>
      </c>
      <c r="CA104" s="45">
        <v>0</v>
      </c>
      <c r="CB104" s="45">
        <v>917.6823025038716</v>
      </c>
      <c r="CC104" s="45">
        <v>620.63892043109524</v>
      </c>
      <c r="CD104" s="199">
        <v>1.4786090145079047</v>
      </c>
      <c r="CE104" s="45">
        <v>19.562814118882429</v>
      </c>
      <c r="CF104" s="45">
        <v>13.220821080336949</v>
      </c>
      <c r="CG104" s="45">
        <v>0</v>
      </c>
      <c r="CH104" s="45">
        <v>13.220821080336949</v>
      </c>
      <c r="CI104" s="45">
        <v>0.66103930264488109</v>
      </c>
      <c r="CJ104" s="45">
        <v>0</v>
      </c>
      <c r="CK104" s="45">
        <v>0.66103930264488109</v>
      </c>
      <c r="CL104" s="45"/>
      <c r="CM104" s="45">
        <v>0</v>
      </c>
      <c r="CN104" s="45"/>
      <c r="CO104" s="45">
        <v>0</v>
      </c>
      <c r="CP104" s="45">
        <v>0</v>
      </c>
      <c r="CQ104" s="45">
        <v>0</v>
      </c>
      <c r="CR104" s="45">
        <v>0</v>
      </c>
      <c r="CS104" s="45">
        <v>0</v>
      </c>
      <c r="CT104" s="45">
        <v>0</v>
      </c>
      <c r="CU104" s="45">
        <v>0</v>
      </c>
      <c r="CV104" s="45">
        <v>9999</v>
      </c>
      <c r="CW104" s="199">
        <v>9999</v>
      </c>
      <c r="CX104" s="24"/>
      <c r="CY104" s="24"/>
      <c r="CZ104" s="24"/>
      <c r="DA104" s="24"/>
      <c r="DB104" s="24"/>
      <c r="DC104" s="24"/>
      <c r="DD104" s="24"/>
      <c r="DE104" s="24"/>
      <c r="DF104" s="24"/>
      <c r="DG104" s="24"/>
      <c r="DH104" s="24"/>
      <c r="DI104" s="24"/>
      <c r="DJ104" s="24"/>
      <c r="DK104" s="24"/>
      <c r="DL104" s="24"/>
      <c r="DM104" s="24"/>
      <c r="DN104" s="24"/>
      <c r="DO104" s="24"/>
      <c r="DP104" s="24"/>
      <c r="DQ104" s="24"/>
      <c r="DR104" s="24"/>
      <c r="DS104" s="24"/>
      <c r="DT104" s="24"/>
      <c r="DU104" s="24"/>
      <c r="DV104" s="24"/>
      <c r="DW104" s="24"/>
      <c r="DX104" s="24"/>
      <c r="DY104" s="24"/>
      <c r="DZ104" s="24"/>
      <c r="EA104" s="24"/>
    </row>
    <row r="105" spans="1:131">
      <c r="A105" s="24" t="s">
        <v>435</v>
      </c>
      <c r="B105" s="24"/>
      <c r="C105" s="45">
        <v>16.279069767441861</v>
      </c>
      <c r="D105" s="45">
        <v>649.36581632653053</v>
      </c>
      <c r="E105" s="45">
        <v>0</v>
      </c>
      <c r="F105" s="45">
        <v>228.79070335550873</v>
      </c>
      <c r="G105" s="45">
        <v>0</v>
      </c>
      <c r="H105" s="45">
        <v>0</v>
      </c>
      <c r="I105" s="45"/>
      <c r="J105" s="45"/>
      <c r="K105" s="45"/>
      <c r="L105" s="45">
        <v>696.18365257841458</v>
      </c>
      <c r="M105" s="45">
        <v>0.16249953390797076</v>
      </c>
      <c r="N105" s="45">
        <v>0.16132668514409546</v>
      </c>
      <c r="O105" s="45">
        <v>0</v>
      </c>
      <c r="P105" s="45">
        <v>0</v>
      </c>
      <c r="Q105" s="45">
        <v>0</v>
      </c>
      <c r="R105" s="45">
        <v>45.623922550196198</v>
      </c>
      <c r="S105" s="45">
        <v>105.4299456540561</v>
      </c>
      <c r="T105" s="45">
        <v>0</v>
      </c>
      <c r="U105" s="45">
        <v>134.26517086183236</v>
      </c>
      <c r="V105" s="45">
        <v>13.727442201330524</v>
      </c>
      <c r="W105" s="45">
        <v>32.030698469771224</v>
      </c>
      <c r="X105" s="45">
        <v>0</v>
      </c>
      <c r="Y105" s="45">
        <v>0</v>
      </c>
      <c r="Z105" s="45">
        <v>0</v>
      </c>
      <c r="AA105" s="45">
        <v>0</v>
      </c>
      <c r="AB105" s="45">
        <v>0</v>
      </c>
      <c r="AC105" s="45">
        <v>0</v>
      </c>
      <c r="AD105" s="45">
        <v>0</v>
      </c>
      <c r="AE105" s="45">
        <v>0</v>
      </c>
      <c r="AF105" s="45">
        <v>0</v>
      </c>
      <c r="AG105" s="45">
        <v>0</v>
      </c>
      <c r="AH105" s="45">
        <v>59.351364751526724</v>
      </c>
      <c r="AI105" s="45">
        <v>137.46064412382731</v>
      </c>
      <c r="AJ105" s="45">
        <v>0</v>
      </c>
      <c r="AK105" s="45">
        <v>134.26517086183236</v>
      </c>
      <c r="AL105" s="45">
        <v>331.07717973718638</v>
      </c>
      <c r="AM105" s="45">
        <v>333.6878824688946</v>
      </c>
      <c r="AN105" s="45">
        <v>57.41896411457607</v>
      </c>
      <c r="AO105" s="45">
        <v>0</v>
      </c>
      <c r="AP105" s="45">
        <v>0</v>
      </c>
      <c r="AQ105" s="45">
        <v>391.10684658347066</v>
      </c>
      <c r="AR105" s="45">
        <v>59.351364751526724</v>
      </c>
      <c r="AS105" s="199">
        <v>6.5896858180234181</v>
      </c>
      <c r="AT105" s="45">
        <v>333.6878824688946</v>
      </c>
      <c r="AU105" s="45">
        <v>67.966951277063316</v>
      </c>
      <c r="AV105" s="45">
        <v>0</v>
      </c>
      <c r="AW105" s="45">
        <v>0</v>
      </c>
      <c r="AX105" s="45">
        <v>401.65483374595794</v>
      </c>
      <c r="AY105" s="45">
        <v>137.46064412382731</v>
      </c>
      <c r="AZ105" s="199">
        <v>2.9219624009919465</v>
      </c>
      <c r="BA105" s="45">
        <v>333.6878824688946</v>
      </c>
      <c r="BB105" s="45">
        <v>125.38591539163939</v>
      </c>
      <c r="BC105" s="45">
        <v>0</v>
      </c>
      <c r="BD105" s="45">
        <v>0</v>
      </c>
      <c r="BE105" s="45">
        <v>459.073797860534</v>
      </c>
      <c r="BF105" s="45">
        <v>196.81200887535405</v>
      </c>
      <c r="BG105" s="45">
        <v>7.5492392821964849</v>
      </c>
      <c r="BH105" s="199">
        <v>2.3325497284633525</v>
      </c>
      <c r="BI105" s="45">
        <v>6.2730247782115587</v>
      </c>
      <c r="BJ105" s="45">
        <v>14.52863013727934</v>
      </c>
      <c r="BK105" s="45">
        <v>0</v>
      </c>
      <c r="BL105" s="45">
        <v>14.190890928846205</v>
      </c>
      <c r="BM105" s="45">
        <v>34.992545844337101</v>
      </c>
      <c r="BN105" s="45">
        <v>333.6878824688946</v>
      </c>
      <c r="BO105" s="45">
        <v>0</v>
      </c>
      <c r="BP105" s="45">
        <v>125.38591539163939</v>
      </c>
      <c r="BQ105" s="45">
        <v>0</v>
      </c>
      <c r="BR105" s="45">
        <v>0</v>
      </c>
      <c r="BS105" s="45">
        <v>0</v>
      </c>
      <c r="BT105" s="45">
        <v>0</v>
      </c>
      <c r="BU105" s="45">
        <v>0</v>
      </c>
      <c r="BV105" s="45">
        <v>0</v>
      </c>
      <c r="BW105" s="45">
        <v>0</v>
      </c>
      <c r="BX105" s="45">
        <v>285.31903906608466</v>
      </c>
      <c r="BY105" s="45">
        <v>45.758140671101749</v>
      </c>
      <c r="BZ105" s="45">
        <v>0</v>
      </c>
      <c r="CA105" s="45">
        <v>0</v>
      </c>
      <c r="CB105" s="45">
        <v>459.073797860534</v>
      </c>
      <c r="CC105" s="45">
        <v>331.07717973718638</v>
      </c>
      <c r="CD105" s="199">
        <v>1.3866065858871732</v>
      </c>
      <c r="CE105" s="45">
        <v>21.740130211042683</v>
      </c>
      <c r="CF105" s="45">
        <v>6.6137622220945982</v>
      </c>
      <c r="CG105" s="45">
        <v>0</v>
      </c>
      <c r="CH105" s="45">
        <v>6.6137622220945982</v>
      </c>
      <c r="CI105" s="45">
        <v>0.33068723497474706</v>
      </c>
      <c r="CJ105" s="45">
        <v>0</v>
      </c>
      <c r="CK105" s="45">
        <v>0.33068723497474706</v>
      </c>
      <c r="CL105" s="45"/>
      <c r="CM105" s="45">
        <v>0</v>
      </c>
      <c r="CN105" s="45"/>
      <c r="CO105" s="45">
        <v>0</v>
      </c>
      <c r="CP105" s="45">
        <v>0</v>
      </c>
      <c r="CQ105" s="45">
        <v>0</v>
      </c>
      <c r="CR105" s="45">
        <v>0</v>
      </c>
      <c r="CS105" s="45">
        <v>0</v>
      </c>
      <c r="CT105" s="45">
        <v>0</v>
      </c>
      <c r="CU105" s="45">
        <v>0</v>
      </c>
      <c r="CV105" s="45">
        <v>9999</v>
      </c>
      <c r="CW105" s="199">
        <v>9999</v>
      </c>
      <c r="CX105" s="24"/>
      <c r="CY105" s="24"/>
      <c r="CZ105" s="24"/>
      <c r="DA105" s="24"/>
      <c r="DB105" s="24"/>
      <c r="DC105" s="24"/>
      <c r="DD105" s="24"/>
      <c r="DE105" s="24"/>
      <c r="DF105" s="24"/>
      <c r="DG105" s="24"/>
      <c r="DH105" s="24"/>
      <c r="DI105" s="24"/>
      <c r="DJ105" s="24"/>
      <c r="DK105" s="24"/>
      <c r="DL105" s="24"/>
      <c r="DM105" s="24"/>
      <c r="DN105" s="24"/>
      <c r="DO105" s="24"/>
      <c r="DP105" s="24"/>
      <c r="DQ105" s="24"/>
      <c r="DR105" s="24"/>
      <c r="DS105" s="24"/>
      <c r="DT105" s="24"/>
      <c r="DU105" s="24"/>
      <c r="DV105" s="24"/>
      <c r="DW105" s="24"/>
      <c r="DX105" s="24"/>
      <c r="DY105" s="24"/>
      <c r="DZ105" s="24"/>
      <c r="EA105" s="24"/>
    </row>
    <row r="106" spans="1:131">
      <c r="A106" s="24" t="s">
        <v>432</v>
      </c>
      <c r="B106" s="24"/>
      <c r="C106" s="45">
        <v>11.627906976744185</v>
      </c>
      <c r="D106" s="45">
        <v>1298.0734693877553</v>
      </c>
      <c r="E106" s="45">
        <v>0</v>
      </c>
      <c r="F106" s="45">
        <v>366.92315442591342</v>
      </c>
      <c r="G106" s="45">
        <v>0</v>
      </c>
      <c r="H106" s="45">
        <v>0</v>
      </c>
      <c r="I106" s="45"/>
      <c r="J106" s="45"/>
      <c r="K106" s="45"/>
      <c r="L106" s="45">
        <v>1391.6616897786967</v>
      </c>
      <c r="M106" s="45">
        <v>0.32483436677816196</v>
      </c>
      <c r="N106" s="45">
        <v>0.32248985798864294</v>
      </c>
      <c r="O106" s="45">
        <v>0</v>
      </c>
      <c r="P106" s="45">
        <v>0</v>
      </c>
      <c r="Q106" s="45">
        <v>0</v>
      </c>
      <c r="R106" s="45">
        <v>73.169378536282579</v>
      </c>
      <c r="S106" s="45">
        <v>169.08330479769668</v>
      </c>
      <c r="T106" s="45">
        <v>0</v>
      </c>
      <c r="U106" s="45">
        <v>357.93159036407275</v>
      </c>
      <c r="V106" s="45">
        <v>22.015389265554806</v>
      </c>
      <c r="W106" s="45">
        <v>51.369241619627878</v>
      </c>
      <c r="X106" s="45">
        <v>0</v>
      </c>
      <c r="Y106" s="45">
        <v>0</v>
      </c>
      <c r="Z106" s="45">
        <v>0</v>
      </c>
      <c r="AA106" s="45">
        <v>0</v>
      </c>
      <c r="AB106" s="45">
        <v>0</v>
      </c>
      <c r="AC106" s="45">
        <v>0</v>
      </c>
      <c r="AD106" s="45">
        <v>0</v>
      </c>
      <c r="AE106" s="45">
        <v>0</v>
      </c>
      <c r="AF106" s="45">
        <v>0</v>
      </c>
      <c r="AG106" s="45">
        <v>0</v>
      </c>
      <c r="AH106" s="45">
        <v>95.184767801837381</v>
      </c>
      <c r="AI106" s="45">
        <v>220.45254641732456</v>
      </c>
      <c r="AJ106" s="45">
        <v>0</v>
      </c>
      <c r="AK106" s="45">
        <v>357.93159036407275</v>
      </c>
      <c r="AL106" s="45">
        <v>673.56890458323471</v>
      </c>
      <c r="AM106" s="45">
        <v>667.03755633364551</v>
      </c>
      <c r="AN106" s="45">
        <v>114.77973136697989</v>
      </c>
      <c r="AO106" s="45">
        <v>0</v>
      </c>
      <c r="AP106" s="45">
        <v>0</v>
      </c>
      <c r="AQ106" s="45">
        <v>781.81728770062546</v>
      </c>
      <c r="AR106" s="45">
        <v>95.184767801837381</v>
      </c>
      <c r="AS106" s="199">
        <v>8.2136806734484029</v>
      </c>
      <c r="AT106" s="45">
        <v>667.03755633364551</v>
      </c>
      <c r="AU106" s="45">
        <v>135.86501480324617</v>
      </c>
      <c r="AV106" s="45">
        <v>0</v>
      </c>
      <c r="AW106" s="45">
        <v>0</v>
      </c>
      <c r="AX106" s="45">
        <v>802.90257113689165</v>
      </c>
      <c r="AY106" s="45">
        <v>220.45254641732456</v>
      </c>
      <c r="AZ106" s="199">
        <v>3.6420653069571189</v>
      </c>
      <c r="BA106" s="45">
        <v>667.03755633364551</v>
      </c>
      <c r="BB106" s="45">
        <v>250.64474617022606</v>
      </c>
      <c r="BC106" s="45">
        <v>0</v>
      </c>
      <c r="BD106" s="45">
        <v>0</v>
      </c>
      <c r="BE106" s="45">
        <v>917.6823025038716</v>
      </c>
      <c r="BF106" s="45">
        <v>315.63731421916196</v>
      </c>
      <c r="BG106" s="45">
        <v>3.4363717493392349</v>
      </c>
      <c r="BH106" s="199">
        <v>2.9073948521393174</v>
      </c>
      <c r="BI106" s="45">
        <v>5.0327330779631279</v>
      </c>
      <c r="BJ106" s="45">
        <v>11.656054304670525</v>
      </c>
      <c r="BK106" s="45">
        <v>0</v>
      </c>
      <c r="BL106" s="45">
        <v>18.925025464404662</v>
      </c>
      <c r="BM106" s="45">
        <v>35.613812847038311</v>
      </c>
      <c r="BN106" s="45">
        <v>667.03755633364551</v>
      </c>
      <c r="BO106" s="45">
        <v>0</v>
      </c>
      <c r="BP106" s="45">
        <v>250.64474617022606</v>
      </c>
      <c r="BQ106" s="45">
        <v>0</v>
      </c>
      <c r="BR106" s="45">
        <v>0</v>
      </c>
      <c r="BS106" s="45">
        <v>0</v>
      </c>
      <c r="BT106" s="45">
        <v>0</v>
      </c>
      <c r="BU106" s="45">
        <v>0</v>
      </c>
      <c r="BV106" s="45">
        <v>0</v>
      </c>
      <c r="BW106" s="45">
        <v>0</v>
      </c>
      <c r="BX106" s="45">
        <v>600.18427369805204</v>
      </c>
      <c r="BY106" s="45">
        <v>73.384630885182688</v>
      </c>
      <c r="BZ106" s="45">
        <v>0</v>
      </c>
      <c r="CA106" s="45">
        <v>0</v>
      </c>
      <c r="CB106" s="45">
        <v>917.6823025038716</v>
      </c>
      <c r="CC106" s="45">
        <v>673.56890458323471</v>
      </c>
      <c r="CD106" s="199">
        <v>1.3624178554852975</v>
      </c>
      <c r="CE106" s="45">
        <v>22.361397213743896</v>
      </c>
      <c r="CF106" s="45">
        <v>13.220821080336949</v>
      </c>
      <c r="CG106" s="45">
        <v>0</v>
      </c>
      <c r="CH106" s="45">
        <v>13.220821080336949</v>
      </c>
      <c r="CI106" s="45">
        <v>0.66103930264488109</v>
      </c>
      <c r="CJ106" s="45">
        <v>0</v>
      </c>
      <c r="CK106" s="45">
        <v>0.66103930264488109</v>
      </c>
      <c r="CL106" s="45"/>
      <c r="CM106" s="45">
        <v>0</v>
      </c>
      <c r="CN106" s="45"/>
      <c r="CO106" s="45">
        <v>0</v>
      </c>
      <c r="CP106" s="45">
        <v>0</v>
      </c>
      <c r="CQ106" s="45">
        <v>0</v>
      </c>
      <c r="CR106" s="45">
        <v>0</v>
      </c>
      <c r="CS106" s="45">
        <v>0</v>
      </c>
      <c r="CT106" s="45">
        <v>0</v>
      </c>
      <c r="CU106" s="45">
        <v>0</v>
      </c>
      <c r="CV106" s="45">
        <v>9999</v>
      </c>
      <c r="CW106" s="199">
        <v>9999</v>
      </c>
      <c r="CX106" s="24"/>
      <c r="CY106" s="24"/>
      <c r="CZ106" s="24"/>
      <c r="DA106" s="24"/>
      <c r="DB106" s="24"/>
      <c r="DC106" s="24"/>
      <c r="DD106" s="24"/>
      <c r="DE106" s="24"/>
      <c r="DF106" s="24"/>
      <c r="DG106" s="24"/>
      <c r="DH106" s="24"/>
      <c r="DI106" s="24"/>
      <c r="DJ106" s="24"/>
      <c r="DK106" s="24"/>
      <c r="DL106" s="24"/>
      <c r="DM106" s="24"/>
      <c r="DN106" s="24"/>
      <c r="DO106" s="24"/>
      <c r="DP106" s="24"/>
      <c r="DQ106" s="24"/>
      <c r="DR106" s="24"/>
      <c r="DS106" s="24"/>
      <c r="DT106" s="24"/>
      <c r="DU106" s="24"/>
      <c r="DV106" s="24"/>
      <c r="DW106" s="24"/>
      <c r="DX106" s="24"/>
      <c r="DY106" s="24"/>
      <c r="DZ106" s="24"/>
      <c r="EA106" s="24"/>
    </row>
    <row r="107" spans="1:131">
      <c r="A107" s="24" t="s">
        <v>419</v>
      </c>
      <c r="B107" s="24"/>
      <c r="C107" s="45">
        <v>13.953488372093023</v>
      </c>
      <c r="D107" s="45">
        <v>640.16615646258492</v>
      </c>
      <c r="E107" s="45">
        <v>0</v>
      </c>
      <c r="F107" s="45">
        <v>210.259506250687</v>
      </c>
      <c r="G107" s="45">
        <v>0</v>
      </c>
      <c r="H107" s="45">
        <v>0</v>
      </c>
      <c r="I107" s="45"/>
      <c r="J107" s="45"/>
      <c r="K107" s="45"/>
      <c r="L107" s="45">
        <v>686.32071762629175</v>
      </c>
      <c r="M107" s="45">
        <v>0.16019737940211778</v>
      </c>
      <c r="N107" s="45">
        <v>0.15904114655707932</v>
      </c>
      <c r="O107" s="45">
        <v>0</v>
      </c>
      <c r="P107" s="45">
        <v>0</v>
      </c>
      <c r="Q107" s="45">
        <v>0</v>
      </c>
      <c r="R107" s="45">
        <v>41.928554298457968</v>
      </c>
      <c r="S107" s="45">
        <v>96.890511686627306</v>
      </c>
      <c r="T107" s="45">
        <v>0</v>
      </c>
      <c r="U107" s="45">
        <v>157.27459205833949</v>
      </c>
      <c r="V107" s="45">
        <v>12.615570375041219</v>
      </c>
      <c r="W107" s="45">
        <v>29.436330875096179</v>
      </c>
      <c r="X107" s="45">
        <v>0</v>
      </c>
      <c r="Y107" s="45">
        <v>0</v>
      </c>
      <c r="Z107" s="45">
        <v>0</v>
      </c>
      <c r="AA107" s="45">
        <v>0</v>
      </c>
      <c r="AB107" s="45">
        <v>0</v>
      </c>
      <c r="AC107" s="45">
        <v>0</v>
      </c>
      <c r="AD107" s="45">
        <v>0</v>
      </c>
      <c r="AE107" s="45">
        <v>0</v>
      </c>
      <c r="AF107" s="45">
        <v>0</v>
      </c>
      <c r="AG107" s="45">
        <v>0</v>
      </c>
      <c r="AH107" s="45">
        <v>54.544124673499184</v>
      </c>
      <c r="AI107" s="45">
        <v>126.32684256172348</v>
      </c>
      <c r="AJ107" s="45">
        <v>0</v>
      </c>
      <c r="AK107" s="45">
        <v>157.27459205833949</v>
      </c>
      <c r="AL107" s="45">
        <v>338.14555929356214</v>
      </c>
      <c r="AM107" s="45">
        <v>328.96047775763333</v>
      </c>
      <c r="AN107" s="45">
        <v>56.605501307768009</v>
      </c>
      <c r="AO107" s="45">
        <v>0</v>
      </c>
      <c r="AP107" s="45">
        <v>0</v>
      </c>
      <c r="AQ107" s="45">
        <v>385.56597906540134</v>
      </c>
      <c r="AR107" s="45">
        <v>54.544124673499184</v>
      </c>
      <c r="AS107" s="199">
        <v>7.0688819625101154</v>
      </c>
      <c r="AT107" s="45">
        <v>328.96047775763333</v>
      </c>
      <c r="AU107" s="45">
        <v>67.004053603644792</v>
      </c>
      <c r="AV107" s="45">
        <v>0</v>
      </c>
      <c r="AW107" s="45">
        <v>0</v>
      </c>
      <c r="AX107" s="45">
        <v>395.96453136127809</v>
      </c>
      <c r="AY107" s="45">
        <v>126.32684256172348</v>
      </c>
      <c r="AZ107" s="199">
        <v>3.1344449313518563</v>
      </c>
      <c r="BA107" s="45">
        <v>328.96047775763333</v>
      </c>
      <c r="BB107" s="45">
        <v>123.6095549114128</v>
      </c>
      <c r="BC107" s="45">
        <v>0</v>
      </c>
      <c r="BD107" s="45">
        <v>0</v>
      </c>
      <c r="BE107" s="45">
        <v>452.5700326690461</v>
      </c>
      <c r="BF107" s="45">
        <v>180.87096723522268</v>
      </c>
      <c r="BG107" s="45">
        <v>6.1391049940145992</v>
      </c>
      <c r="BH107" s="199">
        <v>2.5021706887898643</v>
      </c>
      <c r="BI107" s="45">
        <v>5.8477794135370758</v>
      </c>
      <c r="BJ107" s="45">
        <v>13.54374121377194</v>
      </c>
      <c r="BK107" s="45">
        <v>0</v>
      </c>
      <c r="BL107" s="45">
        <v>16.86170833644432</v>
      </c>
      <c r="BM107" s="45">
        <v>36.25322896375333</v>
      </c>
      <c r="BN107" s="45">
        <v>328.96047775763333</v>
      </c>
      <c r="BO107" s="45">
        <v>0</v>
      </c>
      <c r="BP107" s="45">
        <v>123.6095549114128</v>
      </c>
      <c r="BQ107" s="45">
        <v>0</v>
      </c>
      <c r="BR107" s="45">
        <v>0</v>
      </c>
      <c r="BS107" s="45">
        <v>0</v>
      </c>
      <c r="BT107" s="45">
        <v>0</v>
      </c>
      <c r="BU107" s="45">
        <v>0</v>
      </c>
      <c r="BV107" s="45">
        <v>0</v>
      </c>
      <c r="BW107" s="45">
        <v>0</v>
      </c>
      <c r="BX107" s="45">
        <v>296.09365804342474</v>
      </c>
      <c r="BY107" s="45">
        <v>42.051901250137405</v>
      </c>
      <c r="BZ107" s="45">
        <v>0</v>
      </c>
      <c r="CA107" s="45">
        <v>0</v>
      </c>
      <c r="CB107" s="45">
        <v>452.5700326690461</v>
      </c>
      <c r="CC107" s="45">
        <v>338.14555929356214</v>
      </c>
      <c r="CD107" s="199">
        <v>1.3383882184185243</v>
      </c>
      <c r="CE107" s="45">
        <v>23.000813330458914</v>
      </c>
      <c r="CF107" s="45">
        <v>6.5200640918042199</v>
      </c>
      <c r="CG107" s="45">
        <v>0</v>
      </c>
      <c r="CH107" s="45">
        <v>6.5200640918042199</v>
      </c>
      <c r="CI107" s="45">
        <v>0.32600234087248869</v>
      </c>
      <c r="CJ107" s="45">
        <v>0</v>
      </c>
      <c r="CK107" s="45">
        <v>0.32600234087248869</v>
      </c>
      <c r="CL107" s="45"/>
      <c r="CM107" s="45">
        <v>0</v>
      </c>
      <c r="CN107" s="45"/>
      <c r="CO107" s="45">
        <v>0</v>
      </c>
      <c r="CP107" s="45">
        <v>0</v>
      </c>
      <c r="CQ107" s="45">
        <v>0</v>
      </c>
      <c r="CR107" s="45">
        <v>0</v>
      </c>
      <c r="CS107" s="45">
        <v>0</v>
      </c>
      <c r="CT107" s="45">
        <v>0</v>
      </c>
      <c r="CU107" s="45">
        <v>0</v>
      </c>
      <c r="CV107" s="45">
        <v>9999</v>
      </c>
      <c r="CW107" s="199">
        <v>9999</v>
      </c>
      <c r="CX107" s="24"/>
      <c r="CY107" s="24"/>
      <c r="CZ107" s="24"/>
      <c r="DA107" s="24"/>
      <c r="DB107" s="24"/>
      <c r="DC107" s="24"/>
      <c r="DD107" s="24"/>
      <c r="DE107" s="24"/>
      <c r="DF107" s="24"/>
      <c r="DG107" s="24"/>
      <c r="DH107" s="24"/>
      <c r="DI107" s="24"/>
      <c r="DJ107" s="24"/>
      <c r="DK107" s="24"/>
      <c r="DL107" s="24"/>
      <c r="DM107" s="24"/>
      <c r="DN107" s="24"/>
      <c r="DO107" s="24"/>
      <c r="DP107" s="24"/>
      <c r="DQ107" s="24"/>
      <c r="DR107" s="24"/>
      <c r="DS107" s="24"/>
      <c r="DT107" s="24"/>
      <c r="DU107" s="24"/>
      <c r="DV107" s="24"/>
      <c r="DW107" s="24"/>
      <c r="DX107" s="24"/>
      <c r="DY107" s="24"/>
      <c r="DZ107" s="24"/>
      <c r="EA107" s="24"/>
    </row>
    <row r="108" spans="1:131">
      <c r="A108" s="24" t="s">
        <v>433</v>
      </c>
      <c r="B108" s="24"/>
      <c r="C108" s="45">
        <v>11.627906976744185</v>
      </c>
      <c r="D108" s="45">
        <v>3159.841836734694</v>
      </c>
      <c r="E108" s="45">
        <v>0</v>
      </c>
      <c r="F108" s="45">
        <v>984.136129944407</v>
      </c>
      <c r="G108" s="45">
        <v>0</v>
      </c>
      <c r="H108" s="45">
        <v>0</v>
      </c>
      <c r="I108" s="45"/>
      <c r="J108" s="45"/>
      <c r="K108" s="45"/>
      <c r="L108" s="45">
        <v>3387.6594304155228</v>
      </c>
      <c r="M108" s="45">
        <v>0.7907296823799802</v>
      </c>
      <c r="N108" s="45">
        <v>0.7850225501302095</v>
      </c>
      <c r="O108" s="45">
        <v>0</v>
      </c>
      <c r="P108" s="45">
        <v>0</v>
      </c>
      <c r="Q108" s="45">
        <v>0</v>
      </c>
      <c r="R108" s="45">
        <v>196.24989089554438</v>
      </c>
      <c r="S108" s="45">
        <v>453.50364841969747</v>
      </c>
      <c r="T108" s="45">
        <v>0</v>
      </c>
      <c r="U108" s="45">
        <v>960.01957324519276</v>
      </c>
      <c r="V108" s="45">
        <v>59.048167796664423</v>
      </c>
      <c r="W108" s="45">
        <v>137.77905819221698</v>
      </c>
      <c r="X108" s="45">
        <v>0</v>
      </c>
      <c r="Y108" s="45">
        <v>0</v>
      </c>
      <c r="Z108" s="45">
        <v>0</v>
      </c>
      <c r="AA108" s="45">
        <v>0</v>
      </c>
      <c r="AB108" s="45">
        <v>0</v>
      </c>
      <c r="AC108" s="45">
        <v>0</v>
      </c>
      <c r="AD108" s="45">
        <v>0</v>
      </c>
      <c r="AE108" s="45">
        <v>0</v>
      </c>
      <c r="AF108" s="45">
        <v>0</v>
      </c>
      <c r="AG108" s="45">
        <v>0</v>
      </c>
      <c r="AH108" s="45">
        <v>255.2980586922088</v>
      </c>
      <c r="AI108" s="45">
        <v>591.28270661191448</v>
      </c>
      <c r="AJ108" s="45">
        <v>0</v>
      </c>
      <c r="AK108" s="45">
        <v>960.01957324519276</v>
      </c>
      <c r="AL108" s="45">
        <v>1806.6003385493159</v>
      </c>
      <c r="AM108" s="45">
        <v>1623.7395084967363</v>
      </c>
      <c r="AN108" s="45">
        <v>279.40313528911093</v>
      </c>
      <c r="AO108" s="45">
        <v>0</v>
      </c>
      <c r="AP108" s="45">
        <v>0</v>
      </c>
      <c r="AQ108" s="45">
        <v>1903.1426437858472</v>
      </c>
      <c r="AR108" s="45">
        <v>255.2980586922088</v>
      </c>
      <c r="AS108" s="199">
        <v>7.4545911298146796</v>
      </c>
      <c r="AT108" s="45">
        <v>1623.7395084967363</v>
      </c>
      <c r="AU108" s="45">
        <v>330.73009197727737</v>
      </c>
      <c r="AV108" s="45">
        <v>0</v>
      </c>
      <c r="AW108" s="45">
        <v>0</v>
      </c>
      <c r="AX108" s="45">
        <v>1954.4696004740138</v>
      </c>
      <c r="AY108" s="45">
        <v>591.28270661191448</v>
      </c>
      <c r="AZ108" s="199">
        <v>3.3054739782146552</v>
      </c>
      <c r="BA108" s="45">
        <v>1623.7395084967363</v>
      </c>
      <c r="BB108" s="45">
        <v>610.1332272663883</v>
      </c>
      <c r="BC108" s="45">
        <v>0</v>
      </c>
      <c r="BD108" s="45">
        <v>0</v>
      </c>
      <c r="BE108" s="45">
        <v>2233.8727357631246</v>
      </c>
      <c r="BF108" s="45">
        <v>846.58076530412325</v>
      </c>
      <c r="BG108" s="45">
        <v>5.1357652878281117</v>
      </c>
      <c r="BH108" s="199">
        <v>2.6387000831050473</v>
      </c>
      <c r="BI108" s="45">
        <v>5.5452085429288802</v>
      </c>
      <c r="BJ108" s="45">
        <v>12.842972378193648</v>
      </c>
      <c r="BK108" s="45">
        <v>0</v>
      </c>
      <c r="BL108" s="45">
        <v>20.852131685639975</v>
      </c>
      <c r="BM108" s="45">
        <v>39.240312606762501</v>
      </c>
      <c r="BN108" s="45">
        <v>1623.7395084967363</v>
      </c>
      <c r="BO108" s="45">
        <v>0</v>
      </c>
      <c r="BP108" s="45">
        <v>610.1332272663883</v>
      </c>
      <c r="BQ108" s="45">
        <v>0</v>
      </c>
      <c r="BR108" s="45">
        <v>0</v>
      </c>
      <c r="BS108" s="45">
        <v>0</v>
      </c>
      <c r="BT108" s="45">
        <v>0</v>
      </c>
      <c r="BU108" s="45">
        <v>0</v>
      </c>
      <c r="BV108" s="45">
        <v>0</v>
      </c>
      <c r="BW108" s="45">
        <v>0</v>
      </c>
      <c r="BX108" s="45">
        <v>1609.7731125604346</v>
      </c>
      <c r="BY108" s="45">
        <v>196.82722598888142</v>
      </c>
      <c r="BZ108" s="45">
        <v>0</v>
      </c>
      <c r="CA108" s="45">
        <v>0</v>
      </c>
      <c r="CB108" s="45">
        <v>2233.8727357631246</v>
      </c>
      <c r="CC108" s="45">
        <v>1806.6003385493159</v>
      </c>
      <c r="CD108" s="199">
        <v>1.2365063196860158</v>
      </c>
      <c r="CE108" s="45">
        <v>25.987896973468082</v>
      </c>
      <c r="CF108" s="45">
        <v>32.182849854666841</v>
      </c>
      <c r="CG108" s="45">
        <v>0</v>
      </c>
      <c r="CH108" s="45">
        <v>32.182849854666841</v>
      </c>
      <c r="CI108" s="45">
        <v>1.6091382294473737</v>
      </c>
      <c r="CJ108" s="45">
        <v>0</v>
      </c>
      <c r="CK108" s="45">
        <v>1.6091382294473737</v>
      </c>
      <c r="CL108" s="45"/>
      <c r="CM108" s="45">
        <v>0</v>
      </c>
      <c r="CN108" s="45"/>
      <c r="CO108" s="45">
        <v>0</v>
      </c>
      <c r="CP108" s="45">
        <v>0</v>
      </c>
      <c r="CQ108" s="45">
        <v>0</v>
      </c>
      <c r="CR108" s="45">
        <v>0</v>
      </c>
      <c r="CS108" s="45">
        <v>0</v>
      </c>
      <c r="CT108" s="45">
        <v>0</v>
      </c>
      <c r="CU108" s="45">
        <v>0</v>
      </c>
      <c r="CV108" s="45">
        <v>9999</v>
      </c>
      <c r="CW108" s="199">
        <v>9999</v>
      </c>
      <c r="CX108" s="24"/>
      <c r="CY108" s="24"/>
      <c r="CZ108" s="24"/>
      <c r="DA108" s="24"/>
      <c r="DB108" s="24"/>
      <c r="DC108" s="24"/>
      <c r="DD108" s="24"/>
      <c r="DE108" s="24"/>
      <c r="DF108" s="24"/>
      <c r="DG108" s="24"/>
      <c r="DH108" s="24"/>
      <c r="DI108" s="24"/>
      <c r="DJ108" s="24"/>
      <c r="DK108" s="24"/>
      <c r="DL108" s="24"/>
      <c r="DM108" s="24"/>
      <c r="DN108" s="24"/>
      <c r="DO108" s="24"/>
      <c r="DP108" s="24"/>
      <c r="DQ108" s="24"/>
      <c r="DR108" s="24"/>
      <c r="DS108" s="24"/>
      <c r="DT108" s="24"/>
      <c r="DU108" s="24"/>
      <c r="DV108" s="24"/>
      <c r="DW108" s="24"/>
      <c r="DX108" s="24"/>
      <c r="DY108" s="24"/>
      <c r="DZ108" s="24"/>
      <c r="EA108" s="24"/>
    </row>
    <row r="109" spans="1:131">
      <c r="A109" s="24" t="s">
        <v>434</v>
      </c>
      <c r="B109" s="24"/>
      <c r="C109" s="45">
        <v>11.627906976744185</v>
      </c>
      <c r="D109" s="45">
        <v>3159.841836734694</v>
      </c>
      <c r="E109" s="45">
        <v>0</v>
      </c>
      <c r="F109" s="45">
        <v>1014.9694632777404</v>
      </c>
      <c r="G109" s="45">
        <v>0</v>
      </c>
      <c r="H109" s="45">
        <v>0</v>
      </c>
      <c r="I109" s="45"/>
      <c r="J109" s="45"/>
      <c r="K109" s="45"/>
      <c r="L109" s="45">
        <v>3387.6594304155228</v>
      </c>
      <c r="M109" s="45">
        <v>0.7907296823799802</v>
      </c>
      <c r="N109" s="45">
        <v>0.7850225501302095</v>
      </c>
      <c r="O109" s="45">
        <v>0</v>
      </c>
      <c r="P109" s="45">
        <v>0</v>
      </c>
      <c r="Q109" s="45">
        <v>0</v>
      </c>
      <c r="R109" s="45">
        <v>202.39846944936139</v>
      </c>
      <c r="S109" s="45">
        <v>467.71207826404958</v>
      </c>
      <c r="T109" s="45">
        <v>0</v>
      </c>
      <c r="U109" s="45">
        <v>990.09732631992802</v>
      </c>
      <c r="V109" s="45">
        <v>60.898167796664424</v>
      </c>
      <c r="W109" s="45">
        <v>142.09572485888364</v>
      </c>
      <c r="X109" s="45">
        <v>0</v>
      </c>
      <c r="Y109" s="45">
        <v>0</v>
      </c>
      <c r="Z109" s="45">
        <v>0</v>
      </c>
      <c r="AA109" s="45">
        <v>0</v>
      </c>
      <c r="AB109" s="45">
        <v>0</v>
      </c>
      <c r="AC109" s="45">
        <v>0</v>
      </c>
      <c r="AD109" s="45">
        <v>0</v>
      </c>
      <c r="AE109" s="45">
        <v>0</v>
      </c>
      <c r="AF109" s="45">
        <v>0</v>
      </c>
      <c r="AG109" s="45">
        <v>0</v>
      </c>
      <c r="AH109" s="45">
        <v>263.2966372460258</v>
      </c>
      <c r="AI109" s="45">
        <v>609.80780312293325</v>
      </c>
      <c r="AJ109" s="45">
        <v>0</v>
      </c>
      <c r="AK109" s="45">
        <v>990.09732631992802</v>
      </c>
      <c r="AL109" s="45">
        <v>1863.2017666888871</v>
      </c>
      <c r="AM109" s="45">
        <v>1623.7395084967363</v>
      </c>
      <c r="AN109" s="45">
        <v>279.40313528911093</v>
      </c>
      <c r="AO109" s="45">
        <v>0</v>
      </c>
      <c r="AP109" s="45">
        <v>0</v>
      </c>
      <c r="AQ109" s="45">
        <v>1903.1426437858472</v>
      </c>
      <c r="AR109" s="45">
        <v>263.2966372460258</v>
      </c>
      <c r="AS109" s="199">
        <v>7.2281312199499927</v>
      </c>
      <c r="AT109" s="45">
        <v>1623.7395084967363</v>
      </c>
      <c r="AU109" s="45">
        <v>330.73009197727737</v>
      </c>
      <c r="AV109" s="45">
        <v>0</v>
      </c>
      <c r="AW109" s="45">
        <v>0</v>
      </c>
      <c r="AX109" s="45">
        <v>1954.4696004740138</v>
      </c>
      <c r="AY109" s="45">
        <v>609.80780312293325</v>
      </c>
      <c r="AZ109" s="199">
        <v>3.2050583650534321</v>
      </c>
      <c r="BA109" s="45">
        <v>1623.7395084967363</v>
      </c>
      <c r="BB109" s="45">
        <v>610.1332272663883</v>
      </c>
      <c r="BC109" s="45">
        <v>0</v>
      </c>
      <c r="BD109" s="45">
        <v>0</v>
      </c>
      <c r="BE109" s="45">
        <v>2233.8727357631246</v>
      </c>
      <c r="BF109" s="45">
        <v>873.10444036895899</v>
      </c>
      <c r="BG109" s="45">
        <v>5.7118735054652721</v>
      </c>
      <c r="BH109" s="199">
        <v>2.55854011556639</v>
      </c>
      <c r="BI109" s="45">
        <v>5.7189418895713127</v>
      </c>
      <c r="BJ109" s="45">
        <v>13.245347249188383</v>
      </c>
      <c r="BK109" s="45">
        <v>0</v>
      </c>
      <c r="BL109" s="45">
        <v>21.505436352962999</v>
      </c>
      <c r="BM109" s="45">
        <v>40.469725491722691</v>
      </c>
      <c r="BN109" s="45">
        <v>1623.7395084967363</v>
      </c>
      <c r="BO109" s="45">
        <v>0</v>
      </c>
      <c r="BP109" s="45">
        <v>610.1332272663883</v>
      </c>
      <c r="BQ109" s="45">
        <v>0</v>
      </c>
      <c r="BR109" s="45">
        <v>0</v>
      </c>
      <c r="BS109" s="45">
        <v>0</v>
      </c>
      <c r="BT109" s="45">
        <v>0</v>
      </c>
      <c r="BU109" s="45">
        <v>0</v>
      </c>
      <c r="BV109" s="45">
        <v>0</v>
      </c>
      <c r="BW109" s="45">
        <v>0</v>
      </c>
      <c r="BX109" s="45">
        <v>1660.2078740333391</v>
      </c>
      <c r="BY109" s="45">
        <v>202.99389265554808</v>
      </c>
      <c r="BZ109" s="45">
        <v>0</v>
      </c>
      <c r="CA109" s="45">
        <v>0</v>
      </c>
      <c r="CB109" s="45">
        <v>2233.8727357631246</v>
      </c>
      <c r="CC109" s="45">
        <v>1863.2017666888871</v>
      </c>
      <c r="CD109" s="199">
        <v>1.1989430107362771</v>
      </c>
      <c r="CE109" s="45">
        <v>27.217309858428273</v>
      </c>
      <c r="CF109" s="45">
        <v>32.182849854666841</v>
      </c>
      <c r="CG109" s="45">
        <v>0</v>
      </c>
      <c r="CH109" s="45">
        <v>32.182849854666841</v>
      </c>
      <c r="CI109" s="45">
        <v>1.6091382294473737</v>
      </c>
      <c r="CJ109" s="45">
        <v>0</v>
      </c>
      <c r="CK109" s="45">
        <v>1.6091382294473737</v>
      </c>
      <c r="CL109" s="45"/>
      <c r="CM109" s="45">
        <v>0</v>
      </c>
      <c r="CN109" s="45"/>
      <c r="CO109" s="45">
        <v>0</v>
      </c>
      <c r="CP109" s="45">
        <v>0</v>
      </c>
      <c r="CQ109" s="45">
        <v>0</v>
      </c>
      <c r="CR109" s="45">
        <v>0</v>
      </c>
      <c r="CS109" s="45">
        <v>0</v>
      </c>
      <c r="CT109" s="45">
        <v>0</v>
      </c>
      <c r="CU109" s="45">
        <v>0</v>
      </c>
      <c r="CV109" s="45">
        <v>9999</v>
      </c>
      <c r="CW109" s="199">
        <v>9999</v>
      </c>
      <c r="CX109" s="24"/>
      <c r="CY109" s="24"/>
      <c r="CZ109" s="24"/>
      <c r="DA109" s="24"/>
      <c r="DB109" s="24"/>
      <c r="DC109" s="24"/>
      <c r="DD109" s="24"/>
      <c r="DE109" s="24"/>
      <c r="DF109" s="24"/>
      <c r="DG109" s="24"/>
      <c r="DH109" s="24"/>
      <c r="DI109" s="24"/>
      <c r="DJ109" s="24"/>
      <c r="DK109" s="24"/>
      <c r="DL109" s="24"/>
      <c r="DM109" s="24"/>
      <c r="DN109" s="24"/>
      <c r="DO109" s="24"/>
      <c r="DP109" s="24"/>
      <c r="DQ109" s="24"/>
      <c r="DR109" s="24"/>
      <c r="DS109" s="24"/>
      <c r="DT109" s="24"/>
      <c r="DU109" s="24"/>
      <c r="DV109" s="24"/>
      <c r="DW109" s="24"/>
      <c r="DX109" s="24"/>
      <c r="DY109" s="24"/>
      <c r="DZ109" s="24"/>
      <c r="EA109" s="24"/>
    </row>
    <row r="110" spans="1:131">
      <c r="A110" s="24" t="s">
        <v>427</v>
      </c>
      <c r="B110" s="24"/>
      <c r="C110" s="45">
        <v>11.627906976744185</v>
      </c>
      <c r="D110" s="45">
        <v>743.50510204081638</v>
      </c>
      <c r="E110" s="45">
        <v>0</v>
      </c>
      <c r="F110" s="45">
        <v>260.08403248610176</v>
      </c>
      <c r="G110" s="45">
        <v>0</v>
      </c>
      <c r="H110" s="45">
        <v>0</v>
      </c>
      <c r="I110" s="45"/>
      <c r="J110" s="45"/>
      <c r="K110" s="45"/>
      <c r="L110" s="45">
        <v>797.11017216400808</v>
      </c>
      <c r="M110" s="45">
        <v>0.18605727234504985</v>
      </c>
      <c r="N110" s="45">
        <v>0.18471439438945222</v>
      </c>
      <c r="O110" s="45">
        <v>0</v>
      </c>
      <c r="P110" s="45">
        <v>0</v>
      </c>
      <c r="Q110" s="45">
        <v>0</v>
      </c>
      <c r="R110" s="45">
        <v>51.864230410841614</v>
      </c>
      <c r="S110" s="45">
        <v>119.85034797453999</v>
      </c>
      <c r="T110" s="45">
        <v>0</v>
      </c>
      <c r="U110" s="45">
        <v>253.71059376643433</v>
      </c>
      <c r="V110" s="45">
        <v>15.605041949166106</v>
      </c>
      <c r="W110" s="45">
        <v>36.411764548054244</v>
      </c>
      <c r="X110" s="45">
        <v>0</v>
      </c>
      <c r="Y110" s="45">
        <v>0</v>
      </c>
      <c r="Z110" s="45">
        <v>0</v>
      </c>
      <c r="AA110" s="45">
        <v>0</v>
      </c>
      <c r="AB110" s="45">
        <v>0</v>
      </c>
      <c r="AC110" s="45">
        <v>0</v>
      </c>
      <c r="AD110" s="45">
        <v>0</v>
      </c>
      <c r="AE110" s="45">
        <v>0</v>
      </c>
      <c r="AF110" s="45">
        <v>0</v>
      </c>
      <c r="AG110" s="45">
        <v>0</v>
      </c>
      <c r="AH110" s="45">
        <v>67.469272360007722</v>
      </c>
      <c r="AI110" s="45">
        <v>156.26211252259424</v>
      </c>
      <c r="AJ110" s="45">
        <v>0</v>
      </c>
      <c r="AK110" s="45">
        <v>253.71059376643433</v>
      </c>
      <c r="AL110" s="45">
        <v>477.44197864903629</v>
      </c>
      <c r="AM110" s="45">
        <v>382.06298648166677</v>
      </c>
      <c r="AN110" s="45">
        <v>65.743055300617698</v>
      </c>
      <c r="AO110" s="45">
        <v>0</v>
      </c>
      <c r="AP110" s="45">
        <v>0</v>
      </c>
      <c r="AQ110" s="45">
        <v>447.80604178228447</v>
      </c>
      <c r="AR110" s="45">
        <v>67.469272360007722</v>
      </c>
      <c r="AS110" s="199">
        <v>6.6371849898253918</v>
      </c>
      <c r="AT110" s="45">
        <v>382.06298648166677</v>
      </c>
      <c r="AU110" s="45">
        <v>77.820195911337436</v>
      </c>
      <c r="AV110" s="45">
        <v>0</v>
      </c>
      <c r="AW110" s="45">
        <v>0</v>
      </c>
      <c r="AX110" s="45">
        <v>459.88318239300418</v>
      </c>
      <c r="AY110" s="45">
        <v>156.26211252259424</v>
      </c>
      <c r="AZ110" s="199">
        <v>2.9430242236518387</v>
      </c>
      <c r="BA110" s="45">
        <v>382.06298648166677</v>
      </c>
      <c r="BB110" s="45">
        <v>143.56325121195513</v>
      </c>
      <c r="BC110" s="45">
        <v>0</v>
      </c>
      <c r="BD110" s="45">
        <v>0</v>
      </c>
      <c r="BE110" s="45">
        <v>525.62623769362187</v>
      </c>
      <c r="BF110" s="45">
        <v>223.73138488260196</v>
      </c>
      <c r="BG110" s="45">
        <v>7.4003717454153373</v>
      </c>
      <c r="BH110" s="199">
        <v>2.3493630004991588</v>
      </c>
      <c r="BI110" s="45">
        <v>6.2281317276012418</v>
      </c>
      <c r="BJ110" s="45">
        <v>14.424655651108509</v>
      </c>
      <c r="BK110" s="45">
        <v>0</v>
      </c>
      <c r="BL110" s="45">
        <v>23.420187344452618</v>
      </c>
      <c r="BM110" s="45">
        <v>44.072974723162368</v>
      </c>
      <c r="BN110" s="45">
        <v>382.06298648166677</v>
      </c>
      <c r="BO110" s="45">
        <v>0</v>
      </c>
      <c r="BP110" s="45">
        <v>143.56325121195513</v>
      </c>
      <c r="BQ110" s="45">
        <v>0</v>
      </c>
      <c r="BR110" s="45">
        <v>0</v>
      </c>
      <c r="BS110" s="45">
        <v>0</v>
      </c>
      <c r="BT110" s="45">
        <v>0</v>
      </c>
      <c r="BU110" s="45">
        <v>0</v>
      </c>
      <c r="BV110" s="45">
        <v>0</v>
      </c>
      <c r="BW110" s="45">
        <v>0</v>
      </c>
      <c r="BX110" s="45">
        <v>425.4251721518159</v>
      </c>
      <c r="BY110" s="45">
        <v>52.016806497220358</v>
      </c>
      <c r="BZ110" s="45">
        <v>0</v>
      </c>
      <c r="CA110" s="45">
        <v>0</v>
      </c>
      <c r="CB110" s="45">
        <v>525.62623769362187</v>
      </c>
      <c r="CC110" s="45">
        <v>477.44197864903629</v>
      </c>
      <c r="CD110" s="199">
        <v>1.100921706090711</v>
      </c>
      <c r="CE110" s="45">
        <v>30.820559089867952</v>
      </c>
      <c r="CF110" s="45">
        <v>7.5725666984285294</v>
      </c>
      <c r="CG110" s="45">
        <v>0</v>
      </c>
      <c r="CH110" s="45">
        <v>7.5725666984285294</v>
      </c>
      <c r="CI110" s="45">
        <v>0.37862733177790386</v>
      </c>
      <c r="CJ110" s="45">
        <v>0</v>
      </c>
      <c r="CK110" s="45">
        <v>0.37862733177790386</v>
      </c>
      <c r="CL110" s="45"/>
      <c r="CM110" s="45">
        <v>0</v>
      </c>
      <c r="CN110" s="45"/>
      <c r="CO110" s="45">
        <v>0</v>
      </c>
      <c r="CP110" s="45">
        <v>0</v>
      </c>
      <c r="CQ110" s="45">
        <v>0</v>
      </c>
      <c r="CR110" s="45">
        <v>0</v>
      </c>
      <c r="CS110" s="45">
        <v>0</v>
      </c>
      <c r="CT110" s="45">
        <v>0</v>
      </c>
      <c r="CU110" s="45">
        <v>0</v>
      </c>
      <c r="CV110" s="45">
        <v>9999</v>
      </c>
      <c r="CW110" s="199">
        <v>9999</v>
      </c>
      <c r="CX110" s="24"/>
      <c r="CY110" s="24"/>
      <c r="CZ110" s="24"/>
      <c r="DA110" s="24"/>
      <c r="DB110" s="24"/>
      <c r="DC110" s="24"/>
      <c r="DD110" s="24"/>
      <c r="DE110" s="24"/>
      <c r="DF110" s="24"/>
      <c r="DG110" s="24"/>
      <c r="DH110" s="24"/>
      <c r="DI110" s="24"/>
      <c r="DJ110" s="24"/>
      <c r="DK110" s="24"/>
      <c r="DL110" s="24"/>
      <c r="DM110" s="24"/>
      <c r="DN110" s="24"/>
      <c r="DO110" s="24"/>
      <c r="DP110" s="24"/>
      <c r="DQ110" s="24"/>
      <c r="DR110" s="24"/>
      <c r="DS110" s="24"/>
      <c r="DT110" s="24"/>
      <c r="DU110" s="24"/>
      <c r="DV110" s="24"/>
      <c r="DW110" s="24"/>
      <c r="DX110" s="24"/>
      <c r="DY110" s="24"/>
      <c r="DZ110" s="24"/>
      <c r="EA110" s="24"/>
    </row>
    <row r="111" spans="1:131">
      <c r="A111" s="24" t="s">
        <v>431</v>
      </c>
      <c r="B111" s="24"/>
      <c r="C111" s="45">
        <v>11.627906976744185</v>
      </c>
      <c r="D111" s="45">
        <v>743.50510204081638</v>
      </c>
      <c r="E111" s="45">
        <v>0</v>
      </c>
      <c r="F111" s="45">
        <v>285.91736581943508</v>
      </c>
      <c r="G111" s="45">
        <v>0</v>
      </c>
      <c r="H111" s="45">
        <v>0</v>
      </c>
      <c r="I111" s="45"/>
      <c r="J111" s="45"/>
      <c r="K111" s="45"/>
      <c r="L111" s="45">
        <v>797.11017216400808</v>
      </c>
      <c r="M111" s="45">
        <v>0.18605727234504985</v>
      </c>
      <c r="N111" s="45">
        <v>0.18471439438945222</v>
      </c>
      <c r="O111" s="45">
        <v>0</v>
      </c>
      <c r="P111" s="45">
        <v>0</v>
      </c>
      <c r="Q111" s="45">
        <v>0</v>
      </c>
      <c r="R111" s="45">
        <v>57.015742172147732</v>
      </c>
      <c r="S111" s="45">
        <v>131.75470811440258</v>
      </c>
      <c r="T111" s="45">
        <v>0</v>
      </c>
      <c r="U111" s="45">
        <v>278.91087336959083</v>
      </c>
      <c r="V111" s="45">
        <v>17.155041949166105</v>
      </c>
      <c r="W111" s="45">
        <v>40.028431214720911</v>
      </c>
      <c r="X111" s="45">
        <v>0</v>
      </c>
      <c r="Y111" s="45">
        <v>0</v>
      </c>
      <c r="Z111" s="45">
        <v>0</v>
      </c>
      <c r="AA111" s="45">
        <v>0</v>
      </c>
      <c r="AB111" s="45">
        <v>0</v>
      </c>
      <c r="AC111" s="45">
        <v>0</v>
      </c>
      <c r="AD111" s="45">
        <v>0</v>
      </c>
      <c r="AE111" s="45">
        <v>0</v>
      </c>
      <c r="AF111" s="45">
        <v>0</v>
      </c>
      <c r="AG111" s="45">
        <v>0</v>
      </c>
      <c r="AH111" s="45">
        <v>74.170784121313829</v>
      </c>
      <c r="AI111" s="45">
        <v>171.78313932912349</v>
      </c>
      <c r="AJ111" s="45">
        <v>0</v>
      </c>
      <c r="AK111" s="45">
        <v>278.91087336959083</v>
      </c>
      <c r="AL111" s="45">
        <v>524.86479682002812</v>
      </c>
      <c r="AM111" s="45">
        <v>382.06298648166677</v>
      </c>
      <c r="AN111" s="45">
        <v>65.743055300617698</v>
      </c>
      <c r="AO111" s="45">
        <v>0</v>
      </c>
      <c r="AP111" s="45">
        <v>0</v>
      </c>
      <c r="AQ111" s="45">
        <v>447.80604178228447</v>
      </c>
      <c r="AR111" s="45">
        <v>74.170784121313829</v>
      </c>
      <c r="AS111" s="199">
        <v>6.037499091958531</v>
      </c>
      <c r="AT111" s="45">
        <v>382.06298648166677</v>
      </c>
      <c r="AU111" s="45">
        <v>77.820195911337436</v>
      </c>
      <c r="AV111" s="45">
        <v>0</v>
      </c>
      <c r="AW111" s="45">
        <v>0</v>
      </c>
      <c r="AX111" s="45">
        <v>459.88318239300418</v>
      </c>
      <c r="AY111" s="45">
        <v>171.78313932912349</v>
      </c>
      <c r="AZ111" s="199">
        <v>2.6771147866374871</v>
      </c>
      <c r="BA111" s="45">
        <v>382.06298648166677</v>
      </c>
      <c r="BB111" s="45">
        <v>143.56325121195513</v>
      </c>
      <c r="BC111" s="45">
        <v>0</v>
      </c>
      <c r="BD111" s="45">
        <v>0</v>
      </c>
      <c r="BE111" s="45">
        <v>525.62623769362187</v>
      </c>
      <c r="BF111" s="45">
        <v>245.95392345043732</v>
      </c>
      <c r="BG111" s="45">
        <v>9.4517485082128658</v>
      </c>
      <c r="BH111" s="199">
        <v>2.13709230704564</v>
      </c>
      <c r="BI111" s="45">
        <v>6.8467525688158206</v>
      </c>
      <c r="BJ111" s="45">
        <v>15.857411572691465</v>
      </c>
      <c r="BK111" s="45">
        <v>0</v>
      </c>
      <c r="BL111" s="45">
        <v>25.746441288668471</v>
      </c>
      <c r="BM111" s="45">
        <v>48.450605430175749</v>
      </c>
      <c r="BN111" s="45">
        <v>382.06298648166677</v>
      </c>
      <c r="BO111" s="45">
        <v>0</v>
      </c>
      <c r="BP111" s="45">
        <v>143.56325121195513</v>
      </c>
      <c r="BQ111" s="45">
        <v>0</v>
      </c>
      <c r="BR111" s="45">
        <v>0</v>
      </c>
      <c r="BS111" s="45">
        <v>0</v>
      </c>
      <c r="BT111" s="45">
        <v>0</v>
      </c>
      <c r="BU111" s="45">
        <v>0</v>
      </c>
      <c r="BV111" s="45">
        <v>0</v>
      </c>
      <c r="BW111" s="45">
        <v>0</v>
      </c>
      <c r="BX111" s="45">
        <v>467.6813236561411</v>
      </c>
      <c r="BY111" s="45">
        <v>57.183473163887015</v>
      </c>
      <c r="BZ111" s="45">
        <v>0</v>
      </c>
      <c r="CA111" s="45">
        <v>0</v>
      </c>
      <c r="CB111" s="45">
        <v>525.62623769362187</v>
      </c>
      <c r="CC111" s="45">
        <v>524.86479682002812</v>
      </c>
      <c r="CD111" s="199">
        <v>1.0014507371769017</v>
      </c>
      <c r="CE111" s="45">
        <v>35.198189796881337</v>
      </c>
      <c r="CF111" s="45">
        <v>7.5725666984285294</v>
      </c>
      <c r="CG111" s="45">
        <v>0</v>
      </c>
      <c r="CH111" s="45">
        <v>7.5725666984285294</v>
      </c>
      <c r="CI111" s="45">
        <v>0.37862733177790386</v>
      </c>
      <c r="CJ111" s="45">
        <v>0</v>
      </c>
      <c r="CK111" s="45">
        <v>0.37862733177790386</v>
      </c>
      <c r="CL111" s="45"/>
      <c r="CM111" s="45">
        <v>0</v>
      </c>
      <c r="CN111" s="45"/>
      <c r="CO111" s="45">
        <v>0</v>
      </c>
      <c r="CP111" s="45">
        <v>0</v>
      </c>
      <c r="CQ111" s="45">
        <v>0</v>
      </c>
      <c r="CR111" s="45">
        <v>0</v>
      </c>
      <c r="CS111" s="45">
        <v>0</v>
      </c>
      <c r="CT111" s="45">
        <v>0</v>
      </c>
      <c r="CU111" s="45">
        <v>0</v>
      </c>
      <c r="CV111" s="45">
        <v>9999</v>
      </c>
      <c r="CW111" s="199">
        <v>9999</v>
      </c>
      <c r="CX111" s="24"/>
      <c r="CY111" s="24"/>
      <c r="CZ111" s="24"/>
      <c r="DA111" s="24"/>
      <c r="DB111" s="24"/>
      <c r="DC111" s="24"/>
      <c r="DD111" s="24"/>
      <c r="DE111" s="24"/>
      <c r="DF111" s="24"/>
      <c r="DG111" s="24"/>
      <c r="DH111" s="24"/>
      <c r="DI111" s="24"/>
      <c r="DJ111" s="24"/>
      <c r="DK111" s="24"/>
      <c r="DL111" s="24"/>
      <c r="DM111" s="24"/>
      <c r="DN111" s="24"/>
      <c r="DO111" s="24"/>
      <c r="DP111" s="24"/>
      <c r="DQ111" s="24"/>
      <c r="DR111" s="24"/>
      <c r="DS111" s="24"/>
      <c r="DT111" s="24"/>
      <c r="DU111" s="24"/>
      <c r="DV111" s="24"/>
      <c r="DW111" s="24"/>
      <c r="DX111" s="24"/>
      <c r="DY111" s="24"/>
      <c r="DZ111" s="24"/>
      <c r="EA111" s="24"/>
    </row>
    <row r="112" spans="1:131">
      <c r="A112" s="24" t="s">
        <v>436</v>
      </c>
      <c r="B112" s="24"/>
      <c r="C112" s="45">
        <v>6.6762790697674417</v>
      </c>
      <c r="D112" s="45">
        <v>68.226666666666659</v>
      </c>
      <c r="E112" s="45">
        <v>0</v>
      </c>
      <c r="F112" s="45">
        <v>30.451059986919489</v>
      </c>
      <c r="G112" s="45">
        <v>0</v>
      </c>
      <c r="H112" s="45">
        <v>0</v>
      </c>
      <c r="I112" s="45"/>
      <c r="J112" s="45"/>
      <c r="K112" s="45"/>
      <c r="L112" s="45">
        <v>73.145658131418585</v>
      </c>
      <c r="M112" s="45">
        <v>1.7073275578542112E-2</v>
      </c>
      <c r="N112" s="45">
        <v>1.6950048331816986E-2</v>
      </c>
      <c r="O112" s="45">
        <v>0</v>
      </c>
      <c r="P112" s="45">
        <v>0</v>
      </c>
      <c r="Q112" s="45">
        <v>0</v>
      </c>
      <c r="R112" s="45">
        <v>6.0723481419427285</v>
      </c>
      <c r="S112" s="45">
        <v>14.032272957090957</v>
      </c>
      <c r="T112" s="45">
        <v>0</v>
      </c>
      <c r="U112" s="45">
        <v>60.867325909236541</v>
      </c>
      <c r="V112" s="45">
        <v>1.8270635992151694</v>
      </c>
      <c r="W112" s="45">
        <v>4.2631483981687284</v>
      </c>
      <c r="X112" s="45">
        <v>0</v>
      </c>
      <c r="Y112" s="45">
        <v>0</v>
      </c>
      <c r="Z112" s="45">
        <v>0</v>
      </c>
      <c r="AA112" s="45">
        <v>0</v>
      </c>
      <c r="AB112" s="45">
        <v>0</v>
      </c>
      <c r="AC112" s="45">
        <v>0</v>
      </c>
      <c r="AD112" s="45">
        <v>0</v>
      </c>
      <c r="AE112" s="45">
        <v>0</v>
      </c>
      <c r="AF112" s="45">
        <v>0</v>
      </c>
      <c r="AG112" s="45">
        <v>0</v>
      </c>
      <c r="AH112" s="45">
        <v>7.8994117411578983</v>
      </c>
      <c r="AI112" s="45">
        <v>18.295421355259684</v>
      </c>
      <c r="AJ112" s="45">
        <v>0</v>
      </c>
      <c r="AK112" s="45">
        <v>60.867325909236541</v>
      </c>
      <c r="AL112" s="45">
        <v>87.062159005654138</v>
      </c>
      <c r="AM112" s="45">
        <v>35.059455480272995</v>
      </c>
      <c r="AN112" s="45">
        <v>6.0328160591388107</v>
      </c>
      <c r="AO112" s="45">
        <v>0</v>
      </c>
      <c r="AP112" s="45">
        <v>0</v>
      </c>
      <c r="AQ112" s="45">
        <v>41.092271539411804</v>
      </c>
      <c r="AR112" s="45">
        <v>7.8994117411578983</v>
      </c>
      <c r="AS112" s="199">
        <v>5.2019407122825179</v>
      </c>
      <c r="AT112" s="45">
        <v>35.059455480272995</v>
      </c>
      <c r="AU112" s="45">
        <v>7.141057340163405</v>
      </c>
      <c r="AV112" s="45">
        <v>0</v>
      </c>
      <c r="AW112" s="45">
        <v>0</v>
      </c>
      <c r="AX112" s="45">
        <v>42.200512820436401</v>
      </c>
      <c r="AY112" s="45">
        <v>18.295421355259684</v>
      </c>
      <c r="AZ112" s="199">
        <v>2.306616065352566</v>
      </c>
      <c r="BA112" s="45">
        <v>35.059455480272995</v>
      </c>
      <c r="BB112" s="45">
        <v>13.173873399302217</v>
      </c>
      <c r="BC112" s="45">
        <v>0</v>
      </c>
      <c r="BD112" s="45">
        <v>0</v>
      </c>
      <c r="BE112" s="45">
        <v>48.233328879575211</v>
      </c>
      <c r="BF112" s="45">
        <v>26.194833096417582</v>
      </c>
      <c r="BG112" s="45">
        <v>13.09859026424895</v>
      </c>
      <c r="BH112" s="199">
        <v>1.841329879905653</v>
      </c>
      <c r="BI112" s="45">
        <v>7.9465077945788778</v>
      </c>
      <c r="BJ112" s="45">
        <v>18.404498102964489</v>
      </c>
      <c r="BK112" s="45">
        <v>0</v>
      </c>
      <c r="BL112" s="45">
        <v>61.230215061814555</v>
      </c>
      <c r="BM112" s="45">
        <v>87.581220959357935</v>
      </c>
      <c r="BN112" s="45">
        <v>35.059455480272995</v>
      </c>
      <c r="BO112" s="45">
        <v>0</v>
      </c>
      <c r="BP112" s="45">
        <v>13.173873399302217</v>
      </c>
      <c r="BQ112" s="45">
        <v>0</v>
      </c>
      <c r="BR112" s="45">
        <v>0</v>
      </c>
      <c r="BS112" s="45">
        <v>0</v>
      </c>
      <c r="BT112" s="45">
        <v>0</v>
      </c>
      <c r="BU112" s="45">
        <v>0</v>
      </c>
      <c r="BV112" s="45">
        <v>0</v>
      </c>
      <c r="BW112" s="45">
        <v>0</v>
      </c>
      <c r="BX112" s="45">
        <v>80.971947008270234</v>
      </c>
      <c r="BY112" s="45">
        <v>6.0902119973838982</v>
      </c>
      <c r="BZ112" s="45">
        <v>0</v>
      </c>
      <c r="CA112" s="45">
        <v>0</v>
      </c>
      <c r="CB112" s="45">
        <v>48.233328879575211</v>
      </c>
      <c r="CC112" s="45">
        <v>87.062159005654138</v>
      </c>
      <c r="CD112" s="200">
        <v>0.554010254632472</v>
      </c>
      <c r="CE112" s="45">
        <v>74.328805326063531</v>
      </c>
      <c r="CF112" s="45">
        <v>0.69488559328866673</v>
      </c>
      <c r="CG112" s="45">
        <v>0</v>
      </c>
      <c r="CH112" s="45">
        <v>0.69488559328866673</v>
      </c>
      <c r="CI112" s="45">
        <v>3.4744187612423837E-2</v>
      </c>
      <c r="CJ112" s="45">
        <v>0</v>
      </c>
      <c r="CK112" s="45">
        <v>3.4744187612423837E-2</v>
      </c>
      <c r="CL112" s="45"/>
      <c r="CM112" s="45">
        <v>0</v>
      </c>
      <c r="CN112" s="45"/>
      <c r="CO112" s="45">
        <v>0</v>
      </c>
      <c r="CP112" s="45">
        <v>0</v>
      </c>
      <c r="CQ112" s="45">
        <v>0</v>
      </c>
      <c r="CR112" s="45">
        <v>0</v>
      </c>
      <c r="CS112" s="45">
        <v>0</v>
      </c>
      <c r="CT112" s="45">
        <v>0</v>
      </c>
      <c r="CU112" s="45">
        <v>0</v>
      </c>
      <c r="CV112" s="45">
        <v>9999</v>
      </c>
      <c r="CW112" s="199">
        <v>9999</v>
      </c>
      <c r="CX112" s="24"/>
      <c r="CY112" s="24"/>
      <c r="CZ112" s="24"/>
      <c r="DA112" s="24"/>
      <c r="DB112" s="24"/>
      <c r="DC112" s="24"/>
      <c r="DD112" s="24"/>
      <c r="DE112" s="24"/>
      <c r="DF112" s="24"/>
      <c r="DG112" s="24"/>
      <c r="DH112" s="24"/>
      <c r="DI112" s="24"/>
      <c r="DJ112" s="24"/>
      <c r="DK112" s="24"/>
      <c r="DL112" s="24"/>
      <c r="DM112" s="24"/>
      <c r="DN112" s="24"/>
      <c r="DO112" s="24"/>
      <c r="DP112" s="24"/>
      <c r="DQ112" s="24"/>
      <c r="DR112" s="24"/>
      <c r="DS112" s="24"/>
      <c r="DT112" s="24"/>
      <c r="DU112" s="24"/>
      <c r="DV112" s="24"/>
      <c r="DW112" s="24"/>
      <c r="DX112" s="24"/>
      <c r="DY112" s="24"/>
      <c r="DZ112" s="24"/>
      <c r="EA112" s="24"/>
    </row>
    <row r="113" spans="1:131">
      <c r="A113" s="24"/>
      <c r="B113" s="24"/>
      <c r="C113" s="45"/>
      <c r="D113" s="45"/>
      <c r="E113" s="45"/>
      <c r="F113" s="45"/>
      <c r="G113" s="45"/>
      <c r="H113" s="45"/>
      <c r="I113" s="45"/>
      <c r="J113" s="45"/>
      <c r="K113" s="45"/>
      <c r="L113" s="45"/>
      <c r="M113" s="45"/>
      <c r="N113" s="45"/>
      <c r="O113" s="45"/>
      <c r="P113" s="45"/>
      <c r="Q113" s="45"/>
      <c r="R113" s="45"/>
      <c r="S113" s="45"/>
      <c r="T113" s="45"/>
      <c r="U113" s="45"/>
      <c r="V113" s="45"/>
      <c r="W113" s="45"/>
      <c r="X113" s="45"/>
      <c r="Y113" s="45"/>
      <c r="Z113" s="45"/>
      <c r="AA113" s="45"/>
      <c r="AB113" s="45"/>
      <c r="AC113" s="45"/>
      <c r="AD113" s="45"/>
      <c r="AE113" s="45"/>
      <c r="AF113" s="45"/>
      <c r="AG113" s="45"/>
      <c r="AH113" s="45"/>
      <c r="AI113" s="45"/>
      <c r="AJ113" s="45"/>
      <c r="AK113" s="45"/>
      <c r="AL113" s="45"/>
      <c r="AM113" s="45"/>
      <c r="AN113" s="45"/>
      <c r="AO113" s="45"/>
      <c r="AP113" s="45"/>
      <c r="AQ113" s="45"/>
      <c r="AR113" s="45"/>
      <c r="AS113" s="45"/>
      <c r="AT113" s="45"/>
      <c r="AU113" s="45"/>
      <c r="AV113" s="45"/>
      <c r="AW113" s="45"/>
      <c r="AX113" s="45"/>
      <c r="AY113" s="45"/>
      <c r="AZ113" s="45"/>
      <c r="BA113" s="45"/>
      <c r="BB113" s="45"/>
      <c r="BC113" s="45"/>
      <c r="BD113" s="45"/>
      <c r="BE113" s="45"/>
      <c r="BF113" s="45"/>
      <c r="BG113" s="45"/>
      <c r="BH113" s="45"/>
      <c r="BI113" s="45"/>
      <c r="BJ113" s="45"/>
      <c r="BK113" s="45"/>
      <c r="BL113" s="45"/>
      <c r="BM113" s="45"/>
      <c r="BN113" s="45"/>
      <c r="BO113" s="45"/>
      <c r="BP113" s="45"/>
      <c r="BQ113" s="45"/>
      <c r="BR113" s="45"/>
      <c r="BS113" s="45"/>
      <c r="BT113" s="45"/>
      <c r="BU113" s="45"/>
      <c r="BV113" s="45"/>
      <c r="BW113" s="45"/>
      <c r="BX113" s="45"/>
      <c r="BY113" s="45"/>
      <c r="BZ113" s="45"/>
      <c r="CA113" s="45"/>
      <c r="CB113" s="45"/>
      <c r="CC113" s="45"/>
      <c r="CD113" s="45"/>
      <c r="CE113" s="45"/>
      <c r="CF113" s="45"/>
      <c r="CG113" s="45"/>
      <c r="CH113" s="45"/>
      <c r="CI113" s="45"/>
      <c r="CJ113" s="45"/>
      <c r="CK113" s="45"/>
      <c r="CL113" s="45"/>
      <c r="CM113" s="45"/>
      <c r="CN113" s="45"/>
      <c r="CO113" s="45"/>
      <c r="CP113" s="45"/>
      <c r="CQ113" s="45"/>
      <c r="CR113" s="45"/>
      <c r="CS113" s="45"/>
      <c r="CT113" s="45"/>
      <c r="CU113" s="45"/>
      <c r="CV113" s="45"/>
      <c r="CW113" s="45"/>
      <c r="CX113" s="24"/>
      <c r="CY113" s="24"/>
      <c r="CZ113" s="24"/>
      <c r="DA113" s="24"/>
      <c r="DB113" s="24"/>
      <c r="DC113" s="24"/>
      <c r="DD113" s="24"/>
      <c r="DE113" s="24"/>
      <c r="DF113" s="24"/>
      <c r="DG113" s="24"/>
      <c r="DH113" s="24"/>
      <c r="DI113" s="24"/>
      <c r="DJ113" s="24"/>
      <c r="DK113" s="24"/>
      <c r="DL113" s="24"/>
      <c r="DM113" s="24"/>
      <c r="DN113" s="24"/>
      <c r="DO113" s="24"/>
      <c r="DP113" s="24"/>
      <c r="DQ113" s="24"/>
      <c r="DR113" s="24"/>
      <c r="DS113" s="24"/>
      <c r="DT113" s="24"/>
      <c r="DU113" s="24"/>
      <c r="DV113" s="24"/>
      <c r="DW113" s="24"/>
      <c r="DX113" s="24"/>
      <c r="DY113" s="24"/>
      <c r="DZ113" s="24"/>
      <c r="EA113" s="24"/>
    </row>
    <row r="114" spans="1:131">
      <c r="A114" s="24"/>
      <c r="B114" s="24"/>
      <c r="C114" s="45"/>
      <c r="D114" s="45"/>
      <c r="E114" s="45"/>
      <c r="F114" s="45"/>
      <c r="G114" s="45"/>
      <c r="H114" s="45"/>
      <c r="I114" s="45"/>
      <c r="J114" s="45"/>
      <c r="K114" s="45"/>
      <c r="L114" s="45"/>
      <c r="M114" s="45"/>
      <c r="N114" s="45"/>
      <c r="O114" s="45"/>
      <c r="P114" s="45"/>
      <c r="Q114" s="45"/>
      <c r="R114" s="45"/>
      <c r="S114" s="45"/>
      <c r="T114" s="45"/>
      <c r="U114" s="45"/>
      <c r="V114" s="45"/>
      <c r="W114" s="45"/>
      <c r="X114" s="45"/>
      <c r="Y114" s="45"/>
      <c r="Z114" s="45"/>
      <c r="AA114" s="45"/>
      <c r="AB114" s="45"/>
      <c r="AC114" s="45"/>
      <c r="AD114" s="45"/>
      <c r="AE114" s="45"/>
      <c r="AF114" s="45"/>
      <c r="AG114" s="45"/>
      <c r="AH114" s="45"/>
      <c r="AI114" s="45"/>
      <c r="AJ114" s="45"/>
      <c r="AK114" s="45"/>
      <c r="AL114" s="45"/>
      <c r="AM114" s="45"/>
      <c r="AN114" s="45"/>
      <c r="AO114" s="45"/>
      <c r="AP114" s="45"/>
      <c r="AQ114" s="45"/>
      <c r="AR114" s="45"/>
      <c r="AS114" s="45"/>
      <c r="AT114" s="45"/>
      <c r="AU114" s="45"/>
      <c r="AV114" s="45"/>
      <c r="AW114" s="45"/>
      <c r="AX114" s="45"/>
      <c r="AY114" s="45"/>
      <c r="AZ114" s="45"/>
      <c r="BA114" s="45"/>
      <c r="BB114" s="45"/>
      <c r="BC114" s="45"/>
      <c r="BD114" s="45"/>
      <c r="BE114" s="45"/>
      <c r="BF114" s="45"/>
      <c r="BG114" s="45"/>
      <c r="BH114" s="45"/>
      <c r="BI114" s="45"/>
      <c r="BJ114" s="45"/>
      <c r="BK114" s="45"/>
      <c r="BL114" s="45"/>
      <c r="BM114" s="45"/>
      <c r="BN114" s="45"/>
      <c r="BO114" s="45"/>
      <c r="BP114" s="45"/>
      <c r="BQ114" s="45"/>
      <c r="BR114" s="45"/>
      <c r="BS114" s="45"/>
      <c r="BT114" s="45"/>
      <c r="BU114" s="45"/>
      <c r="BV114" s="45"/>
      <c r="BW114" s="45"/>
      <c r="BX114" s="45"/>
      <c r="BY114" s="45"/>
      <c r="BZ114" s="45"/>
      <c r="CA114" s="45"/>
      <c r="CB114" s="45"/>
      <c r="CC114" s="45"/>
      <c r="CD114" s="45"/>
      <c r="CE114" s="45"/>
      <c r="CF114" s="45"/>
      <c r="CG114" s="45"/>
      <c r="CH114" s="45"/>
      <c r="CI114" s="45"/>
      <c r="CJ114" s="45"/>
      <c r="CK114" s="45"/>
      <c r="CL114" s="45"/>
      <c r="CM114" s="45"/>
      <c r="CN114" s="45"/>
      <c r="CO114" s="45"/>
      <c r="CP114" s="45"/>
      <c r="CQ114" s="45"/>
      <c r="CR114" s="45"/>
      <c r="CS114" s="45"/>
      <c r="CT114" s="45"/>
      <c r="CU114" s="45"/>
      <c r="CV114" s="45"/>
      <c r="CW114" s="45"/>
      <c r="CX114" s="24"/>
      <c r="CY114" s="24"/>
      <c r="CZ114" s="24"/>
      <c r="DA114" s="24"/>
      <c r="DB114" s="24"/>
      <c r="DC114" s="24"/>
      <c r="DD114" s="24"/>
      <c r="DE114" s="24"/>
      <c r="DF114" s="24"/>
      <c r="DG114" s="24"/>
      <c r="DH114" s="24"/>
      <c r="DI114" s="24"/>
      <c r="DJ114" s="24"/>
      <c r="DK114" s="24"/>
      <c r="DL114" s="24"/>
      <c r="DM114" s="24"/>
      <c r="DN114" s="24"/>
      <c r="DO114" s="24"/>
      <c r="DP114" s="24"/>
      <c r="DQ114" s="24"/>
      <c r="DR114" s="24"/>
      <c r="DS114" s="24"/>
      <c r="DT114" s="24"/>
      <c r="DU114" s="24"/>
      <c r="DV114" s="24"/>
      <c r="DW114" s="24"/>
      <c r="DX114" s="24"/>
      <c r="DY114" s="24"/>
      <c r="DZ114" s="24"/>
      <c r="EA114" s="24"/>
    </row>
    <row r="115" spans="1:131" ht="13.5" thickBot="1">
      <c r="A115" s="187" t="s">
        <v>632</v>
      </c>
      <c r="B115" s="188"/>
      <c r="C115" s="45"/>
      <c r="D115" s="45"/>
      <c r="E115" s="45"/>
      <c r="F115" s="45"/>
      <c r="G115" s="45"/>
      <c r="H115" s="45"/>
      <c r="I115" s="45"/>
      <c r="J115" s="45"/>
      <c r="K115" s="45"/>
      <c r="L115" s="45"/>
      <c r="M115" s="45"/>
      <c r="N115" s="45"/>
      <c r="O115" s="45"/>
      <c r="P115" s="45"/>
      <c r="Q115" s="45"/>
      <c r="R115" s="45"/>
      <c r="S115" s="45"/>
      <c r="T115" s="45"/>
      <c r="U115" s="45"/>
      <c r="V115" s="45"/>
      <c r="W115" s="45"/>
      <c r="X115" s="45"/>
      <c r="Y115" s="45"/>
      <c r="Z115" s="45"/>
      <c r="AA115" s="45"/>
      <c r="AB115" s="45"/>
      <c r="AC115" s="45"/>
      <c r="AD115" s="45"/>
      <c r="AE115" s="45"/>
      <c r="AF115" s="45"/>
      <c r="AG115" s="45"/>
      <c r="AH115" s="45"/>
      <c r="AI115" s="45"/>
      <c r="AJ115" s="45"/>
      <c r="AK115" s="45"/>
      <c r="AL115" s="45"/>
      <c r="AM115" s="45"/>
      <c r="AN115" s="45"/>
      <c r="AO115" s="45"/>
      <c r="AP115" s="45"/>
      <c r="AQ115" s="45"/>
      <c r="AR115" s="45"/>
      <c r="AS115" s="45"/>
      <c r="AT115" s="45"/>
      <c r="AU115" s="45"/>
      <c r="AV115" s="45"/>
      <c r="AW115" s="45"/>
      <c r="AX115" s="45"/>
      <c r="AY115" s="45"/>
      <c r="AZ115" s="45"/>
      <c r="BA115" s="45"/>
      <c r="BB115" s="45"/>
      <c r="BC115" s="45"/>
      <c r="BD115" s="45"/>
      <c r="BE115" s="45"/>
      <c r="BF115" s="45"/>
      <c r="BG115" s="45"/>
      <c r="BH115" s="45"/>
      <c r="BI115" s="45"/>
      <c r="BJ115" s="45"/>
      <c r="BK115" s="45"/>
      <c r="BL115" s="45"/>
      <c r="BM115" s="45"/>
      <c r="BN115" s="45"/>
      <c r="BO115" s="45"/>
      <c r="BP115" s="45"/>
      <c r="BQ115" s="45"/>
      <c r="BR115" s="45"/>
      <c r="BS115" s="45"/>
      <c r="BT115" s="45"/>
      <c r="BU115" s="45"/>
      <c r="BV115" s="45"/>
      <c r="BW115" s="45"/>
      <c r="BX115" s="45"/>
      <c r="BY115" s="45"/>
      <c r="BZ115" s="45"/>
      <c r="CA115" s="45"/>
      <c r="CB115" s="45"/>
      <c r="CC115" s="45"/>
      <c r="CD115" s="45"/>
      <c r="CE115" s="45"/>
      <c r="CF115" s="45"/>
      <c r="CG115" s="45"/>
      <c r="CH115" s="45"/>
      <c r="CI115" s="45"/>
      <c r="CJ115" s="45"/>
      <c r="CK115" s="45"/>
      <c r="CL115" s="45"/>
      <c r="CM115" s="45"/>
      <c r="CN115" s="45"/>
      <c r="CO115" s="45"/>
      <c r="CP115" s="45"/>
      <c r="CQ115" s="45"/>
      <c r="CR115" s="45"/>
      <c r="CS115" s="45"/>
      <c r="CT115" s="45"/>
      <c r="CU115" s="45"/>
      <c r="CV115" s="45"/>
      <c r="CW115" s="45"/>
      <c r="CX115" s="24"/>
      <c r="CY115" s="24"/>
      <c r="CZ115" s="24"/>
      <c r="DA115" s="24"/>
      <c r="DB115" s="24"/>
      <c r="DC115" s="24"/>
      <c r="DD115" s="24"/>
      <c r="DE115" s="24"/>
      <c r="DF115" s="24"/>
      <c r="DG115" s="24"/>
      <c r="DH115" s="24"/>
      <c r="DI115" s="24"/>
      <c r="DJ115" s="24"/>
      <c r="DK115" s="24"/>
      <c r="DL115" s="24"/>
      <c r="DM115" s="24"/>
      <c r="DN115" s="24"/>
      <c r="DO115" s="24"/>
      <c r="DP115" s="24"/>
      <c r="DQ115" s="24"/>
      <c r="DR115" s="24"/>
      <c r="DS115" s="24"/>
      <c r="DT115" s="24"/>
      <c r="DU115" s="24"/>
      <c r="DV115" s="24"/>
      <c r="DW115" s="24"/>
      <c r="DX115" s="24"/>
      <c r="DY115" s="24"/>
      <c r="DZ115" s="24"/>
      <c r="EA115" s="24"/>
    </row>
    <row r="116" spans="1:131" ht="13.5" thickBot="1">
      <c r="A116" s="220" t="s">
        <v>633</v>
      </c>
      <c r="B116" s="221"/>
      <c r="C116" s="222"/>
      <c r="D116" s="222"/>
      <c r="E116" s="222"/>
      <c r="F116" s="222"/>
      <c r="G116" s="222"/>
      <c r="H116" s="222"/>
      <c r="I116" s="222"/>
      <c r="J116" s="222"/>
      <c r="K116" s="222"/>
      <c r="L116" s="194"/>
      <c r="M116" s="223"/>
      <c r="N116" s="224" t="s">
        <v>634</v>
      </c>
      <c r="O116" s="222"/>
      <c r="P116" s="222"/>
      <c r="Q116" s="222"/>
      <c r="R116" s="222"/>
      <c r="S116" s="222"/>
      <c r="T116" s="222"/>
      <c r="U116" s="222"/>
      <c r="V116" s="222"/>
      <c r="W116" s="222"/>
      <c r="X116" s="222"/>
      <c r="Y116" s="194"/>
      <c r="Z116" s="223"/>
      <c r="AA116" s="224" t="s">
        <v>635</v>
      </c>
      <c r="AB116" s="222"/>
      <c r="AC116" s="222"/>
      <c r="AD116" s="222"/>
      <c r="AE116" s="222"/>
      <c r="AF116" s="222"/>
      <c r="AG116" s="222"/>
      <c r="AH116" s="222"/>
      <c r="AI116" s="222"/>
      <c r="AJ116" s="222"/>
      <c r="AK116" s="222"/>
      <c r="AL116" s="194"/>
      <c r="AM116" s="45"/>
      <c r="AN116" s="45"/>
      <c r="AO116" s="45"/>
      <c r="AP116" s="45"/>
      <c r="AQ116" s="45"/>
      <c r="AR116" s="45"/>
      <c r="AS116" s="45"/>
      <c r="AT116" s="45"/>
      <c r="AU116" s="45"/>
      <c r="AV116" s="45"/>
      <c r="AW116" s="45"/>
      <c r="AX116" s="45"/>
      <c r="AY116" s="45"/>
      <c r="AZ116" s="45"/>
      <c r="BA116" s="45"/>
      <c r="BB116" s="45"/>
      <c r="BC116" s="45"/>
      <c r="BD116" s="45"/>
      <c r="BE116" s="45"/>
      <c r="BF116" s="45"/>
      <c r="BG116" s="45"/>
      <c r="BH116" s="45"/>
      <c r="BI116" s="45"/>
      <c r="BJ116" s="45"/>
      <c r="BK116" s="45"/>
      <c r="BL116" s="45"/>
      <c r="BM116" s="45"/>
      <c r="BN116" s="45"/>
      <c r="BO116" s="45"/>
      <c r="BP116" s="45"/>
      <c r="BQ116" s="45"/>
      <c r="BR116" s="45"/>
      <c r="BS116" s="45"/>
      <c r="BT116" s="45"/>
      <c r="BU116" s="45"/>
      <c r="BV116" s="45"/>
      <c r="BW116" s="45"/>
      <c r="BX116" s="45"/>
      <c r="BY116" s="45"/>
      <c r="BZ116" s="45"/>
      <c r="CA116" s="45"/>
      <c r="CB116" s="45"/>
      <c r="CC116" s="45"/>
      <c r="CD116" s="45"/>
      <c r="CE116" s="45"/>
      <c r="CF116" s="45"/>
      <c r="CG116" s="45"/>
      <c r="CH116" s="45"/>
      <c r="CI116" s="45"/>
      <c r="CJ116" s="45"/>
      <c r="CK116" s="45"/>
      <c r="CL116" s="45"/>
      <c r="CM116" s="45"/>
      <c r="CN116" s="45"/>
      <c r="CO116" s="45"/>
      <c r="CP116" s="45"/>
      <c r="CQ116" s="45"/>
      <c r="CR116" s="45"/>
      <c r="CS116" s="45"/>
      <c r="CT116" s="45"/>
      <c r="CU116" s="45"/>
      <c r="CV116" s="45"/>
      <c r="CW116" s="45"/>
      <c r="CX116" s="24"/>
      <c r="CY116" s="24"/>
      <c r="CZ116" s="24"/>
      <c r="DA116" s="24"/>
      <c r="DB116" s="24"/>
      <c r="DC116" s="24"/>
      <c r="DD116" s="24"/>
      <c r="DE116" s="24"/>
      <c r="DF116" s="24"/>
      <c r="DG116" s="24"/>
      <c r="DH116" s="24"/>
      <c r="DI116" s="24"/>
      <c r="DJ116" s="24"/>
      <c r="DK116" s="24"/>
      <c r="DL116" s="24"/>
      <c r="DM116" s="24"/>
      <c r="DN116" s="24"/>
      <c r="DO116" s="24"/>
      <c r="DP116" s="24"/>
      <c r="DQ116" s="24"/>
      <c r="DR116" s="24"/>
      <c r="DS116" s="24"/>
      <c r="DT116" s="24"/>
      <c r="DU116" s="24"/>
      <c r="DV116" s="24"/>
      <c r="DW116" s="24"/>
      <c r="DX116" s="24"/>
      <c r="DY116" s="24"/>
      <c r="DZ116" s="24"/>
      <c r="EA116" s="24"/>
    </row>
    <row r="117" spans="1:131" ht="102">
      <c r="A117" s="195"/>
      <c r="B117" s="196" t="s">
        <v>636</v>
      </c>
      <c r="C117" s="197" t="s">
        <v>637</v>
      </c>
      <c r="D117" s="197" t="s">
        <v>390</v>
      </c>
      <c r="E117" s="197" t="s">
        <v>391</v>
      </c>
      <c r="F117" s="197" t="s">
        <v>392</v>
      </c>
      <c r="G117" s="197" t="s">
        <v>393</v>
      </c>
      <c r="H117" s="197" t="s">
        <v>394</v>
      </c>
      <c r="I117" s="197" t="s">
        <v>395</v>
      </c>
      <c r="J117" s="197" t="s">
        <v>396</v>
      </c>
      <c r="K117" s="197" t="s">
        <v>397</v>
      </c>
      <c r="L117" s="197" t="s">
        <v>398</v>
      </c>
      <c r="M117" s="197" t="s">
        <v>399</v>
      </c>
      <c r="N117" s="197" t="s">
        <v>401</v>
      </c>
      <c r="O117" s="197" t="s">
        <v>402</v>
      </c>
      <c r="P117" s="197" t="s">
        <v>403</v>
      </c>
      <c r="Q117" s="197" t="s">
        <v>404</v>
      </c>
      <c r="R117" s="197" t="s">
        <v>405</v>
      </c>
      <c r="S117" s="197" t="s">
        <v>406</v>
      </c>
      <c r="T117" s="197" t="s">
        <v>407</v>
      </c>
      <c r="U117" s="197" t="s">
        <v>408</v>
      </c>
      <c r="V117" s="197" t="s">
        <v>409</v>
      </c>
      <c r="W117" s="197" t="s">
        <v>410</v>
      </c>
      <c r="X117" s="197" t="s">
        <v>411</v>
      </c>
      <c r="Y117" s="197" t="s">
        <v>412</v>
      </c>
      <c r="Z117" s="197"/>
      <c r="AA117" s="197" t="s">
        <v>401</v>
      </c>
      <c r="AB117" s="197" t="s">
        <v>402</v>
      </c>
      <c r="AC117" s="197" t="s">
        <v>403</v>
      </c>
      <c r="AD117" s="197" t="s">
        <v>404</v>
      </c>
      <c r="AE117" s="197" t="s">
        <v>405</v>
      </c>
      <c r="AF117" s="197" t="s">
        <v>406</v>
      </c>
      <c r="AG117" s="197" t="s">
        <v>407</v>
      </c>
      <c r="AH117" s="197" t="s">
        <v>408</v>
      </c>
      <c r="AI117" s="197" t="s">
        <v>409</v>
      </c>
      <c r="AJ117" s="197" t="s">
        <v>410</v>
      </c>
      <c r="AK117" s="197" t="s">
        <v>411</v>
      </c>
      <c r="AL117" s="197" t="s">
        <v>412</v>
      </c>
      <c r="AM117" s="45"/>
      <c r="AN117" s="45"/>
      <c r="AO117" s="45"/>
      <c r="AP117" s="45"/>
      <c r="AQ117" s="45"/>
      <c r="AR117" s="45"/>
      <c r="AS117" s="45"/>
      <c r="AT117" s="45"/>
      <c r="AU117" s="45"/>
      <c r="AV117" s="45"/>
      <c r="AW117" s="45"/>
      <c r="AX117" s="45"/>
      <c r="AY117" s="45"/>
      <c r="AZ117" s="45"/>
      <c r="BA117" s="45"/>
      <c r="BB117" s="45"/>
      <c r="BC117" s="45"/>
      <c r="BD117" s="45"/>
      <c r="BE117" s="45"/>
      <c r="BF117" s="45"/>
      <c r="BG117" s="45"/>
      <c r="BH117" s="45"/>
      <c r="BI117" s="45"/>
      <c r="BJ117" s="45"/>
      <c r="BK117" s="45"/>
      <c r="BL117" s="45"/>
      <c r="BM117" s="45"/>
      <c r="BN117" s="45"/>
      <c r="BO117" s="45"/>
      <c r="BP117" s="45"/>
      <c r="BQ117" s="45"/>
      <c r="BR117" s="45"/>
      <c r="BS117" s="45"/>
      <c r="BT117" s="45"/>
      <c r="BU117" s="45"/>
      <c r="BV117" s="45"/>
      <c r="BW117" s="45"/>
      <c r="BX117" s="45"/>
      <c r="BY117" s="45"/>
      <c r="BZ117" s="45"/>
      <c r="CA117" s="45"/>
      <c r="CB117" s="45"/>
      <c r="CC117" s="45"/>
      <c r="CD117" s="45"/>
      <c r="CE117" s="45"/>
      <c r="CF117" s="45"/>
      <c r="CG117" s="45"/>
      <c r="CH117" s="45"/>
      <c r="CI117" s="45"/>
      <c r="CJ117" s="45"/>
      <c r="CK117" s="45"/>
      <c r="CL117" s="45"/>
      <c r="CM117" s="45"/>
      <c r="CN117" s="45"/>
      <c r="CO117" s="45"/>
      <c r="CP117" s="45"/>
      <c r="CQ117" s="45"/>
      <c r="CR117" s="45"/>
      <c r="CS117" s="45"/>
      <c r="CT117" s="45"/>
      <c r="CU117" s="45"/>
      <c r="CV117" s="45"/>
      <c r="CW117" s="45"/>
      <c r="CX117" s="24"/>
      <c r="CY117" s="24"/>
      <c r="CZ117" s="24"/>
      <c r="DA117" s="24"/>
      <c r="DB117" s="24"/>
      <c r="DC117" s="24"/>
      <c r="DD117" s="24"/>
      <c r="DE117" s="24"/>
      <c r="DF117" s="24"/>
      <c r="DG117" s="24"/>
      <c r="DH117" s="24"/>
      <c r="DI117" s="24"/>
      <c r="DJ117" s="24"/>
      <c r="DK117" s="24"/>
      <c r="DL117" s="24"/>
      <c r="DM117" s="24"/>
      <c r="DN117" s="24"/>
      <c r="DO117" s="24"/>
      <c r="DP117" s="24"/>
      <c r="DQ117" s="24"/>
      <c r="DR117" s="24"/>
      <c r="DS117" s="24"/>
      <c r="DT117" s="24"/>
      <c r="DU117" s="24"/>
      <c r="DV117" s="24"/>
      <c r="DW117" s="24"/>
      <c r="DX117" s="24"/>
      <c r="DY117" s="24"/>
      <c r="DZ117" s="24"/>
      <c r="EA117" s="24"/>
    </row>
    <row r="118" spans="1:131">
      <c r="A118" s="24"/>
      <c r="B118" s="225" t="s">
        <v>638</v>
      </c>
      <c r="C118" s="226">
        <v>27096.798705758469</v>
      </c>
      <c r="D118" s="226">
        <v>5597.1740701753433</v>
      </c>
      <c r="E118" s="226">
        <v>0</v>
      </c>
      <c r="F118" s="226">
        <v>5597.1740701753433</v>
      </c>
      <c r="G118" s="226">
        <v>8660.9197067562473</v>
      </c>
      <c r="H118" s="226">
        <v>17868.029859138114</v>
      </c>
      <c r="I118" s="226">
        <v>1809.4847803669202</v>
      </c>
      <c r="J118" s="226">
        <v>-3.2174839402524653</v>
      </c>
      <c r="K118" s="226">
        <v>10.266437586197032</v>
      </c>
      <c r="L118" s="199">
        <v>5.9553557148764877</v>
      </c>
      <c r="M118" s="45">
        <v>257.42026971778341</v>
      </c>
      <c r="N118" s="198">
        <v>1109.8162147180312</v>
      </c>
      <c r="O118" s="198">
        <v>820.44549562450925</v>
      </c>
      <c r="P118" s="198">
        <v>764.28282033975813</v>
      </c>
      <c r="Q118" s="198">
        <v>438.75458958023199</v>
      </c>
      <c r="R118" s="198">
        <v>352.44670173608364</v>
      </c>
      <c r="S118" s="198">
        <v>273.39554776949518</v>
      </c>
      <c r="T118" s="198">
        <v>285.28611967771508</v>
      </c>
      <c r="U118" s="198">
        <v>415.24336651271381</v>
      </c>
      <c r="V118" s="198">
        <v>524.62739943988061</v>
      </c>
      <c r="W118" s="198">
        <v>855.8703719522573</v>
      </c>
      <c r="X118" s="198">
        <v>991.12089374459276</v>
      </c>
      <c r="Y118" s="198">
        <v>1167.5204271446014</v>
      </c>
      <c r="Z118" s="198"/>
      <c r="AA118" s="198">
        <v>1839.3458721344248</v>
      </c>
      <c r="AB118" s="198">
        <v>1595.4784190258179</v>
      </c>
      <c r="AC118" s="198">
        <v>1608.4148772816768</v>
      </c>
      <c r="AD118" s="198">
        <v>1531.6130433555902</v>
      </c>
      <c r="AE118" s="198">
        <v>1410.6935765502462</v>
      </c>
      <c r="AF118" s="198">
        <v>1281.7461360230129</v>
      </c>
      <c r="AG118" s="198">
        <v>1399.6337099478637</v>
      </c>
      <c r="AH118" s="198">
        <v>1511.3294189998878</v>
      </c>
      <c r="AI118" s="198">
        <v>1629.0573012557415</v>
      </c>
      <c r="AJ118" s="198">
        <v>1681.2794230381091</v>
      </c>
      <c r="AK118" s="198">
        <v>1762.4503688514312</v>
      </c>
      <c r="AL118" s="198">
        <v>1846.9466110548101</v>
      </c>
      <c r="AM118" s="45"/>
      <c r="AN118" s="45"/>
      <c r="AO118" s="45"/>
      <c r="AP118" s="45"/>
      <c r="AQ118" s="45"/>
      <c r="AR118" s="45"/>
      <c r="AS118" s="45"/>
      <c r="AT118" s="45"/>
      <c r="AU118" s="45"/>
      <c r="AV118" s="45"/>
      <c r="AW118" s="45"/>
      <c r="AX118" s="45"/>
      <c r="AY118" s="45"/>
      <c r="AZ118" s="45"/>
      <c r="BA118" s="45"/>
      <c r="BB118" s="45"/>
      <c r="BC118" s="45"/>
      <c r="BD118" s="45"/>
      <c r="BE118" s="45"/>
      <c r="BF118" s="45"/>
      <c r="BG118" s="45"/>
      <c r="BH118" s="45"/>
      <c r="BI118" s="45"/>
      <c r="BJ118" s="45"/>
      <c r="BK118" s="45"/>
      <c r="BL118" s="45"/>
      <c r="BM118" s="45"/>
      <c r="BN118" s="45"/>
      <c r="BO118" s="45"/>
      <c r="BP118" s="45"/>
      <c r="BQ118" s="45"/>
      <c r="BR118" s="45"/>
      <c r="BS118" s="45"/>
      <c r="BT118" s="45"/>
      <c r="BU118" s="45"/>
      <c r="BV118" s="45"/>
      <c r="BW118" s="45"/>
      <c r="BX118" s="45"/>
      <c r="BY118" s="45"/>
      <c r="BZ118" s="45"/>
      <c r="CA118" s="45"/>
      <c r="CB118" s="45"/>
      <c r="CC118" s="45"/>
      <c r="CD118" s="45"/>
      <c r="CE118" s="45"/>
      <c r="CF118" s="45"/>
      <c r="CG118" s="45"/>
      <c r="CH118" s="45"/>
      <c r="CI118" s="45"/>
      <c r="CJ118" s="45"/>
      <c r="CK118" s="45"/>
      <c r="CL118" s="45"/>
      <c r="CM118" s="45"/>
      <c r="CN118" s="45"/>
      <c r="CO118" s="45"/>
      <c r="CP118" s="45"/>
      <c r="CQ118" s="45"/>
      <c r="CR118" s="45"/>
      <c r="CS118" s="45"/>
      <c r="CT118" s="45"/>
      <c r="CU118" s="45"/>
      <c r="CV118" s="45"/>
      <c r="CW118" s="45"/>
      <c r="CX118" s="24"/>
      <c r="CY118" s="24"/>
      <c r="CZ118" s="24"/>
      <c r="DA118" s="24"/>
      <c r="DB118" s="24"/>
      <c r="DC118" s="24"/>
      <c r="DD118" s="24"/>
      <c r="DE118" s="24"/>
      <c r="DF118" s="24"/>
      <c r="DG118" s="24"/>
      <c r="DH118" s="24"/>
      <c r="DI118" s="24"/>
      <c r="DJ118" s="24"/>
      <c r="DK118" s="24"/>
      <c r="DL118" s="24"/>
      <c r="DM118" s="24"/>
      <c r="DN118" s="24"/>
      <c r="DO118" s="24"/>
      <c r="DP118" s="24"/>
      <c r="DQ118" s="24"/>
      <c r="DR118" s="24"/>
      <c r="DS118" s="24"/>
      <c r="DT118" s="24"/>
      <c r="DU118" s="24"/>
      <c r="DV118" s="24"/>
      <c r="DW118" s="24"/>
      <c r="DX118" s="24"/>
      <c r="DY118" s="24"/>
      <c r="DZ118" s="24"/>
      <c r="EA118" s="24"/>
    </row>
    <row r="119" spans="1:131">
      <c r="A119" s="24"/>
      <c r="B119" s="225" t="s">
        <v>639</v>
      </c>
      <c r="C119" s="226">
        <v>27096.798705758469</v>
      </c>
      <c r="D119" s="226">
        <v>5597.1740701753433</v>
      </c>
      <c r="E119" s="226">
        <v>1119.4348140350685</v>
      </c>
      <c r="F119" s="226">
        <v>6716.6088842104118</v>
      </c>
      <c r="G119" s="226">
        <v>9780.3545207913176</v>
      </c>
      <c r="H119" s="226">
        <v>17868.029859138114</v>
      </c>
      <c r="I119" s="226">
        <v>2171.3817364403039</v>
      </c>
      <c r="J119" s="226">
        <v>-0.17764244864487364</v>
      </c>
      <c r="K119" s="226">
        <v>13.306279077804627</v>
      </c>
      <c r="L119" s="199">
        <v>5.1962500438620456</v>
      </c>
      <c r="M119" s="45">
        <v>257.42026971778341</v>
      </c>
      <c r="N119" s="198">
        <v>69.246720414136846</v>
      </c>
      <c r="O119" s="198">
        <v>51.191502788579037</v>
      </c>
      <c r="P119" s="198">
        <v>47.687245938140784</v>
      </c>
      <c r="Q119" s="198">
        <v>27.37598891794968</v>
      </c>
      <c r="R119" s="198">
        <v>21.990828654638086</v>
      </c>
      <c r="S119" s="198">
        <v>17.058450586500015</v>
      </c>
      <c r="T119" s="198">
        <v>17.800360010396737</v>
      </c>
      <c r="U119" s="198">
        <v>25.909011711489903</v>
      </c>
      <c r="V119" s="198">
        <v>32.734002593248356</v>
      </c>
      <c r="W119" s="198">
        <v>53.401829574438977</v>
      </c>
      <c r="X119" s="198">
        <v>61.840753915438519</v>
      </c>
      <c r="Y119" s="198">
        <v>72.84716111019921</v>
      </c>
      <c r="Z119" s="198"/>
      <c r="AA119" s="198">
        <v>114.76555096552588</v>
      </c>
      <c r="AB119" s="198">
        <v>99.549498866476497</v>
      </c>
      <c r="AC119" s="198">
        <v>100.35666612184069</v>
      </c>
      <c r="AD119" s="198">
        <v>95.564633846006728</v>
      </c>
      <c r="AE119" s="198">
        <v>88.019892293799785</v>
      </c>
      <c r="AF119" s="198">
        <v>79.974247218613627</v>
      </c>
      <c r="AG119" s="198">
        <v>87.329814531124967</v>
      </c>
      <c r="AH119" s="198">
        <v>94.299041898333172</v>
      </c>
      <c r="AI119" s="198">
        <v>101.6446452869003</v>
      </c>
      <c r="AJ119" s="198">
        <v>104.90303223290053</v>
      </c>
      <c r="AK119" s="198">
        <v>109.96767421230631</v>
      </c>
      <c r="AL119" s="198">
        <v>115.23979727404146</v>
      </c>
      <c r="AM119" s="45"/>
      <c r="AN119" s="45"/>
      <c r="AO119" s="45"/>
      <c r="AP119" s="45"/>
      <c r="AQ119" s="45"/>
      <c r="AR119" s="45"/>
      <c r="AS119" s="45"/>
      <c r="AT119" s="45"/>
      <c r="AU119" s="45"/>
      <c r="AV119" s="45"/>
      <c r="AW119" s="45"/>
      <c r="AX119" s="45"/>
      <c r="AY119" s="45"/>
      <c r="AZ119" s="45"/>
      <c r="BA119" s="45"/>
      <c r="BB119" s="45"/>
      <c r="BC119" s="45"/>
      <c r="BD119" s="45"/>
      <c r="BE119" s="45"/>
      <c r="BF119" s="45"/>
      <c r="BG119" s="45"/>
      <c r="BH119" s="45"/>
      <c r="BI119" s="45"/>
      <c r="BJ119" s="45"/>
      <c r="BK119" s="45"/>
      <c r="BL119" s="45"/>
      <c r="BM119" s="45"/>
      <c r="BN119" s="45"/>
      <c r="BO119" s="45"/>
      <c r="BP119" s="45"/>
      <c r="BQ119" s="45"/>
      <c r="BR119" s="45"/>
      <c r="BS119" s="45"/>
      <c r="BT119" s="45"/>
      <c r="BU119" s="45"/>
      <c r="BV119" s="45"/>
      <c r="BW119" s="45"/>
      <c r="BX119" s="45"/>
      <c r="BY119" s="45"/>
      <c r="BZ119" s="45"/>
      <c r="CA119" s="45"/>
      <c r="CB119" s="45"/>
      <c r="CC119" s="45"/>
      <c r="CD119" s="45"/>
      <c r="CE119" s="45"/>
      <c r="CF119" s="45"/>
      <c r="CG119" s="45"/>
      <c r="CH119" s="45"/>
      <c r="CI119" s="45"/>
      <c r="CJ119" s="45"/>
      <c r="CK119" s="45"/>
      <c r="CL119" s="45"/>
      <c r="CM119" s="45"/>
      <c r="CN119" s="45"/>
      <c r="CO119" s="45"/>
      <c r="CP119" s="45"/>
      <c r="CQ119" s="45"/>
      <c r="CR119" s="45"/>
      <c r="CS119" s="45"/>
      <c r="CT119" s="45"/>
      <c r="CU119" s="45"/>
      <c r="CV119" s="45"/>
      <c r="CW119" s="45"/>
      <c r="CX119" s="24"/>
      <c r="CY119" s="24"/>
      <c r="CZ119" s="24"/>
      <c r="DA119" s="24"/>
      <c r="DB119" s="24"/>
      <c r="DC119" s="24"/>
      <c r="DD119" s="24"/>
      <c r="DE119" s="24"/>
      <c r="DF119" s="24"/>
      <c r="DG119" s="24"/>
      <c r="DH119" s="24"/>
      <c r="DI119" s="24"/>
      <c r="DJ119" s="24"/>
      <c r="DK119" s="24"/>
      <c r="DL119" s="24"/>
      <c r="DM119" s="24"/>
      <c r="DN119" s="24"/>
      <c r="DO119" s="24"/>
      <c r="DP119" s="24"/>
      <c r="DQ119" s="24"/>
      <c r="DR119" s="24"/>
      <c r="DS119" s="24"/>
      <c r="DT119" s="24"/>
      <c r="DU119" s="24"/>
      <c r="DV119" s="24"/>
      <c r="DW119" s="24"/>
      <c r="DX119" s="24"/>
      <c r="DY119" s="24"/>
      <c r="DZ119" s="24"/>
      <c r="EA119" s="24"/>
    </row>
    <row r="120" spans="1:131">
      <c r="A120" s="24"/>
      <c r="B120" s="225" t="s">
        <v>640</v>
      </c>
      <c r="C120" s="227"/>
      <c r="D120" s="227"/>
      <c r="E120" s="227"/>
      <c r="F120" s="227"/>
      <c r="G120" s="227"/>
      <c r="H120" s="227"/>
      <c r="I120" s="227"/>
      <c r="J120" s="227"/>
      <c r="K120" s="227"/>
      <c r="L120" s="200"/>
      <c r="M120" s="228"/>
      <c r="N120" s="228"/>
      <c r="O120" s="228"/>
      <c r="P120" s="228"/>
      <c r="Q120" s="228"/>
      <c r="R120" s="228"/>
      <c r="S120" s="228"/>
      <c r="T120" s="228"/>
      <c r="U120" s="228"/>
      <c r="V120" s="228"/>
      <c r="W120" s="228"/>
      <c r="X120" s="228"/>
      <c r="Y120" s="228"/>
      <c r="Z120" s="228"/>
      <c r="AA120" s="228"/>
      <c r="AB120" s="228"/>
      <c r="AC120" s="228"/>
      <c r="AD120" s="228"/>
      <c r="AE120" s="228"/>
      <c r="AF120" s="228"/>
      <c r="AG120" s="228"/>
      <c r="AH120" s="228"/>
      <c r="AI120" s="228"/>
      <c r="AJ120" s="228"/>
      <c r="AK120" s="228"/>
      <c r="AL120" s="228"/>
      <c r="AM120" s="45"/>
      <c r="AN120" s="45"/>
      <c r="AO120" s="45"/>
      <c r="AP120" s="45"/>
      <c r="AQ120" s="45"/>
      <c r="AR120" s="45"/>
      <c r="AS120" s="45"/>
      <c r="AT120" s="45"/>
      <c r="AU120" s="45"/>
      <c r="AV120" s="45"/>
      <c r="AW120" s="45"/>
      <c r="AX120" s="45"/>
      <c r="AY120" s="45"/>
      <c r="AZ120" s="45"/>
      <c r="BA120" s="45"/>
      <c r="BB120" s="45"/>
      <c r="BC120" s="45"/>
      <c r="BD120" s="45"/>
      <c r="BE120" s="45"/>
      <c r="BF120" s="45"/>
      <c r="BG120" s="45"/>
      <c r="BH120" s="45"/>
      <c r="BI120" s="45"/>
      <c r="BJ120" s="45"/>
      <c r="BK120" s="45"/>
      <c r="BL120" s="45"/>
      <c r="BM120" s="45"/>
      <c r="BN120" s="45"/>
      <c r="BO120" s="45"/>
      <c r="BP120" s="45"/>
      <c r="BQ120" s="45"/>
      <c r="BR120" s="45"/>
      <c r="BS120" s="45"/>
      <c r="BT120" s="45"/>
      <c r="BU120" s="45"/>
      <c r="BV120" s="45"/>
      <c r="BW120" s="45"/>
      <c r="BX120" s="45"/>
      <c r="BY120" s="45"/>
      <c r="BZ120" s="45"/>
      <c r="CA120" s="45"/>
      <c r="CB120" s="45"/>
      <c r="CC120" s="45"/>
      <c r="CD120" s="45"/>
      <c r="CE120" s="45"/>
      <c r="CF120" s="45"/>
      <c r="CG120" s="45"/>
      <c r="CH120" s="45"/>
      <c r="CI120" s="45"/>
      <c r="CJ120" s="45"/>
      <c r="CK120" s="45"/>
      <c r="CL120" s="45"/>
      <c r="CM120" s="45"/>
      <c r="CN120" s="45"/>
      <c r="CO120" s="45"/>
      <c r="CP120" s="45"/>
      <c r="CQ120" s="45"/>
      <c r="CR120" s="45"/>
      <c r="CS120" s="45"/>
      <c r="CT120" s="45"/>
      <c r="CU120" s="45"/>
      <c r="CV120" s="45"/>
      <c r="CW120" s="45"/>
      <c r="CX120" s="24"/>
      <c r="CY120" s="24"/>
      <c r="CZ120" s="24"/>
      <c r="DA120" s="24"/>
      <c r="DB120" s="24"/>
      <c r="DC120" s="24"/>
      <c r="DD120" s="24"/>
      <c r="DE120" s="24"/>
      <c r="DF120" s="24"/>
      <c r="DG120" s="24"/>
      <c r="DH120" s="24"/>
      <c r="DI120" s="24"/>
      <c r="DJ120" s="24"/>
      <c r="DK120" s="24"/>
      <c r="DL120" s="24"/>
      <c r="DM120" s="24"/>
      <c r="DN120" s="24"/>
      <c r="DO120" s="24"/>
      <c r="DP120" s="24"/>
      <c r="DQ120" s="24"/>
      <c r="DR120" s="24"/>
      <c r="DS120" s="24"/>
      <c r="DT120" s="24"/>
      <c r="DU120" s="24"/>
      <c r="DV120" s="24"/>
      <c r="DW120" s="24"/>
      <c r="DX120" s="24"/>
      <c r="DY120" s="24"/>
      <c r="DZ120" s="24"/>
      <c r="EA120" s="24"/>
    </row>
    <row r="121" spans="1:131">
      <c r="A121" s="24"/>
      <c r="B121" s="24" t="s">
        <v>641</v>
      </c>
      <c r="C121" s="45">
        <v>5249.5698647628624</v>
      </c>
      <c r="D121" s="45">
        <v>217.41870804186243</v>
      </c>
      <c r="E121" s="45">
        <v>43.483741608372497</v>
      </c>
      <c r="F121" s="45">
        <v>260.90244965023493</v>
      </c>
      <c r="G121" s="45">
        <v>391.50341556964167</v>
      </c>
      <c r="H121" s="45">
        <v>3461.6440159508834</v>
      </c>
      <c r="I121" s="45">
        <v>435.3700432253035</v>
      </c>
      <c r="J121" s="45">
        <v>-10.630875407993543</v>
      </c>
      <c r="K121" s="45">
        <v>-7.7648219219280987</v>
      </c>
      <c r="L121" s="199">
        <v>19.757748843378739</v>
      </c>
      <c r="M121" s="45">
        <v>49.871045844335256</v>
      </c>
      <c r="N121" s="198">
        <v>215.00907983535492</v>
      </c>
      <c r="O121" s="198">
        <v>158.94814720661282</v>
      </c>
      <c r="P121" s="198">
        <v>148.06753024145684</v>
      </c>
      <c r="Q121" s="198">
        <v>85.001660029946763</v>
      </c>
      <c r="R121" s="198">
        <v>68.280891940774353</v>
      </c>
      <c r="S121" s="198">
        <v>52.965999574926677</v>
      </c>
      <c r="T121" s="198">
        <v>55.269607046864749</v>
      </c>
      <c r="U121" s="198">
        <v>80.446737899136878</v>
      </c>
      <c r="V121" s="198">
        <v>101.63813874231666</v>
      </c>
      <c r="W121" s="198">
        <v>165.81114845087336</v>
      </c>
      <c r="X121" s="198">
        <v>192.01376637280555</v>
      </c>
      <c r="Y121" s="198">
        <v>226.18834488115615</v>
      </c>
      <c r="Z121" s="198"/>
      <c r="AA121" s="198">
        <v>356.34374252412488</v>
      </c>
      <c r="AB121" s="198">
        <v>309.09833738468501</v>
      </c>
      <c r="AC121" s="198">
        <v>311.60456855074096</v>
      </c>
      <c r="AD121" s="198">
        <v>296.72544584274283</v>
      </c>
      <c r="AE121" s="198">
        <v>273.29923982123125</v>
      </c>
      <c r="AF121" s="198">
        <v>248.31774273441084</v>
      </c>
      <c r="AG121" s="198">
        <v>271.15656817006578</v>
      </c>
      <c r="AH121" s="198">
        <v>292.79581916166796</v>
      </c>
      <c r="AI121" s="198">
        <v>315.60370689939327</v>
      </c>
      <c r="AJ121" s="198">
        <v>325.72090486656253</v>
      </c>
      <c r="AK121" s="198">
        <v>341.44647288155306</v>
      </c>
      <c r="AL121" s="198">
        <v>357.81626370345907</v>
      </c>
      <c r="AM121" s="45"/>
      <c r="AN121" s="45"/>
      <c r="AO121" s="45"/>
      <c r="AP121" s="45"/>
      <c r="AQ121" s="45"/>
      <c r="AR121" s="45"/>
      <c r="AS121" s="45"/>
      <c r="AT121" s="45"/>
      <c r="AU121" s="45"/>
      <c r="AV121" s="45"/>
      <c r="AW121" s="45"/>
      <c r="AX121" s="45"/>
      <c r="AY121" s="45"/>
      <c r="AZ121" s="45"/>
      <c r="BA121" s="45"/>
      <c r="BB121" s="45"/>
      <c r="BC121" s="45"/>
      <c r="BD121" s="45"/>
      <c r="BE121" s="45"/>
      <c r="BF121" s="45"/>
      <c r="BG121" s="45"/>
      <c r="BH121" s="45"/>
      <c r="BI121" s="45"/>
      <c r="BJ121" s="45"/>
      <c r="BK121" s="45"/>
      <c r="BL121" s="45"/>
      <c r="BM121" s="45"/>
      <c r="BN121" s="45"/>
      <c r="BO121" s="45"/>
      <c r="BP121" s="45"/>
      <c r="BQ121" s="45"/>
      <c r="BR121" s="45"/>
      <c r="BS121" s="45"/>
      <c r="BT121" s="45"/>
      <c r="BU121" s="45"/>
      <c r="BV121" s="45"/>
      <c r="BW121" s="45"/>
      <c r="BX121" s="45"/>
      <c r="BY121" s="45"/>
      <c r="BZ121" s="45"/>
      <c r="CA121" s="45"/>
      <c r="CB121" s="45"/>
      <c r="CC121" s="45"/>
      <c r="CD121" s="45"/>
      <c r="CE121" s="45"/>
      <c r="CF121" s="45"/>
      <c r="CG121" s="45"/>
      <c r="CH121" s="45"/>
      <c r="CI121" s="45"/>
      <c r="CJ121" s="45"/>
      <c r="CK121" s="45"/>
      <c r="CL121" s="45"/>
      <c r="CM121" s="45"/>
      <c r="CN121" s="45"/>
      <c r="CO121" s="45"/>
      <c r="CP121" s="45"/>
      <c r="CQ121" s="45"/>
      <c r="CR121" s="45"/>
      <c r="CS121" s="45"/>
      <c r="CT121" s="45"/>
      <c r="CU121" s="45"/>
      <c r="CV121" s="45"/>
      <c r="CW121" s="45"/>
      <c r="CX121" s="24"/>
      <c r="CY121" s="24"/>
      <c r="CZ121" s="24"/>
      <c r="DA121" s="24"/>
      <c r="DB121" s="24"/>
      <c r="DC121" s="24"/>
      <c r="DD121" s="24"/>
      <c r="DE121" s="24"/>
      <c r="DF121" s="24"/>
      <c r="DG121" s="24"/>
      <c r="DH121" s="24"/>
      <c r="DI121" s="24"/>
      <c r="DJ121" s="24"/>
      <c r="DK121" s="24"/>
      <c r="DL121" s="24"/>
      <c r="DM121" s="24"/>
      <c r="DN121" s="24"/>
      <c r="DO121" s="24"/>
      <c r="DP121" s="24"/>
      <c r="DQ121" s="24"/>
      <c r="DR121" s="24"/>
      <c r="DS121" s="24"/>
      <c r="DT121" s="24"/>
      <c r="DU121" s="24"/>
      <c r="DV121" s="24"/>
      <c r="DW121" s="24"/>
      <c r="DX121" s="24"/>
      <c r="DY121" s="24"/>
      <c r="DZ121" s="24"/>
      <c r="EA121" s="24"/>
    </row>
    <row r="122" spans="1:131">
      <c r="A122" s="24"/>
      <c r="B122" s="24" t="s">
        <v>642</v>
      </c>
      <c r="C122" s="45">
        <v>7929.357515869744</v>
      </c>
      <c r="D122" s="45">
        <v>1349.3666558749123</v>
      </c>
      <c r="E122" s="45">
        <v>269.87333117498247</v>
      </c>
      <c r="F122" s="45">
        <v>1619.2399870498948</v>
      </c>
      <c r="G122" s="45">
        <v>2234.6832002505739</v>
      </c>
      <c r="H122" s="45">
        <v>5228.7356302068365</v>
      </c>
      <c r="I122" s="45">
        <v>1788.8640105037848</v>
      </c>
      <c r="J122" s="45">
        <v>-2.4809373607255814</v>
      </c>
      <c r="K122" s="45">
        <v>7.4846870859771704</v>
      </c>
      <c r="L122" s="199">
        <v>2.3816269143305941</v>
      </c>
      <c r="M122" s="45">
        <v>75.329095978785958</v>
      </c>
      <c r="N122" s="198">
        <v>324.76639174126387</v>
      </c>
      <c r="O122" s="198">
        <v>240.08761063383994</v>
      </c>
      <c r="P122" s="198">
        <v>223.65268279545094</v>
      </c>
      <c r="Q122" s="198">
        <v>128.3931006126937</v>
      </c>
      <c r="R122" s="198">
        <v>103.13675551498285</v>
      </c>
      <c r="S122" s="198">
        <v>80.003954159008131</v>
      </c>
      <c r="T122" s="198">
        <v>83.483501567993983</v>
      </c>
      <c r="U122" s="198">
        <v>121.51299291576143</v>
      </c>
      <c r="V122" s="198">
        <v>153.5221284976281</v>
      </c>
      <c r="W122" s="198">
        <v>250.45402005394945</v>
      </c>
      <c r="X122" s="198">
        <v>290.03248661544205</v>
      </c>
      <c r="Y122" s="198">
        <v>341.65242080582391</v>
      </c>
      <c r="Z122" s="198"/>
      <c r="AA122" s="198">
        <v>538.24922913840715</v>
      </c>
      <c r="AB122" s="198">
        <v>466.88610454274044</v>
      </c>
      <c r="AC122" s="198">
        <v>470.67171049618582</v>
      </c>
      <c r="AD122" s="198">
        <v>448.19712943266802</v>
      </c>
      <c r="AE122" s="198">
        <v>412.81237076284947</v>
      </c>
      <c r="AF122" s="198">
        <v>375.07837982909768</v>
      </c>
      <c r="AG122" s="198">
        <v>409.57591330082892</v>
      </c>
      <c r="AH122" s="198">
        <v>442.26151648515821</v>
      </c>
      <c r="AI122" s="198">
        <v>476.71231925819927</v>
      </c>
      <c r="AJ122" s="198">
        <v>491.99411982609018</v>
      </c>
      <c r="AK122" s="198">
        <v>515.7472375373103</v>
      </c>
      <c r="AL122" s="198">
        <v>540.47343934637229</v>
      </c>
      <c r="AM122" s="45"/>
      <c r="AN122" s="45"/>
      <c r="AO122" s="45"/>
      <c r="AP122" s="45"/>
      <c r="AQ122" s="45"/>
      <c r="AR122" s="45"/>
      <c r="AS122" s="45"/>
      <c r="AT122" s="45"/>
      <c r="AU122" s="45"/>
      <c r="AV122" s="45"/>
      <c r="AW122" s="45"/>
      <c r="AX122" s="45"/>
      <c r="AY122" s="45"/>
      <c r="AZ122" s="45"/>
      <c r="BA122" s="45"/>
      <c r="BB122" s="45"/>
      <c r="BC122" s="45"/>
      <c r="BD122" s="45"/>
      <c r="BE122" s="45"/>
      <c r="BF122" s="45"/>
      <c r="BG122" s="45"/>
      <c r="BH122" s="45"/>
      <c r="BI122" s="45"/>
      <c r="BJ122" s="45"/>
      <c r="BK122" s="45"/>
      <c r="BL122" s="45"/>
      <c r="BM122" s="45"/>
      <c r="BN122" s="45"/>
      <c r="BO122" s="45"/>
      <c r="BP122" s="45"/>
      <c r="BQ122" s="45"/>
      <c r="BR122" s="45"/>
      <c r="BS122" s="45"/>
      <c r="BT122" s="45"/>
      <c r="BU122" s="45"/>
      <c r="BV122" s="45"/>
      <c r="BW122" s="45"/>
      <c r="BX122" s="45"/>
      <c r="BY122" s="45"/>
      <c r="BZ122" s="45"/>
      <c r="CA122" s="45"/>
      <c r="CB122" s="45"/>
      <c r="CC122" s="45"/>
      <c r="CD122" s="45"/>
      <c r="CE122" s="45"/>
      <c r="CF122" s="45"/>
      <c r="CG122" s="45"/>
      <c r="CH122" s="45"/>
      <c r="CI122" s="45"/>
      <c r="CJ122" s="45"/>
      <c r="CK122" s="45"/>
      <c r="CL122" s="45"/>
      <c r="CM122" s="45"/>
      <c r="CN122" s="45"/>
      <c r="CO122" s="45"/>
      <c r="CP122" s="45"/>
      <c r="CQ122" s="45"/>
      <c r="CR122" s="45"/>
      <c r="CS122" s="45"/>
      <c r="CT122" s="45"/>
      <c r="CU122" s="45"/>
      <c r="CV122" s="45"/>
      <c r="CW122" s="45"/>
      <c r="CX122" s="24"/>
      <c r="CY122" s="24"/>
      <c r="CZ122" s="24"/>
      <c r="DA122" s="24"/>
      <c r="DB122" s="24"/>
      <c r="DC122" s="24"/>
      <c r="DD122" s="24"/>
      <c r="DE122" s="24"/>
      <c r="DF122" s="24"/>
      <c r="DG122" s="24"/>
      <c r="DH122" s="24"/>
      <c r="DI122" s="24"/>
      <c r="DJ122" s="24"/>
      <c r="DK122" s="24"/>
      <c r="DL122" s="24"/>
      <c r="DM122" s="24"/>
      <c r="DN122" s="24"/>
      <c r="DO122" s="24"/>
      <c r="DP122" s="24"/>
      <c r="DQ122" s="24"/>
      <c r="DR122" s="24"/>
      <c r="DS122" s="24"/>
      <c r="DT122" s="24"/>
      <c r="DU122" s="24"/>
      <c r="DV122" s="24"/>
      <c r="DW122" s="24"/>
      <c r="DX122" s="24"/>
      <c r="DY122" s="24"/>
      <c r="DZ122" s="24"/>
      <c r="EA122" s="24"/>
    </row>
    <row r="123" spans="1:131">
      <c r="A123" s="24"/>
      <c r="B123" s="24" t="s">
        <v>643</v>
      </c>
      <c r="C123" s="45">
        <v>2774.1660599834031</v>
      </c>
      <c r="D123" s="45">
        <v>679.30835069877571</v>
      </c>
      <c r="E123" s="45">
        <v>135.86167013975518</v>
      </c>
      <c r="F123" s="45">
        <v>815.17002083853095</v>
      </c>
      <c r="G123" s="45">
        <v>1139.2673806498474</v>
      </c>
      <c r="H123" s="45">
        <v>1829.3261330334517</v>
      </c>
      <c r="I123" s="45">
        <v>2574.0670270431656</v>
      </c>
      <c r="J123" s="45">
        <v>2.2470895784644731</v>
      </c>
      <c r="K123" s="45">
        <v>16.965417815734785</v>
      </c>
      <c r="L123" s="199">
        <v>1.6188903917333322</v>
      </c>
      <c r="M123" s="45">
        <v>26.354647394235766</v>
      </c>
      <c r="N123" s="198">
        <v>113.6228123891152</v>
      </c>
      <c r="O123" s="198">
        <v>83.997082930098301</v>
      </c>
      <c r="P123" s="198">
        <v>78.247156922059773</v>
      </c>
      <c r="Q123" s="198">
        <v>44.919627011760561</v>
      </c>
      <c r="R123" s="198">
        <v>36.083438804951925</v>
      </c>
      <c r="S123" s="198">
        <v>27.990193890008261</v>
      </c>
      <c r="T123" s="198">
        <v>29.207548802659463</v>
      </c>
      <c r="U123" s="198">
        <v>42.512551630979658</v>
      </c>
      <c r="V123" s="198">
        <v>53.711272001816859</v>
      </c>
      <c r="W123" s="198">
        <v>87.623876288778831</v>
      </c>
      <c r="X123" s="198">
        <v>101.47080378843232</v>
      </c>
      <c r="Y123" s="198">
        <v>119.530560731278</v>
      </c>
      <c r="Z123" s="198"/>
      <c r="AA123" s="198">
        <v>188.31194586693013</v>
      </c>
      <c r="AB123" s="198">
        <v>163.34483374070254</v>
      </c>
      <c r="AC123" s="198">
        <v>164.6692663358404</v>
      </c>
      <c r="AD123" s="198">
        <v>156.8063064587036</v>
      </c>
      <c r="AE123" s="198">
        <v>144.42659015179589</v>
      </c>
      <c r="AF123" s="198">
        <v>131.22497113706117</v>
      </c>
      <c r="AG123" s="198">
        <v>143.29428271985728</v>
      </c>
      <c r="AH123" s="198">
        <v>154.72967213477207</v>
      </c>
      <c r="AI123" s="198">
        <v>166.7826345091984</v>
      </c>
      <c r="AJ123" s="198">
        <v>172.12912725921382</v>
      </c>
      <c r="AK123" s="198">
        <v>180.43939613552263</v>
      </c>
      <c r="AL123" s="198">
        <v>189.0901083418666</v>
      </c>
      <c r="AM123" s="45"/>
      <c r="AN123" s="45"/>
      <c r="AO123" s="45"/>
      <c r="AP123" s="45"/>
      <c r="AQ123" s="45"/>
      <c r="AR123" s="45"/>
      <c r="AS123" s="45"/>
      <c r="AT123" s="45"/>
      <c r="AU123" s="45"/>
      <c r="AV123" s="45"/>
      <c r="AW123" s="45"/>
      <c r="AX123" s="45"/>
      <c r="AY123" s="45"/>
      <c r="AZ123" s="45"/>
      <c r="BA123" s="45"/>
      <c r="BB123" s="45"/>
      <c r="BC123" s="45"/>
      <c r="BD123" s="45"/>
      <c r="BE123" s="45"/>
      <c r="BF123" s="45"/>
      <c r="BG123" s="45"/>
      <c r="BH123" s="45"/>
      <c r="BI123" s="45"/>
      <c r="BJ123" s="45"/>
      <c r="BK123" s="45"/>
      <c r="BL123" s="45"/>
      <c r="BM123" s="45"/>
      <c r="BN123" s="45"/>
      <c r="BO123" s="45"/>
      <c r="BP123" s="45"/>
      <c r="BQ123" s="45"/>
      <c r="BR123" s="45"/>
      <c r="BS123" s="45"/>
      <c r="BT123" s="45"/>
      <c r="BU123" s="45"/>
      <c r="BV123" s="45"/>
      <c r="BW123" s="45"/>
      <c r="BX123" s="45"/>
      <c r="BY123" s="45"/>
      <c r="BZ123" s="45"/>
      <c r="CA123" s="45"/>
      <c r="CB123" s="45"/>
      <c r="CC123" s="45"/>
      <c r="CD123" s="45"/>
      <c r="CE123" s="45"/>
      <c r="CF123" s="45"/>
      <c r="CG123" s="45"/>
      <c r="CH123" s="45"/>
      <c r="CI123" s="45"/>
      <c r="CJ123" s="45"/>
      <c r="CK123" s="45"/>
      <c r="CL123" s="45"/>
      <c r="CM123" s="45"/>
      <c r="CN123" s="45"/>
      <c r="CO123" s="45"/>
      <c r="CP123" s="45"/>
      <c r="CQ123" s="45"/>
      <c r="CR123" s="45"/>
      <c r="CS123" s="45"/>
      <c r="CT123" s="45"/>
      <c r="CU123" s="45"/>
      <c r="CV123" s="45"/>
      <c r="CW123" s="45"/>
      <c r="CX123" s="24"/>
      <c r="CY123" s="24"/>
      <c r="CZ123" s="24"/>
      <c r="DA123" s="24"/>
      <c r="DB123" s="24"/>
      <c r="DC123" s="24"/>
      <c r="DD123" s="24"/>
      <c r="DE123" s="24"/>
      <c r="DF123" s="24"/>
      <c r="DG123" s="24"/>
      <c r="DH123" s="24"/>
      <c r="DI123" s="24"/>
      <c r="DJ123" s="24"/>
      <c r="DK123" s="24"/>
      <c r="DL123" s="24"/>
      <c r="DM123" s="24"/>
      <c r="DN123" s="24"/>
      <c r="DO123" s="24"/>
      <c r="DP123" s="24"/>
      <c r="DQ123" s="24"/>
      <c r="DR123" s="24"/>
      <c r="DS123" s="24"/>
      <c r="DT123" s="24"/>
      <c r="DU123" s="24"/>
      <c r="DV123" s="24"/>
      <c r="DW123" s="24"/>
      <c r="DX123" s="24"/>
      <c r="DY123" s="24"/>
      <c r="DZ123" s="24"/>
      <c r="EA123" s="24"/>
    </row>
    <row r="124" spans="1:131">
      <c r="A124" s="24"/>
      <c r="B124" s="24" t="s">
        <v>644</v>
      </c>
      <c r="C124" s="45">
        <v>9549.4849208144478</v>
      </c>
      <c r="D124" s="45">
        <v>2805.0789572542567</v>
      </c>
      <c r="E124" s="45">
        <v>561.01579145085134</v>
      </c>
      <c r="F124" s="45">
        <v>3366.094748705108</v>
      </c>
      <c r="G124" s="45">
        <v>5012.5937488521859</v>
      </c>
      <c r="H124" s="45">
        <v>6297.0716045597001</v>
      </c>
      <c r="I124" s="45">
        <v>3087.8094727795942</v>
      </c>
      <c r="J124" s="45">
        <v>5.3405419367507072</v>
      </c>
      <c r="K124" s="45">
        <v>25.37117765841899</v>
      </c>
      <c r="L124" s="199">
        <v>1.2597950702462959</v>
      </c>
      <c r="M124" s="45">
        <v>90.720347103569438</v>
      </c>
      <c r="N124" s="198">
        <v>391.12270502540724</v>
      </c>
      <c r="O124" s="198">
        <v>289.14234385744498</v>
      </c>
      <c r="P124" s="198">
        <v>269.34942933022626</v>
      </c>
      <c r="Q124" s="198">
        <v>154.62639637368471</v>
      </c>
      <c r="R124" s="198">
        <v>124.20967141421983</v>
      </c>
      <c r="S124" s="198">
        <v>96.350372942312518</v>
      </c>
      <c r="T124" s="198">
        <v>100.54086195064231</v>
      </c>
      <c r="U124" s="198">
        <v>146.34054413736672</v>
      </c>
      <c r="V124" s="198">
        <v>184.88979065016099</v>
      </c>
      <c r="W124" s="198">
        <v>301.62681945867735</v>
      </c>
      <c r="X124" s="198">
        <v>349.29196368524288</v>
      </c>
      <c r="Y124" s="198">
        <v>411.45888984261603</v>
      </c>
      <c r="Z124" s="198"/>
      <c r="AA124" s="198">
        <v>648.22438476384309</v>
      </c>
      <c r="AB124" s="198">
        <v>562.28033685521848</v>
      </c>
      <c r="AC124" s="198">
        <v>566.83941833139363</v>
      </c>
      <c r="AD124" s="198">
        <v>539.77282781152553</v>
      </c>
      <c r="AE124" s="198">
        <v>497.15825044282843</v>
      </c>
      <c r="AF124" s="198">
        <v>451.71444535485887</v>
      </c>
      <c r="AG124" s="198">
        <v>493.2605195524547</v>
      </c>
      <c r="AH124" s="198">
        <v>532.62444962015343</v>
      </c>
      <c r="AI124" s="198">
        <v>574.11424509635378</v>
      </c>
      <c r="AJ124" s="198">
        <v>592.51842523249945</v>
      </c>
      <c r="AK124" s="198">
        <v>621.12478318163369</v>
      </c>
      <c r="AL124" s="198">
        <v>650.90304590368635</v>
      </c>
      <c r="AM124" s="45"/>
      <c r="AN124" s="45"/>
      <c r="AO124" s="45"/>
      <c r="AP124" s="45"/>
      <c r="AQ124" s="45"/>
      <c r="AR124" s="45"/>
      <c r="AS124" s="45"/>
      <c r="AT124" s="45"/>
      <c r="AU124" s="45"/>
      <c r="AV124" s="45"/>
      <c r="AW124" s="45"/>
      <c r="AX124" s="45"/>
      <c r="AY124" s="45"/>
      <c r="AZ124" s="45"/>
      <c r="BA124" s="45"/>
      <c r="BB124" s="45"/>
      <c r="BC124" s="45"/>
      <c r="BD124" s="45"/>
      <c r="BE124" s="45"/>
      <c r="BF124" s="45"/>
      <c r="BG124" s="45"/>
      <c r="BH124" s="45"/>
      <c r="BI124" s="45"/>
      <c r="BJ124" s="45"/>
      <c r="BK124" s="45"/>
      <c r="BL124" s="45"/>
      <c r="BM124" s="45"/>
      <c r="BN124" s="45"/>
      <c r="BO124" s="45"/>
      <c r="BP124" s="45"/>
      <c r="BQ124" s="45"/>
      <c r="BR124" s="45"/>
      <c r="BS124" s="45"/>
      <c r="BT124" s="45"/>
      <c r="BU124" s="45"/>
      <c r="BV124" s="45"/>
      <c r="BW124" s="45"/>
      <c r="BX124" s="45"/>
      <c r="BY124" s="45"/>
      <c r="BZ124" s="45"/>
      <c r="CA124" s="45"/>
      <c r="CB124" s="45"/>
      <c r="CC124" s="45"/>
      <c r="CD124" s="45"/>
      <c r="CE124" s="45"/>
      <c r="CF124" s="45"/>
      <c r="CG124" s="45"/>
      <c r="CH124" s="45"/>
      <c r="CI124" s="45"/>
      <c r="CJ124" s="45"/>
      <c r="CK124" s="45"/>
      <c r="CL124" s="45"/>
      <c r="CM124" s="45"/>
      <c r="CN124" s="45"/>
      <c r="CO124" s="45"/>
      <c r="CP124" s="45"/>
      <c r="CQ124" s="45"/>
      <c r="CR124" s="45"/>
      <c r="CS124" s="45"/>
      <c r="CT124" s="45"/>
      <c r="CU124" s="45"/>
      <c r="CV124" s="45"/>
      <c r="CW124" s="45"/>
      <c r="CX124" s="24"/>
      <c r="CY124" s="24"/>
      <c r="CZ124" s="24"/>
      <c r="DA124" s="24"/>
      <c r="DB124" s="24"/>
      <c r="DC124" s="24"/>
      <c r="DD124" s="24"/>
      <c r="DE124" s="24"/>
      <c r="DF124" s="24"/>
      <c r="DG124" s="24"/>
      <c r="DH124" s="24"/>
      <c r="DI124" s="24"/>
      <c r="DJ124" s="24"/>
      <c r="DK124" s="24"/>
      <c r="DL124" s="24"/>
      <c r="DM124" s="24"/>
      <c r="DN124" s="24"/>
      <c r="DO124" s="24"/>
      <c r="DP124" s="24"/>
      <c r="DQ124" s="24"/>
      <c r="DR124" s="24"/>
      <c r="DS124" s="24"/>
      <c r="DT124" s="24"/>
      <c r="DU124" s="24"/>
      <c r="DV124" s="24"/>
      <c r="DW124" s="24"/>
      <c r="DX124" s="24"/>
      <c r="DY124" s="24"/>
      <c r="DZ124" s="24"/>
      <c r="EA124" s="24"/>
    </row>
    <row r="125" spans="1:131">
      <c r="A125" s="24"/>
      <c r="B125" s="24" t="s">
        <v>645</v>
      </c>
      <c r="C125" s="45">
        <v>1594.2203443280162</v>
      </c>
      <c r="D125" s="45">
        <v>546.0013983055369</v>
      </c>
      <c r="E125" s="45">
        <v>109.20027966110737</v>
      </c>
      <c r="F125" s="45">
        <v>655.2016779666443</v>
      </c>
      <c r="G125" s="45">
        <v>1002.3067754690644</v>
      </c>
      <c r="H125" s="45">
        <v>1051.2524753872437</v>
      </c>
      <c r="I125" s="45">
        <v>3600.2342583371706</v>
      </c>
      <c r="J125" s="45">
        <v>8.426060126814102</v>
      </c>
      <c r="K125" s="45">
        <v>33.009374443374647</v>
      </c>
      <c r="L125" s="199">
        <v>1.0511862216338064</v>
      </c>
      <c r="M125" s="45">
        <v>15.145133396857059</v>
      </c>
      <c r="N125" s="198">
        <v>65.295225726889797</v>
      </c>
      <c r="O125" s="198">
        <v>48.270310996513082</v>
      </c>
      <c r="P125" s="198">
        <v>44.966021050564201</v>
      </c>
      <c r="Q125" s="198">
        <v>25.81380555214615</v>
      </c>
      <c r="R125" s="198">
        <v>20.735944061154548</v>
      </c>
      <c r="S125" s="198">
        <v>16.085027203239544</v>
      </c>
      <c r="T125" s="198">
        <v>16.784600309554531</v>
      </c>
      <c r="U125" s="198">
        <v>24.430539929469262</v>
      </c>
      <c r="V125" s="198">
        <v>30.866069547957949</v>
      </c>
      <c r="W125" s="198">
        <v>50.354507699978214</v>
      </c>
      <c r="X125" s="198">
        <v>58.311873282669659</v>
      </c>
      <c r="Y125" s="198">
        <v>68.690210883727303</v>
      </c>
      <c r="Z125" s="198"/>
      <c r="AA125" s="198">
        <v>108.21656984111908</v>
      </c>
      <c r="AB125" s="198">
        <v>93.86880650247133</v>
      </c>
      <c r="AC125" s="198">
        <v>94.6299135675158</v>
      </c>
      <c r="AD125" s="198">
        <v>90.111333809950253</v>
      </c>
      <c r="AE125" s="198">
        <v>82.997125371541301</v>
      </c>
      <c r="AF125" s="198">
        <v>75.410596967584283</v>
      </c>
      <c r="AG125" s="198">
        <v>82.346426204656865</v>
      </c>
      <c r="AH125" s="198">
        <v>88.91796159813633</v>
      </c>
      <c r="AI125" s="198">
        <v>95.844395492596661</v>
      </c>
      <c r="AJ125" s="198">
        <v>98.916845853743325</v>
      </c>
      <c r="AK125" s="198">
        <v>103.69247911541142</v>
      </c>
      <c r="AL125" s="198">
        <v>108.66375375942562</v>
      </c>
      <c r="AM125" s="45"/>
      <c r="AN125" s="45"/>
      <c r="AO125" s="45"/>
      <c r="AP125" s="45"/>
      <c r="AQ125" s="45"/>
      <c r="AR125" s="45"/>
      <c r="AS125" s="45"/>
      <c r="AT125" s="45"/>
      <c r="AU125" s="45"/>
      <c r="AV125" s="45"/>
      <c r="AW125" s="45"/>
      <c r="AX125" s="45"/>
      <c r="AY125" s="45"/>
      <c r="AZ125" s="45"/>
      <c r="BA125" s="45"/>
      <c r="BB125" s="45"/>
      <c r="BC125" s="45"/>
      <c r="BD125" s="45"/>
      <c r="BE125" s="45"/>
      <c r="BF125" s="45"/>
      <c r="BG125" s="45"/>
      <c r="BH125" s="45"/>
      <c r="BI125" s="45"/>
      <c r="BJ125" s="45"/>
      <c r="BK125" s="45"/>
      <c r="BL125" s="45"/>
      <c r="BM125" s="45"/>
      <c r="BN125" s="45"/>
      <c r="BO125" s="45"/>
      <c r="BP125" s="45"/>
      <c r="BQ125" s="45"/>
      <c r="BR125" s="45"/>
      <c r="BS125" s="45"/>
      <c r="BT125" s="45"/>
      <c r="BU125" s="45"/>
      <c r="BV125" s="45"/>
      <c r="BW125" s="45"/>
      <c r="BX125" s="45"/>
      <c r="BY125" s="45"/>
      <c r="BZ125" s="45"/>
      <c r="CA125" s="45"/>
      <c r="CB125" s="45"/>
      <c r="CC125" s="45"/>
      <c r="CD125" s="45"/>
      <c r="CE125" s="45"/>
      <c r="CF125" s="45"/>
      <c r="CG125" s="45"/>
      <c r="CH125" s="45"/>
      <c r="CI125" s="45"/>
      <c r="CJ125" s="45"/>
      <c r="CK125" s="45"/>
      <c r="CL125" s="45"/>
      <c r="CM125" s="45"/>
      <c r="CN125" s="45"/>
      <c r="CO125" s="45"/>
      <c r="CP125" s="45"/>
      <c r="CQ125" s="45"/>
      <c r="CR125" s="45"/>
      <c r="CS125" s="45"/>
      <c r="CT125" s="45"/>
      <c r="CU125" s="45"/>
      <c r="CV125" s="45"/>
      <c r="CW125" s="45"/>
      <c r="CX125" s="24"/>
      <c r="CY125" s="24"/>
      <c r="CZ125" s="24"/>
      <c r="DA125" s="24"/>
      <c r="DB125" s="24"/>
      <c r="DC125" s="24"/>
      <c r="DD125" s="24"/>
      <c r="DE125" s="24"/>
      <c r="DF125" s="24"/>
      <c r="DG125" s="24"/>
      <c r="DH125" s="24"/>
      <c r="DI125" s="24"/>
      <c r="DJ125" s="24"/>
      <c r="DK125" s="24"/>
      <c r="DL125" s="24"/>
      <c r="DM125" s="24"/>
      <c r="DN125" s="24"/>
      <c r="DO125" s="24"/>
      <c r="DP125" s="24"/>
      <c r="DQ125" s="24"/>
      <c r="DR125" s="24"/>
      <c r="DS125" s="24"/>
      <c r="DT125" s="24"/>
      <c r="DU125" s="24"/>
      <c r="DV125" s="24"/>
      <c r="DW125" s="24"/>
      <c r="DX125" s="24"/>
      <c r="DY125" s="24"/>
      <c r="DZ125" s="24"/>
      <c r="EA125" s="24"/>
    </row>
    <row r="126" spans="1:131">
      <c r="A126" s="24"/>
      <c r="B126" s="24" t="s">
        <v>646</v>
      </c>
      <c r="C126" s="228">
        <v>0</v>
      </c>
      <c r="D126" s="228">
        <v>0</v>
      </c>
      <c r="E126" s="228">
        <v>0</v>
      </c>
      <c r="F126" s="228">
        <v>0</v>
      </c>
      <c r="G126" s="228">
        <v>0</v>
      </c>
      <c r="H126" s="228">
        <v>0</v>
      </c>
      <c r="I126" s="228">
        <v>0</v>
      </c>
      <c r="J126" s="228">
        <v>0</v>
      </c>
      <c r="K126" s="228">
        <v>0</v>
      </c>
      <c r="L126" s="229">
        <v>0</v>
      </c>
      <c r="M126" s="228">
        <v>0</v>
      </c>
      <c r="N126" s="228">
        <v>0</v>
      </c>
      <c r="O126" s="228">
        <v>0</v>
      </c>
      <c r="P126" s="228">
        <v>0</v>
      </c>
      <c r="Q126" s="228">
        <v>0</v>
      </c>
      <c r="R126" s="228">
        <v>0</v>
      </c>
      <c r="S126" s="228">
        <v>0</v>
      </c>
      <c r="T126" s="228">
        <v>0</v>
      </c>
      <c r="U126" s="228">
        <v>0</v>
      </c>
      <c r="V126" s="228">
        <v>0</v>
      </c>
      <c r="W126" s="228">
        <v>0</v>
      </c>
      <c r="X126" s="228">
        <v>0</v>
      </c>
      <c r="Y126" s="228">
        <v>0</v>
      </c>
      <c r="Z126" s="228"/>
      <c r="AA126" s="228">
        <v>0</v>
      </c>
      <c r="AB126" s="228">
        <v>0</v>
      </c>
      <c r="AC126" s="228">
        <v>0</v>
      </c>
      <c r="AD126" s="228">
        <v>0</v>
      </c>
      <c r="AE126" s="228">
        <v>0</v>
      </c>
      <c r="AF126" s="228">
        <v>0</v>
      </c>
      <c r="AG126" s="228">
        <v>0</v>
      </c>
      <c r="AH126" s="228">
        <v>0</v>
      </c>
      <c r="AI126" s="228">
        <v>0</v>
      </c>
      <c r="AJ126" s="228">
        <v>0</v>
      </c>
      <c r="AK126" s="228">
        <v>0</v>
      </c>
      <c r="AL126" s="228">
        <v>0</v>
      </c>
      <c r="AM126" s="45"/>
      <c r="AN126" s="45"/>
      <c r="AO126" s="45"/>
      <c r="AP126" s="45"/>
      <c r="AQ126" s="45"/>
      <c r="AR126" s="45"/>
      <c r="AS126" s="45"/>
      <c r="AT126" s="45"/>
      <c r="AU126" s="45"/>
      <c r="AV126" s="45"/>
      <c r="AW126" s="45"/>
      <c r="AX126" s="45"/>
      <c r="AY126" s="45"/>
      <c r="AZ126" s="45"/>
      <c r="BA126" s="45"/>
      <c r="BB126" s="45"/>
      <c r="BC126" s="45"/>
      <c r="BD126" s="45"/>
      <c r="BE126" s="45"/>
      <c r="BF126" s="45"/>
      <c r="BG126" s="45"/>
      <c r="BH126" s="45"/>
      <c r="BI126" s="45"/>
      <c r="BJ126" s="45"/>
      <c r="BK126" s="45"/>
      <c r="BL126" s="45"/>
      <c r="BM126" s="45"/>
      <c r="BN126" s="45"/>
      <c r="BO126" s="45"/>
      <c r="BP126" s="45"/>
      <c r="BQ126" s="45"/>
      <c r="BR126" s="45"/>
      <c r="BS126" s="45"/>
      <c r="BT126" s="45"/>
      <c r="BU126" s="45"/>
      <c r="BV126" s="45"/>
      <c r="BW126" s="45"/>
      <c r="BX126" s="45"/>
      <c r="BY126" s="45"/>
      <c r="BZ126" s="45"/>
      <c r="CA126" s="45"/>
      <c r="CB126" s="45"/>
      <c r="CC126" s="45"/>
      <c r="CD126" s="45"/>
      <c r="CE126" s="45"/>
      <c r="CF126" s="45"/>
      <c r="CG126" s="45"/>
      <c r="CH126" s="45"/>
      <c r="CI126" s="45"/>
      <c r="CJ126" s="45"/>
      <c r="CK126" s="45"/>
      <c r="CL126" s="45"/>
      <c r="CM126" s="45"/>
      <c r="CN126" s="45"/>
      <c r="CO126" s="45"/>
      <c r="CP126" s="45"/>
      <c r="CQ126" s="45"/>
      <c r="CR126" s="45"/>
      <c r="CS126" s="45"/>
      <c r="CT126" s="45"/>
      <c r="CU126" s="45"/>
      <c r="CV126" s="45"/>
      <c r="CW126" s="45"/>
      <c r="CX126" s="24"/>
      <c r="CY126" s="24"/>
      <c r="CZ126" s="24"/>
      <c r="DA126" s="24"/>
      <c r="DB126" s="24"/>
      <c r="DC126" s="24"/>
      <c r="DD126" s="24"/>
      <c r="DE126" s="24"/>
      <c r="DF126" s="24"/>
      <c r="DG126" s="24"/>
      <c r="DH126" s="24"/>
      <c r="DI126" s="24"/>
      <c r="DJ126" s="24"/>
      <c r="DK126" s="24"/>
      <c r="DL126" s="24"/>
      <c r="DM126" s="24"/>
      <c r="DN126" s="24"/>
      <c r="DO126" s="24"/>
      <c r="DP126" s="24"/>
      <c r="DQ126" s="24"/>
      <c r="DR126" s="24"/>
      <c r="DS126" s="24"/>
      <c r="DT126" s="24"/>
      <c r="DU126" s="24"/>
      <c r="DV126" s="24"/>
      <c r="DW126" s="24"/>
      <c r="DX126" s="24"/>
      <c r="DY126" s="24"/>
      <c r="DZ126" s="24"/>
      <c r="EA126" s="24"/>
    </row>
    <row r="127" spans="1:131">
      <c r="A127" s="24"/>
      <c r="B127" s="24" t="s">
        <v>647</v>
      </c>
      <c r="C127" s="228">
        <v>0</v>
      </c>
      <c r="D127" s="228">
        <v>0</v>
      </c>
      <c r="E127" s="228">
        <v>0</v>
      </c>
      <c r="F127" s="228">
        <v>0</v>
      </c>
      <c r="G127" s="228">
        <v>0</v>
      </c>
      <c r="H127" s="228">
        <v>0</v>
      </c>
      <c r="I127" s="228">
        <v>0</v>
      </c>
      <c r="J127" s="228">
        <v>0</v>
      </c>
      <c r="K127" s="228">
        <v>0</v>
      </c>
      <c r="L127" s="229">
        <v>0</v>
      </c>
      <c r="M127" s="228">
        <v>0</v>
      </c>
      <c r="N127" s="228">
        <v>0</v>
      </c>
      <c r="O127" s="228">
        <v>0</v>
      </c>
      <c r="P127" s="228">
        <v>0</v>
      </c>
      <c r="Q127" s="228">
        <v>0</v>
      </c>
      <c r="R127" s="228">
        <v>0</v>
      </c>
      <c r="S127" s="228">
        <v>0</v>
      </c>
      <c r="T127" s="228">
        <v>0</v>
      </c>
      <c r="U127" s="228">
        <v>0</v>
      </c>
      <c r="V127" s="228">
        <v>0</v>
      </c>
      <c r="W127" s="228">
        <v>0</v>
      </c>
      <c r="X127" s="228">
        <v>0</v>
      </c>
      <c r="Y127" s="228">
        <v>0</v>
      </c>
      <c r="Z127" s="228"/>
      <c r="AA127" s="228">
        <v>0</v>
      </c>
      <c r="AB127" s="228">
        <v>0</v>
      </c>
      <c r="AC127" s="228">
        <v>0</v>
      </c>
      <c r="AD127" s="228">
        <v>0</v>
      </c>
      <c r="AE127" s="228">
        <v>0</v>
      </c>
      <c r="AF127" s="228">
        <v>0</v>
      </c>
      <c r="AG127" s="228">
        <v>0</v>
      </c>
      <c r="AH127" s="228">
        <v>0</v>
      </c>
      <c r="AI127" s="228">
        <v>0</v>
      </c>
      <c r="AJ127" s="228">
        <v>0</v>
      </c>
      <c r="AK127" s="228">
        <v>0</v>
      </c>
      <c r="AL127" s="228">
        <v>0</v>
      </c>
      <c r="AM127" s="45"/>
      <c r="AN127" s="45"/>
      <c r="AO127" s="45"/>
      <c r="AP127" s="45"/>
      <c r="AQ127" s="45"/>
      <c r="AR127" s="45"/>
      <c r="AS127" s="45"/>
      <c r="AT127" s="45"/>
      <c r="AU127" s="45"/>
      <c r="AV127" s="45"/>
      <c r="AW127" s="45"/>
      <c r="AX127" s="45"/>
      <c r="AY127" s="45"/>
      <c r="AZ127" s="45"/>
      <c r="BA127" s="45"/>
      <c r="BB127" s="45"/>
      <c r="BC127" s="45"/>
      <c r="BD127" s="45"/>
      <c r="BE127" s="45"/>
      <c r="BF127" s="45"/>
      <c r="BG127" s="45"/>
      <c r="BH127" s="45"/>
      <c r="BI127" s="45"/>
      <c r="BJ127" s="45"/>
      <c r="BK127" s="45"/>
      <c r="BL127" s="45"/>
      <c r="BM127" s="45"/>
      <c r="BN127" s="45"/>
      <c r="BO127" s="45"/>
      <c r="BP127" s="45"/>
      <c r="BQ127" s="45"/>
      <c r="BR127" s="45"/>
      <c r="BS127" s="45"/>
      <c r="BT127" s="45"/>
      <c r="BU127" s="45"/>
      <c r="BV127" s="45"/>
      <c r="BW127" s="45"/>
      <c r="BX127" s="45"/>
      <c r="BY127" s="45"/>
      <c r="BZ127" s="45"/>
      <c r="CA127" s="45"/>
      <c r="CB127" s="45"/>
      <c r="CC127" s="45"/>
      <c r="CD127" s="45"/>
      <c r="CE127" s="45"/>
      <c r="CF127" s="45"/>
      <c r="CG127" s="45"/>
      <c r="CH127" s="45"/>
      <c r="CI127" s="45"/>
      <c r="CJ127" s="45"/>
      <c r="CK127" s="45"/>
      <c r="CL127" s="45"/>
      <c r="CM127" s="45"/>
      <c r="CN127" s="45"/>
      <c r="CO127" s="45"/>
      <c r="CP127" s="45"/>
      <c r="CQ127" s="45"/>
      <c r="CR127" s="45"/>
      <c r="CS127" s="45"/>
      <c r="CT127" s="45"/>
      <c r="CU127" s="45"/>
      <c r="CV127" s="45"/>
      <c r="CW127" s="45"/>
      <c r="CX127" s="24"/>
      <c r="CY127" s="24"/>
      <c r="CZ127" s="24"/>
      <c r="DA127" s="24"/>
      <c r="DB127" s="24"/>
      <c r="DC127" s="24"/>
      <c r="DD127" s="24"/>
      <c r="DE127" s="24"/>
      <c r="DF127" s="24"/>
      <c r="DG127" s="24"/>
      <c r="DH127" s="24"/>
      <c r="DI127" s="24"/>
      <c r="DJ127" s="24"/>
      <c r="DK127" s="24"/>
      <c r="DL127" s="24"/>
      <c r="DM127" s="24"/>
      <c r="DN127" s="24"/>
      <c r="DO127" s="24"/>
      <c r="DP127" s="24"/>
      <c r="DQ127" s="24"/>
      <c r="DR127" s="24"/>
      <c r="DS127" s="24"/>
      <c r="DT127" s="24"/>
      <c r="DU127" s="24"/>
      <c r="DV127" s="24"/>
      <c r="DW127" s="24"/>
      <c r="DX127" s="24"/>
      <c r="DY127" s="24"/>
      <c r="DZ127" s="24"/>
      <c r="EA127" s="24"/>
    </row>
    <row r="128" spans="1:131">
      <c r="A128" s="24"/>
      <c r="B128" s="24" t="s">
        <v>648</v>
      </c>
      <c r="C128" s="228">
        <v>0</v>
      </c>
      <c r="D128" s="228">
        <v>0</v>
      </c>
      <c r="E128" s="228">
        <v>0</v>
      </c>
      <c r="F128" s="228">
        <v>0</v>
      </c>
      <c r="G128" s="228">
        <v>0</v>
      </c>
      <c r="H128" s="228">
        <v>0</v>
      </c>
      <c r="I128" s="228">
        <v>0</v>
      </c>
      <c r="J128" s="228">
        <v>0</v>
      </c>
      <c r="K128" s="228">
        <v>0</v>
      </c>
      <c r="L128" s="229">
        <v>0</v>
      </c>
      <c r="M128" s="228">
        <v>0</v>
      </c>
      <c r="N128" s="228">
        <v>0</v>
      </c>
      <c r="O128" s="228">
        <v>0</v>
      </c>
      <c r="P128" s="228">
        <v>0</v>
      </c>
      <c r="Q128" s="228">
        <v>0</v>
      </c>
      <c r="R128" s="228">
        <v>0</v>
      </c>
      <c r="S128" s="228">
        <v>0</v>
      </c>
      <c r="T128" s="228">
        <v>0</v>
      </c>
      <c r="U128" s="228">
        <v>0</v>
      </c>
      <c r="V128" s="228">
        <v>0</v>
      </c>
      <c r="W128" s="228">
        <v>0</v>
      </c>
      <c r="X128" s="228">
        <v>0</v>
      </c>
      <c r="Y128" s="228">
        <v>0</v>
      </c>
      <c r="Z128" s="228"/>
      <c r="AA128" s="228">
        <v>0</v>
      </c>
      <c r="AB128" s="228">
        <v>0</v>
      </c>
      <c r="AC128" s="228">
        <v>0</v>
      </c>
      <c r="AD128" s="228">
        <v>0</v>
      </c>
      <c r="AE128" s="228">
        <v>0</v>
      </c>
      <c r="AF128" s="228">
        <v>0</v>
      </c>
      <c r="AG128" s="228">
        <v>0</v>
      </c>
      <c r="AH128" s="228">
        <v>0</v>
      </c>
      <c r="AI128" s="228">
        <v>0</v>
      </c>
      <c r="AJ128" s="228">
        <v>0</v>
      </c>
      <c r="AK128" s="228">
        <v>0</v>
      </c>
      <c r="AL128" s="228">
        <v>0</v>
      </c>
      <c r="AM128" s="45"/>
      <c r="AN128" s="45"/>
      <c r="AO128" s="45"/>
      <c r="AP128" s="45"/>
      <c r="AQ128" s="45"/>
      <c r="AR128" s="45"/>
      <c r="AS128" s="45"/>
      <c r="AT128" s="45"/>
      <c r="AU128" s="45"/>
      <c r="AV128" s="45"/>
      <c r="AW128" s="45"/>
      <c r="AX128" s="45"/>
      <c r="AY128" s="45"/>
      <c r="AZ128" s="45"/>
      <c r="BA128" s="45"/>
      <c r="BB128" s="45"/>
      <c r="BC128" s="45"/>
      <c r="BD128" s="45"/>
      <c r="BE128" s="45"/>
      <c r="BF128" s="45"/>
      <c r="BG128" s="45"/>
      <c r="BH128" s="45"/>
      <c r="BI128" s="45"/>
      <c r="BJ128" s="45"/>
      <c r="BK128" s="45"/>
      <c r="BL128" s="45"/>
      <c r="BM128" s="45"/>
      <c r="BN128" s="45"/>
      <c r="BO128" s="45"/>
      <c r="BP128" s="45"/>
      <c r="BQ128" s="45"/>
      <c r="BR128" s="45"/>
      <c r="BS128" s="45"/>
      <c r="BT128" s="45"/>
      <c r="BU128" s="45"/>
      <c r="BV128" s="45"/>
      <c r="BW128" s="45"/>
      <c r="BX128" s="45"/>
      <c r="BY128" s="45"/>
      <c r="BZ128" s="45"/>
      <c r="CA128" s="45"/>
      <c r="CB128" s="45"/>
      <c r="CC128" s="45"/>
      <c r="CD128" s="45"/>
      <c r="CE128" s="45"/>
      <c r="CF128" s="45"/>
      <c r="CG128" s="45"/>
      <c r="CH128" s="45"/>
      <c r="CI128" s="45"/>
      <c r="CJ128" s="45"/>
      <c r="CK128" s="45"/>
      <c r="CL128" s="45"/>
      <c r="CM128" s="45"/>
      <c r="CN128" s="45"/>
      <c r="CO128" s="45"/>
      <c r="CP128" s="45"/>
      <c r="CQ128" s="45"/>
      <c r="CR128" s="45"/>
      <c r="CS128" s="45"/>
      <c r="CT128" s="45"/>
      <c r="CU128" s="45"/>
      <c r="CV128" s="45"/>
      <c r="CW128" s="45"/>
      <c r="CX128" s="24"/>
      <c r="CY128" s="24"/>
      <c r="CZ128" s="24"/>
      <c r="DA128" s="24"/>
      <c r="DB128" s="24"/>
      <c r="DC128" s="24"/>
      <c r="DD128" s="24"/>
      <c r="DE128" s="24"/>
      <c r="DF128" s="24"/>
      <c r="DG128" s="24"/>
      <c r="DH128" s="24"/>
      <c r="DI128" s="24"/>
      <c r="DJ128" s="24"/>
      <c r="DK128" s="24"/>
      <c r="DL128" s="24"/>
      <c r="DM128" s="24"/>
      <c r="DN128" s="24"/>
      <c r="DO128" s="24"/>
      <c r="DP128" s="24"/>
      <c r="DQ128" s="24"/>
      <c r="DR128" s="24"/>
      <c r="DS128" s="24"/>
      <c r="DT128" s="24"/>
      <c r="DU128" s="24"/>
      <c r="DV128" s="24"/>
      <c r="DW128" s="24"/>
      <c r="DX128" s="24"/>
      <c r="DY128" s="24"/>
      <c r="DZ128" s="24"/>
      <c r="EA128" s="24"/>
    </row>
    <row r="129" spans="1:131">
      <c r="A129" s="24"/>
      <c r="B129" s="24" t="s">
        <v>649</v>
      </c>
      <c r="C129" s="45">
        <v>73.145658131418585</v>
      </c>
      <c r="D129" s="45">
        <v>30.451059986919489</v>
      </c>
      <c r="E129" s="45">
        <v>6.0902119973838982</v>
      </c>
      <c r="F129" s="45">
        <v>36.541271984303386</v>
      </c>
      <c r="G129" s="45">
        <v>87.062159005654138</v>
      </c>
      <c r="H129" s="45">
        <v>48.233328879575211</v>
      </c>
      <c r="I129" s="45">
        <v>4376.2206911499916</v>
      </c>
      <c r="J129" s="45">
        <v>13.09859026424895</v>
      </c>
      <c r="K129" s="45">
        <v>74.328805326063531</v>
      </c>
      <c r="L129" s="200">
        <v>0.554010254632472</v>
      </c>
      <c r="M129" s="45">
        <v>0.69488559328866673</v>
      </c>
      <c r="N129" s="198">
        <v>2.9958608141122793</v>
      </c>
      <c r="O129" s="198">
        <v>2.214727517817785</v>
      </c>
      <c r="P129" s="198">
        <v>2.0631208320711307</v>
      </c>
      <c r="Q129" s="198">
        <v>1.1843832019243763</v>
      </c>
      <c r="R129" s="198">
        <v>0.95140190672247182</v>
      </c>
      <c r="S129" s="198">
        <v>0.73800958884303935</v>
      </c>
      <c r="T129" s="198">
        <v>0.7701072442609419</v>
      </c>
      <c r="U129" s="198">
        <v>1.1209165207336302</v>
      </c>
      <c r="V129" s="198">
        <v>1.4161900386280537</v>
      </c>
      <c r="W129" s="198">
        <v>2.3103541607048128</v>
      </c>
      <c r="X129" s="198">
        <v>2.6754522129339762</v>
      </c>
      <c r="Y129" s="198">
        <v>3.1516287570611889</v>
      </c>
      <c r="Z129" s="198"/>
      <c r="AA129" s="198">
        <v>4.9651682403349291</v>
      </c>
      <c r="AB129" s="198">
        <v>4.3068674001448626</v>
      </c>
      <c r="AC129" s="198">
        <v>4.3417883427731647</v>
      </c>
      <c r="AD129" s="198">
        <v>4.1344678858724881</v>
      </c>
      <c r="AE129" s="198">
        <v>3.8080553794941068</v>
      </c>
      <c r="AF129" s="198">
        <v>3.4599719950269212</v>
      </c>
      <c r="AG129" s="198">
        <v>3.7782001471376341</v>
      </c>
      <c r="AH129" s="198">
        <v>4.0797138513129365</v>
      </c>
      <c r="AI129" s="198">
        <v>4.3975109284338041</v>
      </c>
      <c r="AJ129" s="198">
        <v>4.53848040266098</v>
      </c>
      <c r="AK129" s="198">
        <v>4.7575949304374063</v>
      </c>
      <c r="AL129" s="198">
        <v>4.9856858319756912</v>
      </c>
      <c r="AM129" s="45"/>
      <c r="AN129" s="45"/>
      <c r="AO129" s="45"/>
      <c r="AP129" s="45"/>
      <c r="AQ129" s="45"/>
      <c r="AR129" s="45"/>
      <c r="AS129" s="45"/>
      <c r="AT129" s="45"/>
      <c r="AU129" s="45"/>
      <c r="AV129" s="45"/>
      <c r="AW129" s="45"/>
      <c r="AX129" s="45"/>
      <c r="AY129" s="45"/>
      <c r="AZ129" s="45"/>
      <c r="BA129" s="45"/>
      <c r="BB129" s="45"/>
      <c r="BC129" s="45"/>
      <c r="BD129" s="45"/>
      <c r="BE129" s="45"/>
      <c r="BF129" s="45"/>
      <c r="BG129" s="45"/>
      <c r="BH129" s="45"/>
      <c r="BI129" s="45"/>
      <c r="BJ129" s="45"/>
      <c r="BK129" s="45"/>
      <c r="BL129" s="45"/>
      <c r="BM129" s="45"/>
      <c r="BN129" s="45"/>
      <c r="BO129" s="45"/>
      <c r="BP129" s="45"/>
      <c r="BQ129" s="45"/>
      <c r="BR129" s="45"/>
      <c r="BS129" s="45"/>
      <c r="BT129" s="45"/>
      <c r="BU129" s="45"/>
      <c r="BV129" s="45"/>
      <c r="BW129" s="45"/>
      <c r="BX129" s="45"/>
      <c r="BY129" s="45"/>
      <c r="BZ129" s="45"/>
      <c r="CA129" s="45"/>
      <c r="CB129" s="45"/>
      <c r="CC129" s="45"/>
      <c r="CD129" s="45"/>
      <c r="CE129" s="45"/>
      <c r="CF129" s="45"/>
      <c r="CG129" s="45"/>
      <c r="CH129" s="45"/>
      <c r="CI129" s="45"/>
      <c r="CJ129" s="45"/>
      <c r="CK129" s="45"/>
      <c r="CL129" s="45"/>
      <c r="CM129" s="45"/>
      <c r="CN129" s="45"/>
      <c r="CO129" s="45"/>
      <c r="CP129" s="45"/>
      <c r="CQ129" s="45"/>
      <c r="CR129" s="45"/>
      <c r="CS129" s="45"/>
      <c r="CT129" s="45"/>
      <c r="CU129" s="45"/>
      <c r="CV129" s="45"/>
      <c r="CW129" s="45"/>
      <c r="CX129" s="24"/>
      <c r="CY129" s="24"/>
      <c r="CZ129" s="24"/>
      <c r="DA129" s="24"/>
      <c r="DB129" s="24"/>
      <c r="DC129" s="24"/>
      <c r="DD129" s="24"/>
      <c r="DE129" s="24"/>
      <c r="DF129" s="24"/>
      <c r="DG129" s="24"/>
      <c r="DH129" s="24"/>
      <c r="DI129" s="24"/>
      <c r="DJ129" s="24"/>
      <c r="DK129" s="24"/>
      <c r="DL129" s="24"/>
      <c r="DM129" s="24"/>
      <c r="DN129" s="24"/>
      <c r="DO129" s="24"/>
      <c r="DP129" s="24"/>
      <c r="DQ129" s="24"/>
      <c r="DR129" s="24"/>
      <c r="DS129" s="24"/>
      <c r="DT129" s="24"/>
      <c r="DU129" s="24"/>
      <c r="DV129" s="24"/>
      <c r="DW129" s="24"/>
      <c r="DX129" s="24"/>
      <c r="DY129" s="24"/>
      <c r="DZ129" s="24"/>
      <c r="EA129" s="24"/>
    </row>
    <row r="130" spans="1:131">
      <c r="A130" s="24"/>
      <c r="B130" s="24" t="s">
        <v>650</v>
      </c>
      <c r="C130" s="228">
        <v>0</v>
      </c>
      <c r="D130" s="228">
        <v>0</v>
      </c>
      <c r="E130" s="228">
        <v>0</v>
      </c>
      <c r="F130" s="228">
        <v>0</v>
      </c>
      <c r="G130" s="228">
        <v>0</v>
      </c>
      <c r="H130" s="228">
        <v>0</v>
      </c>
      <c r="I130" s="228">
        <v>0</v>
      </c>
      <c r="J130" s="228">
        <v>0</v>
      </c>
      <c r="K130" s="228">
        <v>0</v>
      </c>
      <c r="L130" s="229">
        <v>0</v>
      </c>
      <c r="M130" s="228">
        <v>0</v>
      </c>
      <c r="N130" s="228">
        <v>0</v>
      </c>
      <c r="O130" s="228">
        <v>0</v>
      </c>
      <c r="P130" s="228">
        <v>0</v>
      </c>
      <c r="Q130" s="228">
        <v>0</v>
      </c>
      <c r="R130" s="228">
        <v>0</v>
      </c>
      <c r="S130" s="228">
        <v>0</v>
      </c>
      <c r="T130" s="228">
        <v>0</v>
      </c>
      <c r="U130" s="228">
        <v>0</v>
      </c>
      <c r="V130" s="228">
        <v>0</v>
      </c>
      <c r="W130" s="228">
        <v>0</v>
      </c>
      <c r="X130" s="228">
        <v>0</v>
      </c>
      <c r="Y130" s="228">
        <v>0</v>
      </c>
      <c r="Z130" s="228"/>
      <c r="AA130" s="228">
        <v>0</v>
      </c>
      <c r="AB130" s="228">
        <v>0</v>
      </c>
      <c r="AC130" s="228">
        <v>0</v>
      </c>
      <c r="AD130" s="228">
        <v>0</v>
      </c>
      <c r="AE130" s="228">
        <v>0</v>
      </c>
      <c r="AF130" s="228">
        <v>0</v>
      </c>
      <c r="AG130" s="228">
        <v>0</v>
      </c>
      <c r="AH130" s="228">
        <v>0</v>
      </c>
      <c r="AI130" s="228">
        <v>0</v>
      </c>
      <c r="AJ130" s="228">
        <v>0</v>
      </c>
      <c r="AK130" s="228">
        <v>0</v>
      </c>
      <c r="AL130" s="228">
        <v>0</v>
      </c>
      <c r="AM130" s="45"/>
      <c r="AN130" s="45"/>
      <c r="AO130" s="45"/>
      <c r="AP130" s="45"/>
      <c r="AQ130" s="45"/>
      <c r="AR130" s="45"/>
      <c r="AS130" s="45"/>
      <c r="AT130" s="45"/>
      <c r="AU130" s="45"/>
      <c r="AV130" s="45"/>
      <c r="AW130" s="45"/>
      <c r="AX130" s="45"/>
      <c r="AY130" s="45"/>
      <c r="AZ130" s="45"/>
      <c r="BA130" s="45"/>
      <c r="BB130" s="45"/>
      <c r="BC130" s="45"/>
      <c r="BD130" s="45"/>
      <c r="BE130" s="45"/>
      <c r="BF130" s="45"/>
      <c r="BG130" s="45"/>
      <c r="BH130" s="45"/>
      <c r="BI130" s="45"/>
      <c r="BJ130" s="45"/>
      <c r="BK130" s="45"/>
      <c r="BL130" s="45"/>
      <c r="BM130" s="45"/>
      <c r="BN130" s="45"/>
      <c r="BO130" s="45"/>
      <c r="BP130" s="45"/>
      <c r="BQ130" s="45"/>
      <c r="BR130" s="45"/>
      <c r="BS130" s="45"/>
      <c r="BT130" s="45"/>
      <c r="BU130" s="45"/>
      <c r="BV130" s="45"/>
      <c r="BW130" s="45"/>
      <c r="BX130" s="45"/>
      <c r="BY130" s="45"/>
      <c r="BZ130" s="45"/>
      <c r="CA130" s="45"/>
      <c r="CB130" s="45"/>
      <c r="CC130" s="45"/>
      <c r="CD130" s="45"/>
      <c r="CE130" s="45"/>
      <c r="CF130" s="45"/>
      <c r="CG130" s="45"/>
      <c r="CH130" s="45"/>
      <c r="CI130" s="45"/>
      <c r="CJ130" s="45"/>
      <c r="CK130" s="45"/>
      <c r="CL130" s="45"/>
      <c r="CM130" s="45"/>
      <c r="CN130" s="45"/>
      <c r="CO130" s="45"/>
      <c r="CP130" s="45"/>
      <c r="CQ130" s="45"/>
      <c r="CR130" s="45"/>
      <c r="CS130" s="45"/>
      <c r="CT130" s="45"/>
      <c r="CU130" s="45"/>
      <c r="CV130" s="45"/>
      <c r="CW130" s="45"/>
      <c r="CX130" s="24"/>
      <c r="CY130" s="24"/>
      <c r="CZ130" s="24"/>
      <c r="DA130" s="24"/>
      <c r="DB130" s="24"/>
      <c r="DC130" s="24"/>
      <c r="DD130" s="24"/>
      <c r="DE130" s="24"/>
      <c r="DF130" s="24"/>
      <c r="DG130" s="24"/>
      <c r="DH130" s="24"/>
      <c r="DI130" s="24"/>
      <c r="DJ130" s="24"/>
      <c r="DK130" s="24"/>
      <c r="DL130" s="24"/>
      <c r="DM130" s="24"/>
      <c r="DN130" s="24"/>
      <c r="DO130" s="24"/>
      <c r="DP130" s="24"/>
      <c r="DQ130" s="24"/>
      <c r="DR130" s="24"/>
      <c r="DS130" s="24"/>
      <c r="DT130" s="24"/>
      <c r="DU130" s="24"/>
      <c r="DV130" s="24"/>
      <c r="DW130" s="24"/>
      <c r="DX130" s="24"/>
      <c r="DY130" s="24"/>
      <c r="DZ130" s="24"/>
      <c r="EA130" s="24"/>
    </row>
    <row r="131" spans="1:131">
      <c r="A131" s="24"/>
      <c r="B131" s="24" t="s">
        <v>651</v>
      </c>
      <c r="C131" s="228">
        <v>0</v>
      </c>
      <c r="D131" s="228">
        <v>0</v>
      </c>
      <c r="E131" s="228">
        <v>0</v>
      </c>
      <c r="F131" s="228">
        <v>0</v>
      </c>
      <c r="G131" s="228">
        <v>0</v>
      </c>
      <c r="H131" s="228">
        <v>0</v>
      </c>
      <c r="I131" s="228">
        <v>0</v>
      </c>
      <c r="J131" s="228">
        <v>0</v>
      </c>
      <c r="K131" s="228">
        <v>0</v>
      </c>
      <c r="L131" s="229">
        <v>0</v>
      </c>
      <c r="M131" s="228">
        <v>0</v>
      </c>
      <c r="N131" s="228">
        <v>0</v>
      </c>
      <c r="O131" s="228">
        <v>0</v>
      </c>
      <c r="P131" s="228">
        <v>0</v>
      </c>
      <c r="Q131" s="228">
        <v>0</v>
      </c>
      <c r="R131" s="228">
        <v>0</v>
      </c>
      <c r="S131" s="228">
        <v>0</v>
      </c>
      <c r="T131" s="228">
        <v>0</v>
      </c>
      <c r="U131" s="228">
        <v>0</v>
      </c>
      <c r="V131" s="228">
        <v>0</v>
      </c>
      <c r="W131" s="228">
        <v>0</v>
      </c>
      <c r="X131" s="228">
        <v>0</v>
      </c>
      <c r="Y131" s="228">
        <v>0</v>
      </c>
      <c r="Z131" s="228"/>
      <c r="AA131" s="228">
        <v>0</v>
      </c>
      <c r="AB131" s="228">
        <v>0</v>
      </c>
      <c r="AC131" s="228">
        <v>0</v>
      </c>
      <c r="AD131" s="228">
        <v>0</v>
      </c>
      <c r="AE131" s="228">
        <v>0</v>
      </c>
      <c r="AF131" s="228">
        <v>0</v>
      </c>
      <c r="AG131" s="228">
        <v>0</v>
      </c>
      <c r="AH131" s="228">
        <v>0</v>
      </c>
      <c r="AI131" s="228">
        <v>0</v>
      </c>
      <c r="AJ131" s="228">
        <v>0</v>
      </c>
      <c r="AK131" s="228">
        <v>0</v>
      </c>
      <c r="AL131" s="228">
        <v>0</v>
      </c>
      <c r="AM131" s="45"/>
      <c r="AN131" s="45"/>
      <c r="AO131" s="45"/>
      <c r="AP131" s="45"/>
      <c r="AQ131" s="45"/>
      <c r="AR131" s="45"/>
      <c r="AS131" s="45"/>
      <c r="AT131" s="45"/>
      <c r="AU131" s="45"/>
      <c r="AV131" s="45"/>
      <c r="AW131" s="45"/>
      <c r="AX131" s="45"/>
      <c r="AY131" s="45"/>
      <c r="AZ131" s="45"/>
      <c r="BA131" s="45"/>
      <c r="BB131" s="45"/>
      <c r="BC131" s="45"/>
      <c r="BD131" s="45"/>
      <c r="BE131" s="45"/>
      <c r="BF131" s="45"/>
      <c r="BG131" s="45"/>
      <c r="BH131" s="45"/>
      <c r="BI131" s="45"/>
      <c r="BJ131" s="45"/>
      <c r="BK131" s="45"/>
      <c r="BL131" s="45"/>
      <c r="BM131" s="45"/>
      <c r="BN131" s="45"/>
      <c r="BO131" s="45"/>
      <c r="BP131" s="45"/>
      <c r="BQ131" s="45"/>
      <c r="BR131" s="45"/>
      <c r="BS131" s="45"/>
      <c r="BT131" s="45"/>
      <c r="BU131" s="45"/>
      <c r="BV131" s="45"/>
      <c r="BW131" s="45"/>
      <c r="BX131" s="45"/>
      <c r="BY131" s="45"/>
      <c r="BZ131" s="45"/>
      <c r="CA131" s="45"/>
      <c r="CB131" s="45"/>
      <c r="CC131" s="45"/>
      <c r="CD131" s="45"/>
      <c r="CE131" s="45"/>
      <c r="CF131" s="45"/>
      <c r="CG131" s="45"/>
      <c r="CH131" s="45"/>
      <c r="CI131" s="45"/>
      <c r="CJ131" s="45"/>
      <c r="CK131" s="45"/>
      <c r="CL131" s="45"/>
      <c r="CM131" s="45"/>
      <c r="CN131" s="45"/>
      <c r="CO131" s="45"/>
      <c r="CP131" s="45"/>
      <c r="CQ131" s="45"/>
      <c r="CR131" s="45"/>
      <c r="CS131" s="45"/>
      <c r="CT131" s="45"/>
      <c r="CU131" s="45"/>
      <c r="CV131" s="45"/>
      <c r="CW131" s="45"/>
      <c r="CX131" s="24"/>
      <c r="CY131" s="24"/>
      <c r="CZ131" s="24"/>
      <c r="DA131" s="24"/>
      <c r="DB131" s="24"/>
      <c r="DC131" s="24"/>
      <c r="DD131" s="24"/>
      <c r="DE131" s="24"/>
      <c r="DF131" s="24"/>
      <c r="DG131" s="24"/>
      <c r="DH131" s="24"/>
      <c r="DI131" s="24"/>
      <c r="DJ131" s="24"/>
      <c r="DK131" s="24"/>
      <c r="DL131" s="24"/>
      <c r="DM131" s="24"/>
      <c r="DN131" s="24"/>
      <c r="DO131" s="24"/>
      <c r="DP131" s="24"/>
      <c r="DQ131" s="24"/>
      <c r="DR131" s="24"/>
      <c r="DS131" s="24"/>
      <c r="DT131" s="24"/>
      <c r="DU131" s="24"/>
      <c r="DV131" s="24"/>
      <c r="DW131" s="24"/>
      <c r="DX131" s="24"/>
      <c r="DY131" s="24"/>
      <c r="DZ131" s="24"/>
      <c r="EA131" s="24"/>
    </row>
    <row r="132" spans="1:131">
      <c r="A132" s="24"/>
      <c r="B132" s="24" t="s">
        <v>652</v>
      </c>
      <c r="C132" s="228">
        <v>0</v>
      </c>
      <c r="D132" s="228">
        <v>0</v>
      </c>
      <c r="E132" s="228">
        <v>0</v>
      </c>
      <c r="F132" s="228">
        <v>0</v>
      </c>
      <c r="G132" s="228">
        <v>0</v>
      </c>
      <c r="H132" s="228">
        <v>0</v>
      </c>
      <c r="I132" s="228">
        <v>0</v>
      </c>
      <c r="J132" s="228">
        <v>0</v>
      </c>
      <c r="K132" s="228">
        <v>0</v>
      </c>
      <c r="L132" s="229">
        <v>0</v>
      </c>
      <c r="M132" s="228">
        <v>0</v>
      </c>
      <c r="N132" s="228">
        <v>0</v>
      </c>
      <c r="O132" s="228">
        <v>0</v>
      </c>
      <c r="P132" s="228">
        <v>0</v>
      </c>
      <c r="Q132" s="228">
        <v>0</v>
      </c>
      <c r="R132" s="228">
        <v>0</v>
      </c>
      <c r="S132" s="228">
        <v>0</v>
      </c>
      <c r="T132" s="228">
        <v>0</v>
      </c>
      <c r="U132" s="228">
        <v>0</v>
      </c>
      <c r="V132" s="228">
        <v>0</v>
      </c>
      <c r="W132" s="228">
        <v>0</v>
      </c>
      <c r="X132" s="228">
        <v>0</v>
      </c>
      <c r="Y132" s="228">
        <v>0</v>
      </c>
      <c r="Z132" s="228"/>
      <c r="AA132" s="228">
        <v>0</v>
      </c>
      <c r="AB132" s="228">
        <v>0</v>
      </c>
      <c r="AC132" s="228">
        <v>0</v>
      </c>
      <c r="AD132" s="228">
        <v>0</v>
      </c>
      <c r="AE132" s="228">
        <v>0</v>
      </c>
      <c r="AF132" s="228">
        <v>0</v>
      </c>
      <c r="AG132" s="228">
        <v>0</v>
      </c>
      <c r="AH132" s="228">
        <v>0</v>
      </c>
      <c r="AI132" s="228">
        <v>0</v>
      </c>
      <c r="AJ132" s="228">
        <v>0</v>
      </c>
      <c r="AK132" s="228">
        <v>0</v>
      </c>
      <c r="AL132" s="228">
        <v>0</v>
      </c>
      <c r="AM132" s="45"/>
      <c r="AN132" s="45"/>
      <c r="AO132" s="45"/>
      <c r="AP132" s="45"/>
      <c r="AQ132" s="45"/>
      <c r="AR132" s="45"/>
      <c r="AS132" s="45"/>
      <c r="AT132" s="45"/>
      <c r="AU132" s="45"/>
      <c r="AV132" s="45"/>
      <c r="AW132" s="45"/>
      <c r="AX132" s="45"/>
      <c r="AY132" s="45"/>
      <c r="AZ132" s="45"/>
      <c r="BA132" s="45"/>
      <c r="BB132" s="45"/>
      <c r="BC132" s="45"/>
      <c r="BD132" s="45"/>
      <c r="BE132" s="45"/>
      <c r="BF132" s="45"/>
      <c r="BG132" s="45"/>
      <c r="BH132" s="45"/>
      <c r="BI132" s="45"/>
      <c r="BJ132" s="45"/>
      <c r="BK132" s="45"/>
      <c r="BL132" s="45"/>
      <c r="BM132" s="45"/>
      <c r="BN132" s="45"/>
      <c r="BO132" s="45"/>
      <c r="BP132" s="45"/>
      <c r="BQ132" s="45"/>
      <c r="BR132" s="45"/>
      <c r="BS132" s="45"/>
      <c r="BT132" s="45"/>
      <c r="BU132" s="45"/>
      <c r="BV132" s="45"/>
      <c r="BW132" s="45"/>
      <c r="BX132" s="45"/>
      <c r="BY132" s="45"/>
      <c r="BZ132" s="45"/>
      <c r="CA132" s="45"/>
      <c r="CB132" s="45"/>
      <c r="CC132" s="45"/>
      <c r="CD132" s="45"/>
      <c r="CE132" s="45"/>
      <c r="CF132" s="45"/>
      <c r="CG132" s="45"/>
      <c r="CH132" s="45"/>
      <c r="CI132" s="45"/>
      <c r="CJ132" s="45"/>
      <c r="CK132" s="45"/>
      <c r="CL132" s="45"/>
      <c r="CM132" s="45"/>
      <c r="CN132" s="45"/>
      <c r="CO132" s="45"/>
      <c r="CP132" s="45"/>
      <c r="CQ132" s="45"/>
      <c r="CR132" s="45"/>
      <c r="CS132" s="45"/>
      <c r="CT132" s="45"/>
      <c r="CU132" s="45"/>
      <c r="CV132" s="45"/>
      <c r="CW132" s="45"/>
      <c r="CX132" s="24"/>
      <c r="CY132" s="24"/>
      <c r="CZ132" s="24"/>
      <c r="DA132" s="24"/>
      <c r="DB132" s="24"/>
      <c r="DC132" s="24"/>
      <c r="DD132" s="24"/>
      <c r="DE132" s="24"/>
      <c r="DF132" s="24"/>
      <c r="DG132" s="24"/>
      <c r="DH132" s="24"/>
      <c r="DI132" s="24"/>
      <c r="DJ132" s="24"/>
      <c r="DK132" s="24"/>
      <c r="DL132" s="24"/>
      <c r="DM132" s="24"/>
      <c r="DN132" s="24"/>
      <c r="DO132" s="24"/>
      <c r="DP132" s="24"/>
      <c r="DQ132" s="24"/>
      <c r="DR132" s="24"/>
      <c r="DS132" s="24"/>
      <c r="DT132" s="24"/>
      <c r="DU132" s="24"/>
      <c r="DV132" s="24"/>
      <c r="DW132" s="24"/>
      <c r="DX132" s="24"/>
      <c r="DY132" s="24"/>
      <c r="DZ132" s="24"/>
      <c r="EA132" s="24"/>
    </row>
    <row r="133" spans="1:131">
      <c r="A133" s="24"/>
      <c r="B133" s="24" t="s">
        <v>653</v>
      </c>
      <c r="C133" s="228">
        <v>0</v>
      </c>
      <c r="D133" s="228">
        <v>0</v>
      </c>
      <c r="E133" s="228">
        <v>0</v>
      </c>
      <c r="F133" s="228">
        <v>0</v>
      </c>
      <c r="G133" s="228">
        <v>0</v>
      </c>
      <c r="H133" s="228">
        <v>0</v>
      </c>
      <c r="I133" s="228">
        <v>0</v>
      </c>
      <c r="J133" s="228">
        <v>0</v>
      </c>
      <c r="K133" s="228">
        <v>0</v>
      </c>
      <c r="L133" s="229">
        <v>0</v>
      </c>
      <c r="M133" s="228">
        <v>0</v>
      </c>
      <c r="N133" s="228">
        <v>0</v>
      </c>
      <c r="O133" s="228">
        <v>0</v>
      </c>
      <c r="P133" s="228">
        <v>0</v>
      </c>
      <c r="Q133" s="228">
        <v>0</v>
      </c>
      <c r="R133" s="228">
        <v>0</v>
      </c>
      <c r="S133" s="228">
        <v>0</v>
      </c>
      <c r="T133" s="228">
        <v>0</v>
      </c>
      <c r="U133" s="228">
        <v>0</v>
      </c>
      <c r="V133" s="228">
        <v>0</v>
      </c>
      <c r="W133" s="228">
        <v>0</v>
      </c>
      <c r="X133" s="228">
        <v>0</v>
      </c>
      <c r="Y133" s="228">
        <v>0</v>
      </c>
      <c r="Z133" s="228"/>
      <c r="AA133" s="228">
        <v>0</v>
      </c>
      <c r="AB133" s="228">
        <v>0</v>
      </c>
      <c r="AC133" s="228">
        <v>0</v>
      </c>
      <c r="AD133" s="228">
        <v>0</v>
      </c>
      <c r="AE133" s="228">
        <v>0</v>
      </c>
      <c r="AF133" s="228">
        <v>0</v>
      </c>
      <c r="AG133" s="228">
        <v>0</v>
      </c>
      <c r="AH133" s="228">
        <v>0</v>
      </c>
      <c r="AI133" s="228">
        <v>0</v>
      </c>
      <c r="AJ133" s="228">
        <v>0</v>
      </c>
      <c r="AK133" s="228">
        <v>0</v>
      </c>
      <c r="AL133" s="228">
        <v>0</v>
      </c>
      <c r="AM133" s="45"/>
      <c r="AN133" s="45"/>
      <c r="AO133" s="45"/>
      <c r="AP133" s="45"/>
      <c r="AQ133" s="45"/>
      <c r="AR133" s="45"/>
      <c r="AS133" s="45"/>
      <c r="AT133" s="45"/>
      <c r="AU133" s="45"/>
      <c r="AV133" s="45"/>
      <c r="AW133" s="45"/>
      <c r="AX133" s="45"/>
      <c r="AY133" s="45"/>
      <c r="AZ133" s="45"/>
      <c r="BA133" s="45"/>
      <c r="BB133" s="45"/>
      <c r="BC133" s="45"/>
      <c r="BD133" s="45"/>
      <c r="BE133" s="45"/>
      <c r="BF133" s="45"/>
      <c r="BG133" s="45"/>
      <c r="BH133" s="45"/>
      <c r="BI133" s="45"/>
      <c r="BJ133" s="45"/>
      <c r="BK133" s="45"/>
      <c r="BL133" s="45"/>
      <c r="BM133" s="45"/>
      <c r="BN133" s="45"/>
      <c r="BO133" s="45"/>
      <c r="BP133" s="45"/>
      <c r="BQ133" s="45"/>
      <c r="BR133" s="45"/>
      <c r="BS133" s="45"/>
      <c r="BT133" s="45"/>
      <c r="BU133" s="45"/>
      <c r="BV133" s="45"/>
      <c r="BW133" s="45"/>
      <c r="BX133" s="45"/>
      <c r="BY133" s="45"/>
      <c r="BZ133" s="45"/>
      <c r="CA133" s="45"/>
      <c r="CB133" s="45"/>
      <c r="CC133" s="45"/>
      <c r="CD133" s="45"/>
      <c r="CE133" s="45"/>
      <c r="CF133" s="45"/>
      <c r="CG133" s="45"/>
      <c r="CH133" s="45"/>
      <c r="CI133" s="45"/>
      <c r="CJ133" s="45"/>
      <c r="CK133" s="45"/>
      <c r="CL133" s="45"/>
      <c r="CM133" s="45"/>
      <c r="CN133" s="45"/>
      <c r="CO133" s="45"/>
      <c r="CP133" s="45"/>
      <c r="CQ133" s="45"/>
      <c r="CR133" s="45"/>
      <c r="CS133" s="45"/>
      <c r="CT133" s="45"/>
      <c r="CU133" s="45"/>
      <c r="CV133" s="45"/>
      <c r="CW133" s="45"/>
      <c r="CX133" s="24"/>
      <c r="CY133" s="24"/>
      <c r="CZ133" s="24"/>
      <c r="DA133" s="24"/>
      <c r="DB133" s="24"/>
      <c r="DC133" s="24"/>
      <c r="DD133" s="24"/>
      <c r="DE133" s="24"/>
      <c r="DF133" s="24"/>
      <c r="DG133" s="24"/>
      <c r="DH133" s="24"/>
      <c r="DI133" s="24"/>
      <c r="DJ133" s="24"/>
      <c r="DK133" s="24"/>
      <c r="DL133" s="24"/>
      <c r="DM133" s="24"/>
      <c r="DN133" s="24"/>
      <c r="DO133" s="24"/>
      <c r="DP133" s="24"/>
      <c r="DQ133" s="24"/>
      <c r="DR133" s="24"/>
      <c r="DS133" s="24"/>
      <c r="DT133" s="24"/>
      <c r="DU133" s="24"/>
      <c r="DV133" s="24"/>
      <c r="DW133" s="24"/>
      <c r="DX133" s="24"/>
      <c r="DY133" s="24"/>
      <c r="DZ133" s="24"/>
      <c r="EA133" s="24"/>
    </row>
    <row r="134" spans="1:131">
      <c r="A134" s="24"/>
      <c r="B134" s="24" t="s">
        <v>654</v>
      </c>
      <c r="C134" s="228">
        <v>0</v>
      </c>
      <c r="D134" s="228">
        <v>0</v>
      </c>
      <c r="E134" s="228">
        <v>0</v>
      </c>
      <c r="F134" s="228">
        <v>0</v>
      </c>
      <c r="G134" s="228">
        <v>0</v>
      </c>
      <c r="H134" s="228">
        <v>0</v>
      </c>
      <c r="I134" s="228">
        <v>0</v>
      </c>
      <c r="J134" s="228">
        <v>0</v>
      </c>
      <c r="K134" s="228">
        <v>0</v>
      </c>
      <c r="L134" s="229">
        <v>0</v>
      </c>
      <c r="M134" s="228">
        <v>0</v>
      </c>
      <c r="N134" s="228">
        <v>0</v>
      </c>
      <c r="O134" s="228">
        <v>0</v>
      </c>
      <c r="P134" s="228">
        <v>0</v>
      </c>
      <c r="Q134" s="228">
        <v>0</v>
      </c>
      <c r="R134" s="228">
        <v>0</v>
      </c>
      <c r="S134" s="228">
        <v>0</v>
      </c>
      <c r="T134" s="228">
        <v>0</v>
      </c>
      <c r="U134" s="228">
        <v>0</v>
      </c>
      <c r="V134" s="228">
        <v>0</v>
      </c>
      <c r="W134" s="228">
        <v>0</v>
      </c>
      <c r="X134" s="228">
        <v>0</v>
      </c>
      <c r="Y134" s="228">
        <v>0</v>
      </c>
      <c r="Z134" s="228"/>
      <c r="AA134" s="228">
        <v>0</v>
      </c>
      <c r="AB134" s="228">
        <v>0</v>
      </c>
      <c r="AC134" s="228">
        <v>0</v>
      </c>
      <c r="AD134" s="228">
        <v>0</v>
      </c>
      <c r="AE134" s="228">
        <v>0</v>
      </c>
      <c r="AF134" s="228">
        <v>0</v>
      </c>
      <c r="AG134" s="228">
        <v>0</v>
      </c>
      <c r="AH134" s="228">
        <v>0</v>
      </c>
      <c r="AI134" s="228">
        <v>0</v>
      </c>
      <c r="AJ134" s="228">
        <v>0</v>
      </c>
      <c r="AK134" s="228">
        <v>0</v>
      </c>
      <c r="AL134" s="228">
        <v>0</v>
      </c>
      <c r="AM134" s="45"/>
      <c r="AN134" s="45"/>
      <c r="AO134" s="45"/>
      <c r="AP134" s="45"/>
      <c r="AQ134" s="45"/>
      <c r="AR134" s="45"/>
      <c r="AS134" s="45"/>
      <c r="AT134" s="45"/>
      <c r="AU134" s="45"/>
      <c r="AV134" s="45"/>
      <c r="AW134" s="45"/>
      <c r="AX134" s="45"/>
      <c r="AY134" s="45"/>
      <c r="AZ134" s="45"/>
      <c r="BA134" s="45"/>
      <c r="BB134" s="45"/>
      <c r="BC134" s="45"/>
      <c r="BD134" s="45"/>
      <c r="BE134" s="45"/>
      <c r="BF134" s="45"/>
      <c r="BG134" s="45"/>
      <c r="BH134" s="45"/>
      <c r="BI134" s="45"/>
      <c r="BJ134" s="45"/>
      <c r="BK134" s="45"/>
      <c r="BL134" s="45"/>
      <c r="BM134" s="45"/>
      <c r="BN134" s="45"/>
      <c r="BO134" s="45"/>
      <c r="BP134" s="45"/>
      <c r="BQ134" s="45"/>
      <c r="BR134" s="45"/>
      <c r="BS134" s="45"/>
      <c r="BT134" s="45"/>
      <c r="BU134" s="45"/>
      <c r="BV134" s="45"/>
      <c r="BW134" s="45"/>
      <c r="BX134" s="45"/>
      <c r="BY134" s="45"/>
      <c r="BZ134" s="45"/>
      <c r="CA134" s="45"/>
      <c r="CB134" s="45"/>
      <c r="CC134" s="45"/>
      <c r="CD134" s="45"/>
      <c r="CE134" s="45"/>
      <c r="CF134" s="45"/>
      <c r="CG134" s="45"/>
      <c r="CH134" s="45"/>
      <c r="CI134" s="45"/>
      <c r="CJ134" s="45"/>
      <c r="CK134" s="45"/>
      <c r="CL134" s="45"/>
      <c r="CM134" s="45"/>
      <c r="CN134" s="45"/>
      <c r="CO134" s="45"/>
      <c r="CP134" s="45"/>
      <c r="CQ134" s="45"/>
      <c r="CR134" s="45"/>
      <c r="CS134" s="45"/>
      <c r="CT134" s="45"/>
      <c r="CU134" s="45"/>
      <c r="CV134" s="45"/>
      <c r="CW134" s="45"/>
      <c r="CX134" s="24"/>
      <c r="CY134" s="24"/>
      <c r="CZ134" s="24"/>
      <c r="DA134" s="24"/>
      <c r="DB134" s="24"/>
      <c r="DC134" s="24"/>
      <c r="DD134" s="24"/>
      <c r="DE134" s="24"/>
      <c r="DF134" s="24"/>
      <c r="DG134" s="24"/>
      <c r="DH134" s="24"/>
      <c r="DI134" s="24"/>
      <c r="DJ134" s="24"/>
      <c r="DK134" s="24"/>
      <c r="DL134" s="24"/>
      <c r="DM134" s="24"/>
      <c r="DN134" s="24"/>
      <c r="DO134" s="24"/>
      <c r="DP134" s="24"/>
      <c r="DQ134" s="24"/>
      <c r="DR134" s="24"/>
      <c r="DS134" s="24"/>
      <c r="DT134" s="24"/>
      <c r="DU134" s="24"/>
      <c r="DV134" s="24"/>
      <c r="DW134" s="24"/>
      <c r="DX134" s="24"/>
      <c r="DY134" s="24"/>
      <c r="DZ134" s="24"/>
      <c r="EA134" s="24"/>
    </row>
    <row r="135" spans="1:131">
      <c r="A135" s="24"/>
      <c r="B135" s="24" t="s">
        <v>655</v>
      </c>
      <c r="C135" s="228">
        <v>0</v>
      </c>
      <c r="D135" s="228">
        <v>0</v>
      </c>
      <c r="E135" s="228">
        <v>0</v>
      </c>
      <c r="F135" s="228">
        <v>0</v>
      </c>
      <c r="G135" s="228">
        <v>0</v>
      </c>
      <c r="H135" s="228">
        <v>0</v>
      </c>
      <c r="I135" s="228">
        <v>0</v>
      </c>
      <c r="J135" s="228">
        <v>0</v>
      </c>
      <c r="K135" s="228">
        <v>0</v>
      </c>
      <c r="L135" s="229">
        <v>0</v>
      </c>
      <c r="M135" s="228">
        <v>0</v>
      </c>
      <c r="N135" s="228">
        <v>0</v>
      </c>
      <c r="O135" s="228">
        <v>0</v>
      </c>
      <c r="P135" s="228">
        <v>0</v>
      </c>
      <c r="Q135" s="228">
        <v>0</v>
      </c>
      <c r="R135" s="228">
        <v>0</v>
      </c>
      <c r="S135" s="228">
        <v>0</v>
      </c>
      <c r="T135" s="228">
        <v>0</v>
      </c>
      <c r="U135" s="228">
        <v>0</v>
      </c>
      <c r="V135" s="228">
        <v>0</v>
      </c>
      <c r="W135" s="228">
        <v>0</v>
      </c>
      <c r="X135" s="228">
        <v>0</v>
      </c>
      <c r="Y135" s="228">
        <v>0</v>
      </c>
      <c r="Z135" s="228"/>
      <c r="AA135" s="228">
        <v>0</v>
      </c>
      <c r="AB135" s="228">
        <v>0</v>
      </c>
      <c r="AC135" s="228">
        <v>0</v>
      </c>
      <c r="AD135" s="228">
        <v>0</v>
      </c>
      <c r="AE135" s="228">
        <v>0</v>
      </c>
      <c r="AF135" s="228">
        <v>0</v>
      </c>
      <c r="AG135" s="228">
        <v>0</v>
      </c>
      <c r="AH135" s="228">
        <v>0</v>
      </c>
      <c r="AI135" s="228">
        <v>0</v>
      </c>
      <c r="AJ135" s="228">
        <v>0</v>
      </c>
      <c r="AK135" s="228">
        <v>0</v>
      </c>
      <c r="AL135" s="228">
        <v>0</v>
      </c>
      <c r="AM135" s="45"/>
      <c r="AN135" s="45"/>
      <c r="AO135" s="45"/>
      <c r="AP135" s="45"/>
      <c r="AQ135" s="45"/>
      <c r="AR135" s="45"/>
      <c r="AS135" s="45"/>
      <c r="AT135" s="45"/>
      <c r="AU135" s="45"/>
      <c r="AV135" s="45"/>
      <c r="AW135" s="45"/>
      <c r="AX135" s="45"/>
      <c r="AY135" s="45"/>
      <c r="AZ135" s="45"/>
      <c r="BA135" s="45"/>
      <c r="BB135" s="45"/>
      <c r="BC135" s="45"/>
      <c r="BD135" s="45"/>
      <c r="BE135" s="45"/>
      <c r="BF135" s="45"/>
      <c r="BG135" s="45"/>
      <c r="BH135" s="45"/>
      <c r="BI135" s="45"/>
      <c r="BJ135" s="45"/>
      <c r="BK135" s="45"/>
      <c r="BL135" s="45"/>
      <c r="BM135" s="45"/>
      <c r="BN135" s="45"/>
      <c r="BO135" s="45"/>
      <c r="BP135" s="45"/>
      <c r="BQ135" s="45"/>
      <c r="BR135" s="45"/>
      <c r="BS135" s="45"/>
      <c r="BT135" s="45"/>
      <c r="BU135" s="45"/>
      <c r="BV135" s="45"/>
      <c r="BW135" s="45"/>
      <c r="BX135" s="45"/>
      <c r="BY135" s="45"/>
      <c r="BZ135" s="45"/>
      <c r="CA135" s="45"/>
      <c r="CB135" s="45"/>
      <c r="CC135" s="45"/>
      <c r="CD135" s="45"/>
      <c r="CE135" s="45"/>
      <c r="CF135" s="45"/>
      <c r="CG135" s="45"/>
      <c r="CH135" s="45"/>
      <c r="CI135" s="45"/>
      <c r="CJ135" s="45"/>
      <c r="CK135" s="45"/>
      <c r="CL135" s="45"/>
      <c r="CM135" s="45"/>
      <c r="CN135" s="45"/>
      <c r="CO135" s="45"/>
      <c r="CP135" s="45"/>
      <c r="CQ135" s="45"/>
      <c r="CR135" s="45"/>
      <c r="CS135" s="45"/>
      <c r="CT135" s="45"/>
      <c r="CU135" s="45"/>
      <c r="CV135" s="45"/>
      <c r="CW135" s="45"/>
      <c r="CX135" s="24"/>
      <c r="CY135" s="24"/>
      <c r="CZ135" s="24"/>
      <c r="DA135" s="24"/>
      <c r="DB135" s="24"/>
      <c r="DC135" s="24"/>
      <c r="DD135" s="24"/>
      <c r="DE135" s="24"/>
      <c r="DF135" s="24"/>
      <c r="DG135" s="24"/>
      <c r="DH135" s="24"/>
      <c r="DI135" s="24"/>
      <c r="DJ135" s="24"/>
      <c r="DK135" s="24"/>
      <c r="DL135" s="24"/>
      <c r="DM135" s="24"/>
      <c r="DN135" s="24"/>
      <c r="DO135" s="24"/>
      <c r="DP135" s="24"/>
      <c r="DQ135" s="24"/>
      <c r="DR135" s="24"/>
      <c r="DS135" s="24"/>
      <c r="DT135" s="24"/>
      <c r="DU135" s="24"/>
      <c r="DV135" s="24"/>
      <c r="DW135" s="24"/>
      <c r="DX135" s="24"/>
      <c r="DY135" s="24"/>
      <c r="DZ135" s="24"/>
      <c r="EA135" s="24"/>
    </row>
    <row r="136" spans="1:131">
      <c r="A136" s="24"/>
      <c r="B136" s="24" t="s">
        <v>656</v>
      </c>
      <c r="C136" s="228">
        <v>0</v>
      </c>
      <c r="D136" s="228">
        <v>0</v>
      </c>
      <c r="E136" s="228">
        <v>0</v>
      </c>
      <c r="F136" s="228">
        <v>0</v>
      </c>
      <c r="G136" s="228">
        <v>0</v>
      </c>
      <c r="H136" s="228">
        <v>0</v>
      </c>
      <c r="I136" s="228">
        <v>0</v>
      </c>
      <c r="J136" s="228">
        <v>0</v>
      </c>
      <c r="K136" s="228">
        <v>0</v>
      </c>
      <c r="L136" s="229">
        <v>0</v>
      </c>
      <c r="M136" s="228">
        <v>0</v>
      </c>
      <c r="N136" s="228">
        <v>0</v>
      </c>
      <c r="O136" s="228">
        <v>0</v>
      </c>
      <c r="P136" s="228">
        <v>0</v>
      </c>
      <c r="Q136" s="228">
        <v>0</v>
      </c>
      <c r="R136" s="228">
        <v>0</v>
      </c>
      <c r="S136" s="228">
        <v>0</v>
      </c>
      <c r="T136" s="228">
        <v>0</v>
      </c>
      <c r="U136" s="228">
        <v>0</v>
      </c>
      <c r="V136" s="228">
        <v>0</v>
      </c>
      <c r="W136" s="228">
        <v>0</v>
      </c>
      <c r="X136" s="228">
        <v>0</v>
      </c>
      <c r="Y136" s="228">
        <v>0</v>
      </c>
      <c r="Z136" s="228"/>
      <c r="AA136" s="228">
        <v>0</v>
      </c>
      <c r="AB136" s="228">
        <v>0</v>
      </c>
      <c r="AC136" s="228">
        <v>0</v>
      </c>
      <c r="AD136" s="228">
        <v>0</v>
      </c>
      <c r="AE136" s="228">
        <v>0</v>
      </c>
      <c r="AF136" s="228">
        <v>0</v>
      </c>
      <c r="AG136" s="228">
        <v>0</v>
      </c>
      <c r="AH136" s="228">
        <v>0</v>
      </c>
      <c r="AI136" s="228">
        <v>0</v>
      </c>
      <c r="AJ136" s="228">
        <v>0</v>
      </c>
      <c r="AK136" s="228">
        <v>0</v>
      </c>
      <c r="AL136" s="228">
        <v>0</v>
      </c>
      <c r="AM136" s="45"/>
      <c r="AN136" s="45"/>
      <c r="AO136" s="45"/>
      <c r="AP136" s="45"/>
      <c r="AQ136" s="45"/>
      <c r="AR136" s="45"/>
      <c r="AS136" s="45"/>
      <c r="AT136" s="45"/>
      <c r="AU136" s="45"/>
      <c r="AV136" s="45"/>
      <c r="AW136" s="45"/>
      <c r="AX136" s="45"/>
      <c r="AY136" s="45"/>
      <c r="AZ136" s="45"/>
      <c r="BA136" s="45"/>
      <c r="BB136" s="45"/>
      <c r="BC136" s="45"/>
      <c r="BD136" s="45"/>
      <c r="BE136" s="45"/>
      <c r="BF136" s="45"/>
      <c r="BG136" s="45"/>
      <c r="BH136" s="45"/>
      <c r="BI136" s="45"/>
      <c r="BJ136" s="45"/>
      <c r="BK136" s="45"/>
      <c r="BL136" s="45"/>
      <c r="BM136" s="45"/>
      <c r="BN136" s="45"/>
      <c r="BO136" s="45"/>
      <c r="BP136" s="45"/>
      <c r="BQ136" s="45"/>
      <c r="BR136" s="45"/>
      <c r="BS136" s="45"/>
      <c r="BT136" s="45"/>
      <c r="BU136" s="45"/>
      <c r="BV136" s="45"/>
      <c r="BW136" s="45"/>
      <c r="BX136" s="45"/>
      <c r="BY136" s="45"/>
      <c r="BZ136" s="45"/>
      <c r="CA136" s="45"/>
      <c r="CB136" s="45"/>
      <c r="CC136" s="45"/>
      <c r="CD136" s="45"/>
      <c r="CE136" s="45"/>
      <c r="CF136" s="45"/>
      <c r="CG136" s="45"/>
      <c r="CH136" s="45"/>
      <c r="CI136" s="45"/>
      <c r="CJ136" s="45"/>
      <c r="CK136" s="45"/>
      <c r="CL136" s="45"/>
      <c r="CM136" s="45"/>
      <c r="CN136" s="45"/>
      <c r="CO136" s="45"/>
      <c r="CP136" s="45"/>
      <c r="CQ136" s="45"/>
      <c r="CR136" s="45"/>
      <c r="CS136" s="45"/>
      <c r="CT136" s="45"/>
      <c r="CU136" s="45"/>
      <c r="CV136" s="45"/>
      <c r="CW136" s="45"/>
      <c r="CX136" s="24"/>
      <c r="CY136" s="24"/>
      <c r="CZ136" s="24"/>
      <c r="DA136" s="24"/>
      <c r="DB136" s="24"/>
      <c r="DC136" s="24"/>
      <c r="DD136" s="24"/>
      <c r="DE136" s="24"/>
      <c r="DF136" s="24"/>
      <c r="DG136" s="24"/>
      <c r="DH136" s="24"/>
      <c r="DI136" s="24"/>
      <c r="DJ136" s="24"/>
      <c r="DK136" s="24"/>
      <c r="DL136" s="24"/>
      <c r="DM136" s="24"/>
      <c r="DN136" s="24"/>
      <c r="DO136" s="24"/>
      <c r="DP136" s="24"/>
      <c r="DQ136" s="24"/>
      <c r="DR136" s="24"/>
      <c r="DS136" s="24"/>
      <c r="DT136" s="24"/>
      <c r="DU136" s="24"/>
      <c r="DV136" s="24"/>
      <c r="DW136" s="24"/>
      <c r="DX136" s="24"/>
      <c r="DY136" s="24"/>
      <c r="DZ136" s="24"/>
      <c r="EA136" s="24"/>
    </row>
    <row r="137" spans="1:131">
      <c r="A137" s="24"/>
      <c r="B137" s="24" t="s">
        <v>657</v>
      </c>
      <c r="C137" s="228">
        <v>0</v>
      </c>
      <c r="D137" s="228">
        <v>0</v>
      </c>
      <c r="E137" s="228">
        <v>0</v>
      </c>
      <c r="F137" s="228">
        <v>0</v>
      </c>
      <c r="G137" s="228">
        <v>0</v>
      </c>
      <c r="H137" s="228">
        <v>0</v>
      </c>
      <c r="I137" s="228">
        <v>0</v>
      </c>
      <c r="J137" s="228">
        <v>0</v>
      </c>
      <c r="K137" s="228">
        <v>0</v>
      </c>
      <c r="L137" s="229">
        <v>0</v>
      </c>
      <c r="M137" s="228">
        <v>0</v>
      </c>
      <c r="N137" s="228">
        <v>0</v>
      </c>
      <c r="O137" s="228">
        <v>0</v>
      </c>
      <c r="P137" s="228">
        <v>0</v>
      </c>
      <c r="Q137" s="228">
        <v>0</v>
      </c>
      <c r="R137" s="228">
        <v>0</v>
      </c>
      <c r="S137" s="228">
        <v>0</v>
      </c>
      <c r="T137" s="228">
        <v>0</v>
      </c>
      <c r="U137" s="228">
        <v>0</v>
      </c>
      <c r="V137" s="228">
        <v>0</v>
      </c>
      <c r="W137" s="228">
        <v>0</v>
      </c>
      <c r="X137" s="228">
        <v>0</v>
      </c>
      <c r="Y137" s="228">
        <v>0</v>
      </c>
      <c r="Z137" s="228"/>
      <c r="AA137" s="228">
        <v>0</v>
      </c>
      <c r="AB137" s="228">
        <v>0</v>
      </c>
      <c r="AC137" s="228">
        <v>0</v>
      </c>
      <c r="AD137" s="228">
        <v>0</v>
      </c>
      <c r="AE137" s="228">
        <v>0</v>
      </c>
      <c r="AF137" s="228">
        <v>0</v>
      </c>
      <c r="AG137" s="228">
        <v>0</v>
      </c>
      <c r="AH137" s="228">
        <v>0</v>
      </c>
      <c r="AI137" s="228">
        <v>0</v>
      </c>
      <c r="AJ137" s="228">
        <v>0</v>
      </c>
      <c r="AK137" s="228">
        <v>0</v>
      </c>
      <c r="AL137" s="228">
        <v>0</v>
      </c>
      <c r="AM137" s="45"/>
      <c r="AN137" s="45"/>
      <c r="AO137" s="45"/>
      <c r="AP137" s="45"/>
      <c r="AQ137" s="45"/>
      <c r="AR137" s="45"/>
      <c r="AS137" s="45"/>
      <c r="AT137" s="45"/>
      <c r="AU137" s="45"/>
      <c r="AV137" s="45"/>
      <c r="AW137" s="45"/>
      <c r="AX137" s="45"/>
      <c r="AY137" s="45"/>
      <c r="AZ137" s="45"/>
      <c r="BA137" s="45"/>
      <c r="BB137" s="45"/>
      <c r="BC137" s="45"/>
      <c r="BD137" s="45"/>
      <c r="BE137" s="45"/>
      <c r="BF137" s="45"/>
      <c r="BG137" s="45"/>
      <c r="BH137" s="45"/>
      <c r="BI137" s="45"/>
      <c r="BJ137" s="45"/>
      <c r="BK137" s="45"/>
      <c r="BL137" s="45"/>
      <c r="BM137" s="45"/>
      <c r="BN137" s="45"/>
      <c r="BO137" s="45"/>
      <c r="BP137" s="45"/>
      <c r="BQ137" s="45"/>
      <c r="BR137" s="45"/>
      <c r="BS137" s="45"/>
      <c r="BT137" s="45"/>
      <c r="BU137" s="45"/>
      <c r="BV137" s="45"/>
      <c r="BW137" s="45"/>
      <c r="BX137" s="45"/>
      <c r="BY137" s="45"/>
      <c r="BZ137" s="45"/>
      <c r="CA137" s="45"/>
      <c r="CB137" s="45"/>
      <c r="CC137" s="45"/>
      <c r="CD137" s="45"/>
      <c r="CE137" s="45"/>
      <c r="CF137" s="45"/>
      <c r="CG137" s="45"/>
      <c r="CH137" s="45"/>
      <c r="CI137" s="45"/>
      <c r="CJ137" s="45"/>
      <c r="CK137" s="45"/>
      <c r="CL137" s="45"/>
      <c r="CM137" s="45"/>
      <c r="CN137" s="45"/>
      <c r="CO137" s="45"/>
      <c r="CP137" s="45"/>
      <c r="CQ137" s="45"/>
      <c r="CR137" s="45"/>
      <c r="CS137" s="45"/>
      <c r="CT137" s="45"/>
      <c r="CU137" s="45"/>
      <c r="CV137" s="45"/>
      <c r="CW137" s="45"/>
      <c r="CX137" s="24"/>
      <c r="CY137" s="24"/>
      <c r="CZ137" s="24"/>
      <c r="DA137" s="24"/>
      <c r="DB137" s="24"/>
      <c r="DC137" s="24"/>
      <c r="DD137" s="24"/>
      <c r="DE137" s="24"/>
      <c r="DF137" s="24"/>
      <c r="DG137" s="24"/>
      <c r="DH137" s="24"/>
      <c r="DI137" s="24"/>
      <c r="DJ137" s="24"/>
      <c r="DK137" s="24"/>
      <c r="DL137" s="24"/>
      <c r="DM137" s="24"/>
      <c r="DN137" s="24"/>
      <c r="DO137" s="24"/>
      <c r="DP137" s="24"/>
      <c r="DQ137" s="24"/>
      <c r="DR137" s="24"/>
      <c r="DS137" s="24"/>
      <c r="DT137" s="24"/>
      <c r="DU137" s="24"/>
      <c r="DV137" s="24"/>
      <c r="DW137" s="24"/>
      <c r="DX137" s="24"/>
      <c r="DY137" s="24"/>
      <c r="DZ137" s="24"/>
      <c r="EA137" s="24"/>
    </row>
    <row r="138" spans="1:131">
      <c r="A138" s="24"/>
      <c r="B138" s="24" t="s">
        <v>658</v>
      </c>
      <c r="C138" s="228">
        <v>0</v>
      </c>
      <c r="D138" s="228">
        <v>0</v>
      </c>
      <c r="E138" s="228">
        <v>0</v>
      </c>
      <c r="F138" s="228">
        <v>0</v>
      </c>
      <c r="G138" s="228">
        <v>0</v>
      </c>
      <c r="H138" s="228">
        <v>0</v>
      </c>
      <c r="I138" s="228">
        <v>0</v>
      </c>
      <c r="J138" s="228">
        <v>0</v>
      </c>
      <c r="K138" s="228">
        <v>0</v>
      </c>
      <c r="L138" s="229">
        <v>0</v>
      </c>
      <c r="M138" s="228">
        <v>0</v>
      </c>
      <c r="N138" s="228">
        <v>0</v>
      </c>
      <c r="O138" s="228">
        <v>0</v>
      </c>
      <c r="P138" s="228">
        <v>0</v>
      </c>
      <c r="Q138" s="228">
        <v>0</v>
      </c>
      <c r="R138" s="228">
        <v>0</v>
      </c>
      <c r="S138" s="228">
        <v>0</v>
      </c>
      <c r="T138" s="228">
        <v>0</v>
      </c>
      <c r="U138" s="228">
        <v>0</v>
      </c>
      <c r="V138" s="228">
        <v>0</v>
      </c>
      <c r="W138" s="228">
        <v>0</v>
      </c>
      <c r="X138" s="228">
        <v>0</v>
      </c>
      <c r="Y138" s="228">
        <v>0</v>
      </c>
      <c r="Z138" s="228"/>
      <c r="AA138" s="228">
        <v>0</v>
      </c>
      <c r="AB138" s="228">
        <v>0</v>
      </c>
      <c r="AC138" s="228">
        <v>0</v>
      </c>
      <c r="AD138" s="228">
        <v>0</v>
      </c>
      <c r="AE138" s="228">
        <v>0</v>
      </c>
      <c r="AF138" s="228">
        <v>0</v>
      </c>
      <c r="AG138" s="228">
        <v>0</v>
      </c>
      <c r="AH138" s="228">
        <v>0</v>
      </c>
      <c r="AI138" s="228">
        <v>0</v>
      </c>
      <c r="AJ138" s="228">
        <v>0</v>
      </c>
      <c r="AK138" s="228">
        <v>0</v>
      </c>
      <c r="AL138" s="228">
        <v>0</v>
      </c>
      <c r="AM138" s="45"/>
      <c r="AN138" s="45"/>
      <c r="AO138" s="45"/>
      <c r="AP138" s="45"/>
      <c r="AQ138" s="45"/>
      <c r="AR138" s="45"/>
      <c r="AS138" s="45"/>
      <c r="AT138" s="45"/>
      <c r="AU138" s="45"/>
      <c r="AV138" s="45"/>
      <c r="AW138" s="45"/>
      <c r="AX138" s="45"/>
      <c r="AY138" s="45"/>
      <c r="AZ138" s="45"/>
      <c r="BA138" s="45"/>
      <c r="BB138" s="45"/>
      <c r="BC138" s="45"/>
      <c r="BD138" s="45"/>
      <c r="BE138" s="45"/>
      <c r="BF138" s="45"/>
      <c r="BG138" s="45"/>
      <c r="BH138" s="45"/>
      <c r="BI138" s="45"/>
      <c r="BJ138" s="45"/>
      <c r="BK138" s="45"/>
      <c r="BL138" s="45"/>
      <c r="BM138" s="45"/>
      <c r="BN138" s="45"/>
      <c r="BO138" s="45"/>
      <c r="BP138" s="45"/>
      <c r="BQ138" s="45"/>
      <c r="BR138" s="45"/>
      <c r="BS138" s="45"/>
      <c r="BT138" s="45"/>
      <c r="BU138" s="45"/>
      <c r="BV138" s="45"/>
      <c r="BW138" s="45"/>
      <c r="BX138" s="45"/>
      <c r="BY138" s="45"/>
      <c r="BZ138" s="45"/>
      <c r="CA138" s="45"/>
      <c r="CB138" s="45"/>
      <c r="CC138" s="45"/>
      <c r="CD138" s="45"/>
      <c r="CE138" s="45"/>
      <c r="CF138" s="45"/>
      <c r="CG138" s="45"/>
      <c r="CH138" s="45"/>
      <c r="CI138" s="45"/>
      <c r="CJ138" s="45"/>
      <c r="CK138" s="45"/>
      <c r="CL138" s="45"/>
      <c r="CM138" s="45"/>
      <c r="CN138" s="45"/>
      <c r="CO138" s="45"/>
      <c r="CP138" s="45"/>
      <c r="CQ138" s="45"/>
      <c r="CR138" s="45"/>
      <c r="CS138" s="45"/>
      <c r="CT138" s="45"/>
      <c r="CU138" s="45"/>
      <c r="CV138" s="45"/>
      <c r="CW138" s="45"/>
      <c r="CX138" s="24"/>
      <c r="CY138" s="24"/>
      <c r="CZ138" s="24"/>
      <c r="DA138" s="24"/>
      <c r="DB138" s="24"/>
      <c r="DC138" s="24"/>
      <c r="DD138" s="24"/>
      <c r="DE138" s="24"/>
      <c r="DF138" s="24"/>
      <c r="DG138" s="24"/>
      <c r="DH138" s="24"/>
      <c r="DI138" s="24"/>
      <c r="DJ138" s="24"/>
      <c r="DK138" s="24"/>
      <c r="DL138" s="24"/>
      <c r="DM138" s="24"/>
      <c r="DN138" s="24"/>
      <c r="DO138" s="24"/>
      <c r="DP138" s="24"/>
      <c r="DQ138" s="24"/>
      <c r="DR138" s="24"/>
      <c r="DS138" s="24"/>
      <c r="DT138" s="24"/>
      <c r="DU138" s="24"/>
      <c r="DV138" s="24"/>
      <c r="DW138" s="24"/>
      <c r="DX138" s="24"/>
      <c r="DY138" s="24"/>
      <c r="DZ138" s="24"/>
      <c r="EA138" s="24"/>
    </row>
    <row r="139" spans="1:131">
      <c r="A139" s="24"/>
      <c r="B139" s="24" t="s">
        <v>659</v>
      </c>
      <c r="C139" s="228">
        <v>0</v>
      </c>
      <c r="D139" s="228">
        <v>0</v>
      </c>
      <c r="E139" s="228">
        <v>0</v>
      </c>
      <c r="F139" s="228">
        <v>0</v>
      </c>
      <c r="G139" s="228">
        <v>0</v>
      </c>
      <c r="H139" s="228">
        <v>0</v>
      </c>
      <c r="I139" s="228">
        <v>0</v>
      </c>
      <c r="J139" s="228">
        <v>0</v>
      </c>
      <c r="K139" s="228">
        <v>0</v>
      </c>
      <c r="L139" s="229">
        <v>0</v>
      </c>
      <c r="M139" s="228">
        <v>0</v>
      </c>
      <c r="N139" s="228">
        <v>0</v>
      </c>
      <c r="O139" s="228">
        <v>0</v>
      </c>
      <c r="P139" s="228">
        <v>0</v>
      </c>
      <c r="Q139" s="228">
        <v>0</v>
      </c>
      <c r="R139" s="228">
        <v>0</v>
      </c>
      <c r="S139" s="228">
        <v>0</v>
      </c>
      <c r="T139" s="228">
        <v>0</v>
      </c>
      <c r="U139" s="228">
        <v>0</v>
      </c>
      <c r="V139" s="228">
        <v>0</v>
      </c>
      <c r="W139" s="228">
        <v>0</v>
      </c>
      <c r="X139" s="228">
        <v>0</v>
      </c>
      <c r="Y139" s="228">
        <v>0</v>
      </c>
      <c r="Z139" s="228"/>
      <c r="AA139" s="228">
        <v>0</v>
      </c>
      <c r="AB139" s="228">
        <v>0</v>
      </c>
      <c r="AC139" s="228">
        <v>0</v>
      </c>
      <c r="AD139" s="228">
        <v>0</v>
      </c>
      <c r="AE139" s="228">
        <v>0</v>
      </c>
      <c r="AF139" s="228">
        <v>0</v>
      </c>
      <c r="AG139" s="228">
        <v>0</v>
      </c>
      <c r="AH139" s="228">
        <v>0</v>
      </c>
      <c r="AI139" s="228">
        <v>0</v>
      </c>
      <c r="AJ139" s="228">
        <v>0</v>
      </c>
      <c r="AK139" s="228">
        <v>0</v>
      </c>
      <c r="AL139" s="228">
        <v>0</v>
      </c>
      <c r="AM139" s="45"/>
      <c r="AN139" s="45"/>
      <c r="AO139" s="45"/>
      <c r="AP139" s="45"/>
      <c r="AQ139" s="45"/>
      <c r="AR139" s="45"/>
      <c r="AS139" s="45"/>
      <c r="AT139" s="45"/>
      <c r="AU139" s="45"/>
      <c r="AV139" s="45"/>
      <c r="AW139" s="45"/>
      <c r="AX139" s="45"/>
      <c r="AY139" s="45"/>
      <c r="AZ139" s="45"/>
      <c r="BA139" s="45"/>
      <c r="BB139" s="45"/>
      <c r="BC139" s="45"/>
      <c r="BD139" s="45"/>
      <c r="BE139" s="45"/>
      <c r="BF139" s="45"/>
      <c r="BG139" s="45"/>
      <c r="BH139" s="45"/>
      <c r="BI139" s="45"/>
      <c r="BJ139" s="45"/>
      <c r="BK139" s="45"/>
      <c r="BL139" s="45"/>
      <c r="BM139" s="45"/>
      <c r="BN139" s="45"/>
      <c r="BO139" s="45"/>
      <c r="BP139" s="45"/>
      <c r="BQ139" s="45"/>
      <c r="BR139" s="45"/>
      <c r="BS139" s="45"/>
      <c r="BT139" s="45"/>
      <c r="BU139" s="45"/>
      <c r="BV139" s="45"/>
      <c r="BW139" s="45"/>
      <c r="BX139" s="45"/>
      <c r="BY139" s="45"/>
      <c r="BZ139" s="45"/>
      <c r="CA139" s="45"/>
      <c r="CB139" s="45"/>
      <c r="CC139" s="45"/>
      <c r="CD139" s="45"/>
      <c r="CE139" s="45"/>
      <c r="CF139" s="45"/>
      <c r="CG139" s="45"/>
      <c r="CH139" s="45"/>
      <c r="CI139" s="45"/>
      <c r="CJ139" s="45"/>
      <c r="CK139" s="45"/>
      <c r="CL139" s="45"/>
      <c r="CM139" s="45"/>
      <c r="CN139" s="45"/>
      <c r="CO139" s="45"/>
      <c r="CP139" s="45"/>
      <c r="CQ139" s="45"/>
      <c r="CR139" s="45"/>
      <c r="CS139" s="45"/>
      <c r="CT139" s="45"/>
      <c r="CU139" s="45"/>
      <c r="CV139" s="45"/>
      <c r="CW139" s="45"/>
      <c r="CX139" s="24"/>
      <c r="CY139" s="24"/>
      <c r="CZ139" s="24"/>
      <c r="DA139" s="24"/>
      <c r="DB139" s="24"/>
      <c r="DC139" s="24"/>
      <c r="DD139" s="24"/>
      <c r="DE139" s="24"/>
      <c r="DF139" s="24"/>
      <c r="DG139" s="24"/>
      <c r="DH139" s="24"/>
      <c r="DI139" s="24"/>
      <c r="DJ139" s="24"/>
      <c r="DK139" s="24"/>
      <c r="DL139" s="24"/>
      <c r="DM139" s="24"/>
      <c r="DN139" s="24"/>
      <c r="DO139" s="24"/>
      <c r="DP139" s="24"/>
      <c r="DQ139" s="24"/>
      <c r="DR139" s="24"/>
      <c r="DS139" s="24"/>
      <c r="DT139" s="24"/>
      <c r="DU139" s="24"/>
      <c r="DV139" s="24"/>
      <c r="DW139" s="24"/>
      <c r="DX139" s="24"/>
      <c r="DY139" s="24"/>
      <c r="DZ139" s="24"/>
      <c r="EA139" s="24"/>
    </row>
    <row r="140" spans="1:131">
      <c r="A140" s="24"/>
      <c r="B140" s="24" t="s">
        <v>660</v>
      </c>
      <c r="C140" s="228">
        <v>0</v>
      </c>
      <c r="D140" s="228">
        <v>0</v>
      </c>
      <c r="E140" s="228">
        <v>0</v>
      </c>
      <c r="F140" s="228">
        <v>0</v>
      </c>
      <c r="G140" s="228">
        <v>0</v>
      </c>
      <c r="H140" s="228">
        <v>0</v>
      </c>
      <c r="I140" s="228">
        <v>0</v>
      </c>
      <c r="J140" s="228">
        <v>0</v>
      </c>
      <c r="K140" s="228">
        <v>0</v>
      </c>
      <c r="L140" s="229">
        <v>0</v>
      </c>
      <c r="M140" s="228">
        <v>0</v>
      </c>
      <c r="N140" s="228">
        <v>0</v>
      </c>
      <c r="O140" s="228">
        <v>0</v>
      </c>
      <c r="P140" s="228">
        <v>0</v>
      </c>
      <c r="Q140" s="228">
        <v>0</v>
      </c>
      <c r="R140" s="228">
        <v>0</v>
      </c>
      <c r="S140" s="228">
        <v>0</v>
      </c>
      <c r="T140" s="228">
        <v>0</v>
      </c>
      <c r="U140" s="228">
        <v>0</v>
      </c>
      <c r="V140" s="228">
        <v>0</v>
      </c>
      <c r="W140" s="228">
        <v>0</v>
      </c>
      <c r="X140" s="228">
        <v>0</v>
      </c>
      <c r="Y140" s="228">
        <v>0</v>
      </c>
      <c r="Z140" s="228"/>
      <c r="AA140" s="228">
        <v>0</v>
      </c>
      <c r="AB140" s="228">
        <v>0</v>
      </c>
      <c r="AC140" s="228">
        <v>0</v>
      </c>
      <c r="AD140" s="228">
        <v>0</v>
      </c>
      <c r="AE140" s="228">
        <v>0</v>
      </c>
      <c r="AF140" s="228">
        <v>0</v>
      </c>
      <c r="AG140" s="228">
        <v>0</v>
      </c>
      <c r="AH140" s="228">
        <v>0</v>
      </c>
      <c r="AI140" s="228">
        <v>0</v>
      </c>
      <c r="AJ140" s="228">
        <v>0</v>
      </c>
      <c r="AK140" s="228">
        <v>0</v>
      </c>
      <c r="AL140" s="228">
        <v>0</v>
      </c>
      <c r="AM140" s="45"/>
      <c r="AN140" s="45"/>
      <c r="AO140" s="45"/>
      <c r="AP140" s="45"/>
      <c r="AQ140" s="45"/>
      <c r="AR140" s="45"/>
      <c r="AS140" s="45"/>
      <c r="AT140" s="45"/>
      <c r="AU140" s="45"/>
      <c r="AV140" s="45"/>
      <c r="AW140" s="45"/>
      <c r="AX140" s="45"/>
      <c r="AY140" s="45"/>
      <c r="AZ140" s="45"/>
      <c r="BA140" s="45"/>
      <c r="BB140" s="45"/>
      <c r="BC140" s="45"/>
      <c r="BD140" s="45"/>
      <c r="BE140" s="45"/>
      <c r="BF140" s="45"/>
      <c r="BG140" s="45"/>
      <c r="BH140" s="45"/>
      <c r="BI140" s="45"/>
      <c r="BJ140" s="45"/>
      <c r="BK140" s="45"/>
      <c r="BL140" s="45"/>
      <c r="BM140" s="45"/>
      <c r="BN140" s="45"/>
      <c r="BO140" s="45"/>
      <c r="BP140" s="45"/>
      <c r="BQ140" s="45"/>
      <c r="BR140" s="45"/>
      <c r="BS140" s="45"/>
      <c r="BT140" s="45"/>
      <c r="BU140" s="45"/>
      <c r="BV140" s="45"/>
      <c r="BW140" s="45"/>
      <c r="BX140" s="45"/>
      <c r="BY140" s="45"/>
      <c r="BZ140" s="45"/>
      <c r="CA140" s="45"/>
      <c r="CB140" s="45"/>
      <c r="CC140" s="45"/>
      <c r="CD140" s="45"/>
      <c r="CE140" s="45"/>
      <c r="CF140" s="45"/>
      <c r="CG140" s="45"/>
      <c r="CH140" s="45"/>
      <c r="CI140" s="45"/>
      <c r="CJ140" s="45"/>
      <c r="CK140" s="45"/>
      <c r="CL140" s="45"/>
      <c r="CM140" s="45"/>
      <c r="CN140" s="45"/>
      <c r="CO140" s="45"/>
      <c r="CP140" s="45"/>
      <c r="CQ140" s="45"/>
      <c r="CR140" s="45"/>
      <c r="CS140" s="45"/>
      <c r="CT140" s="45"/>
      <c r="CU140" s="45"/>
      <c r="CV140" s="45"/>
      <c r="CW140" s="45"/>
      <c r="CX140" s="24"/>
      <c r="CY140" s="24"/>
      <c r="CZ140" s="24"/>
      <c r="DA140" s="24"/>
      <c r="DB140" s="24"/>
      <c r="DC140" s="24"/>
      <c r="DD140" s="24"/>
      <c r="DE140" s="24"/>
      <c r="DF140" s="24"/>
      <c r="DG140" s="24"/>
      <c r="DH140" s="24"/>
      <c r="DI140" s="24"/>
      <c r="DJ140" s="24"/>
      <c r="DK140" s="24"/>
      <c r="DL140" s="24"/>
      <c r="DM140" s="24"/>
      <c r="DN140" s="24"/>
      <c r="DO140" s="24"/>
      <c r="DP140" s="24"/>
      <c r="DQ140" s="24"/>
      <c r="DR140" s="24"/>
      <c r="DS140" s="24"/>
      <c r="DT140" s="24"/>
      <c r="DU140" s="24"/>
      <c r="DV140" s="24"/>
      <c r="DW140" s="24"/>
      <c r="DX140" s="24"/>
      <c r="DY140" s="24"/>
      <c r="DZ140" s="24"/>
      <c r="EA140" s="24"/>
    </row>
    <row r="141" spans="1:131">
      <c r="A141" s="24"/>
      <c r="B141" s="24" t="s">
        <v>661</v>
      </c>
      <c r="C141" s="228">
        <v>0</v>
      </c>
      <c r="D141" s="228">
        <v>0</v>
      </c>
      <c r="E141" s="228">
        <v>0</v>
      </c>
      <c r="F141" s="228">
        <v>0</v>
      </c>
      <c r="G141" s="228">
        <v>0</v>
      </c>
      <c r="H141" s="228">
        <v>0</v>
      </c>
      <c r="I141" s="228">
        <v>0</v>
      </c>
      <c r="J141" s="228">
        <v>0</v>
      </c>
      <c r="K141" s="228">
        <v>0</v>
      </c>
      <c r="L141" s="229">
        <v>0</v>
      </c>
      <c r="M141" s="228">
        <v>0</v>
      </c>
      <c r="N141" s="228">
        <v>0</v>
      </c>
      <c r="O141" s="228">
        <v>0</v>
      </c>
      <c r="P141" s="228">
        <v>0</v>
      </c>
      <c r="Q141" s="228">
        <v>0</v>
      </c>
      <c r="R141" s="228">
        <v>0</v>
      </c>
      <c r="S141" s="228">
        <v>0</v>
      </c>
      <c r="T141" s="228">
        <v>0</v>
      </c>
      <c r="U141" s="228">
        <v>0</v>
      </c>
      <c r="V141" s="228">
        <v>0</v>
      </c>
      <c r="W141" s="228">
        <v>0</v>
      </c>
      <c r="X141" s="228">
        <v>0</v>
      </c>
      <c r="Y141" s="228">
        <v>0</v>
      </c>
      <c r="Z141" s="228"/>
      <c r="AA141" s="228">
        <v>0</v>
      </c>
      <c r="AB141" s="228">
        <v>0</v>
      </c>
      <c r="AC141" s="228">
        <v>0</v>
      </c>
      <c r="AD141" s="228">
        <v>0</v>
      </c>
      <c r="AE141" s="228">
        <v>0</v>
      </c>
      <c r="AF141" s="228">
        <v>0</v>
      </c>
      <c r="AG141" s="228">
        <v>0</v>
      </c>
      <c r="AH141" s="228">
        <v>0</v>
      </c>
      <c r="AI141" s="228">
        <v>0</v>
      </c>
      <c r="AJ141" s="228">
        <v>0</v>
      </c>
      <c r="AK141" s="228">
        <v>0</v>
      </c>
      <c r="AL141" s="228">
        <v>0</v>
      </c>
      <c r="AM141" s="45"/>
      <c r="AN141" s="45"/>
      <c r="AO141" s="45"/>
      <c r="AP141" s="45"/>
      <c r="AQ141" s="45"/>
      <c r="AR141" s="45"/>
      <c r="AS141" s="45"/>
      <c r="AT141" s="45"/>
      <c r="AU141" s="45"/>
      <c r="AV141" s="45"/>
      <c r="AW141" s="45"/>
      <c r="AX141" s="45"/>
      <c r="AY141" s="45"/>
      <c r="AZ141" s="45"/>
      <c r="BA141" s="45"/>
      <c r="BB141" s="45"/>
      <c r="BC141" s="45"/>
      <c r="BD141" s="45"/>
      <c r="BE141" s="45"/>
      <c r="BF141" s="45"/>
      <c r="BG141" s="45"/>
      <c r="BH141" s="45"/>
      <c r="BI141" s="45"/>
      <c r="BJ141" s="45"/>
      <c r="BK141" s="45"/>
      <c r="BL141" s="45"/>
      <c r="BM141" s="45"/>
      <c r="BN141" s="45"/>
      <c r="BO141" s="45"/>
      <c r="BP141" s="45"/>
      <c r="BQ141" s="45"/>
      <c r="BR141" s="45"/>
      <c r="BS141" s="45"/>
      <c r="BT141" s="45"/>
      <c r="BU141" s="45"/>
      <c r="BV141" s="45"/>
      <c r="BW141" s="45"/>
      <c r="BX141" s="45"/>
      <c r="BY141" s="45"/>
      <c r="BZ141" s="45"/>
      <c r="CA141" s="45"/>
      <c r="CB141" s="45"/>
      <c r="CC141" s="45"/>
      <c r="CD141" s="45"/>
      <c r="CE141" s="45"/>
      <c r="CF141" s="45"/>
      <c r="CG141" s="45"/>
      <c r="CH141" s="45"/>
      <c r="CI141" s="45"/>
      <c r="CJ141" s="45"/>
      <c r="CK141" s="45"/>
      <c r="CL141" s="45"/>
      <c r="CM141" s="45"/>
      <c r="CN141" s="45"/>
      <c r="CO141" s="45"/>
      <c r="CP141" s="45"/>
      <c r="CQ141" s="45"/>
      <c r="CR141" s="45"/>
      <c r="CS141" s="45"/>
      <c r="CT141" s="45"/>
      <c r="CU141" s="45"/>
      <c r="CV141" s="45"/>
      <c r="CW141" s="45"/>
      <c r="CX141" s="24"/>
      <c r="CY141" s="24"/>
      <c r="CZ141" s="24"/>
      <c r="DA141" s="24"/>
      <c r="DB141" s="24"/>
      <c r="DC141" s="24"/>
      <c r="DD141" s="24"/>
      <c r="DE141" s="24"/>
      <c r="DF141" s="24"/>
      <c r="DG141" s="24"/>
      <c r="DH141" s="24"/>
      <c r="DI141" s="24"/>
      <c r="DJ141" s="24"/>
      <c r="DK141" s="24"/>
      <c r="DL141" s="24"/>
      <c r="DM141" s="24"/>
      <c r="DN141" s="24"/>
      <c r="DO141" s="24"/>
      <c r="DP141" s="24"/>
      <c r="DQ141" s="24"/>
      <c r="DR141" s="24"/>
      <c r="DS141" s="24"/>
      <c r="DT141" s="24"/>
      <c r="DU141" s="24"/>
      <c r="DV141" s="24"/>
      <c r="DW141" s="24"/>
      <c r="DX141" s="24"/>
      <c r="DY141" s="24"/>
      <c r="DZ141" s="24"/>
      <c r="EA141" s="24"/>
    </row>
    <row r="142" spans="1:131">
      <c r="A142" s="24"/>
      <c r="B142" s="24" t="s">
        <v>662</v>
      </c>
      <c r="C142" s="228">
        <v>0</v>
      </c>
      <c r="D142" s="228">
        <v>0</v>
      </c>
      <c r="E142" s="228">
        <v>0</v>
      </c>
      <c r="F142" s="228">
        <v>0</v>
      </c>
      <c r="G142" s="228">
        <v>0</v>
      </c>
      <c r="H142" s="228">
        <v>0</v>
      </c>
      <c r="I142" s="228">
        <v>0</v>
      </c>
      <c r="J142" s="228">
        <v>0</v>
      </c>
      <c r="K142" s="228">
        <v>0</v>
      </c>
      <c r="L142" s="229">
        <v>0</v>
      </c>
      <c r="M142" s="228">
        <v>0</v>
      </c>
      <c r="N142" s="228">
        <v>0</v>
      </c>
      <c r="O142" s="228">
        <v>0</v>
      </c>
      <c r="P142" s="228">
        <v>0</v>
      </c>
      <c r="Q142" s="228">
        <v>0</v>
      </c>
      <c r="R142" s="228">
        <v>0</v>
      </c>
      <c r="S142" s="228">
        <v>0</v>
      </c>
      <c r="T142" s="228">
        <v>0</v>
      </c>
      <c r="U142" s="228">
        <v>0</v>
      </c>
      <c r="V142" s="228">
        <v>0</v>
      </c>
      <c r="W142" s="228">
        <v>0</v>
      </c>
      <c r="X142" s="228">
        <v>0</v>
      </c>
      <c r="Y142" s="228">
        <v>0</v>
      </c>
      <c r="Z142" s="228"/>
      <c r="AA142" s="228">
        <v>0</v>
      </c>
      <c r="AB142" s="228">
        <v>0</v>
      </c>
      <c r="AC142" s="228">
        <v>0</v>
      </c>
      <c r="AD142" s="228">
        <v>0</v>
      </c>
      <c r="AE142" s="228">
        <v>0</v>
      </c>
      <c r="AF142" s="228">
        <v>0</v>
      </c>
      <c r="AG142" s="228">
        <v>0</v>
      </c>
      <c r="AH142" s="228">
        <v>0</v>
      </c>
      <c r="AI142" s="228">
        <v>0</v>
      </c>
      <c r="AJ142" s="228">
        <v>0</v>
      </c>
      <c r="AK142" s="228">
        <v>0</v>
      </c>
      <c r="AL142" s="228">
        <v>0</v>
      </c>
      <c r="AM142" s="45"/>
      <c r="AN142" s="45"/>
      <c r="AO142" s="45"/>
      <c r="AP142" s="45"/>
      <c r="AQ142" s="45"/>
      <c r="AR142" s="45"/>
      <c r="AS142" s="45"/>
      <c r="AT142" s="45"/>
      <c r="AU142" s="45"/>
      <c r="AV142" s="45"/>
      <c r="AW142" s="45"/>
      <c r="AX142" s="45"/>
      <c r="AY142" s="45"/>
      <c r="AZ142" s="45"/>
      <c r="BA142" s="45"/>
      <c r="BB142" s="45"/>
      <c r="BC142" s="45"/>
      <c r="BD142" s="45"/>
      <c r="BE142" s="45"/>
      <c r="BF142" s="45"/>
      <c r="BG142" s="45"/>
      <c r="BH142" s="45"/>
      <c r="BI142" s="45"/>
      <c r="BJ142" s="45"/>
      <c r="BK142" s="45"/>
      <c r="BL142" s="45"/>
      <c r="BM142" s="45"/>
      <c r="BN142" s="45"/>
      <c r="BO142" s="45"/>
      <c r="BP142" s="45"/>
      <c r="BQ142" s="45"/>
      <c r="BR142" s="45"/>
      <c r="BS142" s="45"/>
      <c r="BT142" s="45"/>
      <c r="BU142" s="45"/>
      <c r="BV142" s="45"/>
      <c r="BW142" s="45"/>
      <c r="BX142" s="45"/>
      <c r="BY142" s="45"/>
      <c r="BZ142" s="45"/>
      <c r="CA142" s="45"/>
      <c r="CB142" s="45"/>
      <c r="CC142" s="45"/>
      <c r="CD142" s="45"/>
      <c r="CE142" s="45"/>
      <c r="CF142" s="45"/>
      <c r="CG142" s="45"/>
      <c r="CH142" s="45"/>
      <c r="CI142" s="45"/>
      <c r="CJ142" s="45"/>
      <c r="CK142" s="45"/>
      <c r="CL142" s="45"/>
      <c r="CM142" s="45"/>
      <c r="CN142" s="45"/>
      <c r="CO142" s="45"/>
      <c r="CP142" s="45"/>
      <c r="CQ142" s="45"/>
      <c r="CR142" s="45"/>
      <c r="CS142" s="45"/>
      <c r="CT142" s="45"/>
      <c r="CU142" s="45"/>
      <c r="CV142" s="45"/>
      <c r="CW142" s="45"/>
      <c r="CX142" s="24"/>
      <c r="CY142" s="24"/>
      <c r="CZ142" s="24"/>
      <c r="DA142" s="24"/>
      <c r="DB142" s="24"/>
      <c r="DC142" s="24"/>
      <c r="DD142" s="24"/>
      <c r="DE142" s="24"/>
      <c r="DF142" s="24"/>
      <c r="DG142" s="24"/>
      <c r="DH142" s="24"/>
      <c r="DI142" s="24"/>
      <c r="DJ142" s="24"/>
      <c r="DK142" s="24"/>
      <c r="DL142" s="24"/>
      <c r="DM142" s="24"/>
      <c r="DN142" s="24"/>
      <c r="DO142" s="24"/>
      <c r="DP142" s="24"/>
      <c r="DQ142" s="24"/>
      <c r="DR142" s="24"/>
      <c r="DS142" s="24"/>
      <c r="DT142" s="24"/>
      <c r="DU142" s="24"/>
      <c r="DV142" s="24"/>
      <c r="DW142" s="24"/>
      <c r="DX142" s="24"/>
      <c r="DY142" s="24"/>
      <c r="DZ142" s="24"/>
      <c r="EA142" s="24"/>
    </row>
    <row r="143" spans="1:131">
      <c r="A143" s="24"/>
      <c r="B143" s="24"/>
      <c r="C143" s="45"/>
      <c r="D143" s="45"/>
      <c r="E143" s="45"/>
      <c r="F143" s="45"/>
      <c r="G143" s="45"/>
      <c r="H143" s="45"/>
      <c r="I143" s="45"/>
      <c r="J143" s="45"/>
      <c r="K143" s="45"/>
      <c r="L143" s="45"/>
      <c r="M143" s="45"/>
      <c r="N143" s="45"/>
      <c r="O143" s="45"/>
      <c r="P143" s="45"/>
      <c r="Q143" s="45"/>
      <c r="R143" s="45"/>
      <c r="S143" s="45"/>
      <c r="T143" s="45"/>
      <c r="U143" s="45"/>
      <c r="V143" s="45"/>
      <c r="W143" s="45"/>
      <c r="X143" s="45"/>
      <c r="Y143" s="45"/>
      <c r="Z143" s="45"/>
      <c r="AA143" s="45"/>
      <c r="AB143" s="45"/>
      <c r="AC143" s="45"/>
      <c r="AD143" s="45"/>
      <c r="AE143" s="45"/>
      <c r="AF143" s="45"/>
      <c r="AG143" s="45"/>
      <c r="AH143" s="45"/>
      <c r="AI143" s="45"/>
      <c r="AJ143" s="45"/>
      <c r="AK143" s="45"/>
      <c r="AL143" s="45"/>
      <c r="AM143" s="45"/>
      <c r="AN143" s="45"/>
      <c r="AO143" s="45"/>
      <c r="AP143" s="45"/>
      <c r="AQ143" s="45"/>
      <c r="AR143" s="45"/>
      <c r="AS143" s="45"/>
      <c r="AT143" s="45"/>
      <c r="AU143" s="45"/>
      <c r="AV143" s="45"/>
      <c r="AW143" s="45"/>
      <c r="AX143" s="45"/>
      <c r="AY143" s="45"/>
      <c r="AZ143" s="45"/>
      <c r="BA143" s="45"/>
      <c r="BB143" s="45"/>
      <c r="BC143" s="45"/>
      <c r="BD143" s="45"/>
      <c r="BE143" s="45"/>
      <c r="BF143" s="45"/>
      <c r="BG143" s="45"/>
      <c r="BH143" s="45"/>
      <c r="BI143" s="45"/>
      <c r="BJ143" s="45"/>
      <c r="BK143" s="45"/>
      <c r="BL143" s="45"/>
      <c r="BM143" s="45"/>
      <c r="BN143" s="45"/>
      <c r="BO143" s="45"/>
      <c r="BP143" s="45"/>
      <c r="BQ143" s="45"/>
      <c r="BR143" s="45"/>
      <c r="BS143" s="45"/>
      <c r="BT143" s="45"/>
      <c r="BU143" s="45"/>
      <c r="BV143" s="45"/>
      <c r="BW143" s="45"/>
      <c r="BX143" s="45"/>
      <c r="BY143" s="45"/>
      <c r="BZ143" s="45"/>
      <c r="CA143" s="45"/>
      <c r="CB143" s="45"/>
      <c r="CC143" s="45"/>
      <c r="CD143" s="45"/>
      <c r="CE143" s="45"/>
      <c r="CF143" s="45"/>
      <c r="CG143" s="45"/>
      <c r="CH143" s="45"/>
      <c r="CI143" s="45"/>
      <c r="CJ143" s="45"/>
      <c r="CK143" s="45"/>
      <c r="CL143" s="45"/>
      <c r="CM143" s="45"/>
      <c r="CN143" s="45"/>
      <c r="CO143" s="45"/>
      <c r="CP143" s="45"/>
      <c r="CQ143" s="45"/>
      <c r="CR143" s="45"/>
      <c r="CS143" s="45"/>
      <c r="CT143" s="45"/>
      <c r="CU143" s="45"/>
      <c r="CV143" s="45"/>
      <c r="CW143" s="45"/>
      <c r="CX143" s="24"/>
      <c r="CY143" s="24"/>
      <c r="CZ143" s="24"/>
      <c r="DA143" s="24"/>
      <c r="DB143" s="24"/>
      <c r="DC143" s="24"/>
      <c r="DD143" s="24"/>
      <c r="DE143" s="24"/>
      <c r="DF143" s="24"/>
      <c r="DG143" s="24"/>
      <c r="DH143" s="24"/>
      <c r="DI143" s="24"/>
      <c r="DJ143" s="24"/>
      <c r="DK143" s="24"/>
      <c r="DL143" s="24"/>
      <c r="DM143" s="24"/>
      <c r="DN143" s="24"/>
      <c r="DO143" s="24"/>
      <c r="DP143" s="24"/>
      <c r="DQ143" s="24"/>
      <c r="DR143" s="24"/>
      <c r="DS143" s="24"/>
      <c r="DT143" s="24"/>
      <c r="DU143" s="24"/>
      <c r="DV143" s="24"/>
      <c r="DW143" s="24"/>
      <c r="DX143" s="24"/>
      <c r="DY143" s="24"/>
      <c r="DZ143" s="24"/>
      <c r="EA143" s="24"/>
    </row>
    <row r="144" spans="1:131">
      <c r="A144" s="24"/>
      <c r="B144" s="24"/>
      <c r="C144" s="45"/>
      <c r="D144" s="45"/>
      <c r="E144" s="45"/>
      <c r="F144" s="45"/>
      <c r="G144" s="45"/>
      <c r="H144" s="45"/>
      <c r="I144" s="45"/>
      <c r="J144" s="45"/>
      <c r="K144" s="45"/>
      <c r="L144" s="45"/>
      <c r="M144" s="45"/>
      <c r="N144" s="45"/>
      <c r="O144" s="45"/>
      <c r="P144" s="45"/>
      <c r="Q144" s="45"/>
      <c r="R144" s="45"/>
      <c r="S144" s="45"/>
      <c r="T144" s="45"/>
      <c r="U144" s="45"/>
      <c r="V144" s="45"/>
      <c r="W144" s="45"/>
      <c r="X144" s="45"/>
      <c r="Y144" s="45"/>
      <c r="Z144" s="45"/>
      <c r="AA144" s="45"/>
      <c r="AB144" s="45"/>
      <c r="AC144" s="45"/>
      <c r="AD144" s="45"/>
      <c r="AE144" s="45"/>
      <c r="AF144" s="45"/>
      <c r="AG144" s="45"/>
      <c r="AH144" s="45"/>
      <c r="AI144" s="45"/>
      <c r="AJ144" s="45"/>
      <c r="AK144" s="45"/>
      <c r="AL144" s="45"/>
      <c r="AM144" s="45"/>
      <c r="AN144" s="45"/>
      <c r="AO144" s="45"/>
      <c r="AP144" s="45"/>
      <c r="AQ144" s="45"/>
      <c r="AR144" s="45"/>
      <c r="AS144" s="45"/>
      <c r="AT144" s="45"/>
      <c r="AU144" s="45"/>
      <c r="AV144" s="45"/>
      <c r="AW144" s="45"/>
      <c r="AX144" s="45"/>
      <c r="AY144" s="45"/>
      <c r="AZ144" s="45"/>
      <c r="BA144" s="45"/>
      <c r="BB144" s="45"/>
      <c r="BC144" s="45"/>
      <c r="BD144" s="45"/>
      <c r="BE144" s="45"/>
      <c r="BF144" s="45"/>
      <c r="BG144" s="45"/>
      <c r="BH144" s="45"/>
      <c r="BI144" s="45"/>
      <c r="BJ144" s="45"/>
      <c r="BK144" s="45"/>
      <c r="BL144" s="45"/>
      <c r="BM144" s="45"/>
      <c r="BN144" s="45"/>
      <c r="BO144" s="45"/>
      <c r="BP144" s="45"/>
      <c r="BQ144" s="45"/>
      <c r="BR144" s="45"/>
      <c r="BS144" s="45"/>
      <c r="BT144" s="45"/>
      <c r="BU144" s="45"/>
      <c r="BV144" s="45"/>
      <c r="BW144" s="45"/>
      <c r="BX144" s="45"/>
      <c r="BY144" s="45"/>
      <c r="BZ144" s="45"/>
      <c r="CA144" s="45"/>
      <c r="CB144" s="45"/>
      <c r="CC144" s="45"/>
      <c r="CD144" s="45"/>
      <c r="CE144" s="45"/>
      <c r="CF144" s="45"/>
      <c r="CG144" s="45"/>
      <c r="CH144" s="45"/>
      <c r="CI144" s="45"/>
      <c r="CJ144" s="45"/>
      <c r="CK144" s="45"/>
      <c r="CL144" s="45"/>
      <c r="CM144" s="45"/>
      <c r="CN144" s="45"/>
      <c r="CO144" s="45"/>
      <c r="CP144" s="45"/>
      <c r="CQ144" s="45"/>
      <c r="CR144" s="45"/>
      <c r="CS144" s="45"/>
      <c r="CT144" s="45"/>
      <c r="CU144" s="45"/>
      <c r="CV144" s="45"/>
      <c r="CW144" s="45"/>
      <c r="CX144" s="24"/>
      <c r="CY144" s="24"/>
      <c r="CZ144" s="24"/>
      <c r="DA144" s="24"/>
      <c r="DB144" s="24"/>
      <c r="DC144" s="24"/>
      <c r="DD144" s="24"/>
      <c r="DE144" s="24"/>
      <c r="DF144" s="24"/>
      <c r="DG144" s="24"/>
      <c r="DH144" s="24"/>
      <c r="DI144" s="24"/>
      <c r="DJ144" s="24"/>
      <c r="DK144" s="24"/>
      <c r="DL144" s="24"/>
      <c r="DM144" s="24"/>
      <c r="DN144" s="24"/>
      <c r="DO144" s="24"/>
      <c r="DP144" s="24"/>
      <c r="DQ144" s="24"/>
      <c r="DR144" s="24"/>
      <c r="DS144" s="24"/>
      <c r="DT144" s="24"/>
      <c r="DU144" s="24"/>
      <c r="DV144" s="24"/>
      <c r="DW144" s="24"/>
      <c r="DX144" s="24"/>
      <c r="DY144" s="24"/>
      <c r="DZ144" s="24"/>
      <c r="EA144" s="24"/>
    </row>
    <row r="145" spans="1:131" ht="13.5" thickBot="1">
      <c r="A145" s="187" t="s">
        <v>384</v>
      </c>
      <c r="B145" s="188"/>
      <c r="C145" s="45"/>
      <c r="D145" s="45"/>
      <c r="E145" s="45"/>
      <c r="F145" s="45"/>
      <c r="G145" s="45"/>
      <c r="H145" s="45"/>
      <c r="I145" s="45"/>
      <c r="J145" s="45"/>
      <c r="K145" s="45"/>
      <c r="L145" s="45"/>
      <c r="M145" s="45"/>
      <c r="N145" s="45"/>
      <c r="O145" s="45"/>
      <c r="P145" s="45"/>
      <c r="Q145" s="45"/>
      <c r="R145" s="45"/>
      <c r="S145" s="45"/>
      <c r="T145" s="45"/>
      <c r="U145" s="45"/>
      <c r="V145" s="45"/>
      <c r="W145" s="45"/>
      <c r="X145" s="45"/>
      <c r="Y145" s="45"/>
      <c r="Z145" s="45"/>
      <c r="AA145" s="45"/>
      <c r="AB145" s="45"/>
      <c r="AC145" s="45"/>
      <c r="AD145" s="45"/>
      <c r="AE145" s="45"/>
      <c r="AF145" s="45"/>
      <c r="AG145" s="45"/>
      <c r="AH145" s="45"/>
      <c r="AI145" s="45"/>
      <c r="AJ145" s="45"/>
      <c r="AK145" s="45"/>
      <c r="AL145" s="45"/>
      <c r="AM145" s="45"/>
      <c r="AN145" s="45"/>
      <c r="AO145" s="45"/>
      <c r="AP145" s="45"/>
      <c r="AQ145" s="45"/>
      <c r="AR145" s="45"/>
      <c r="AS145" s="45"/>
      <c r="AT145" s="45"/>
      <c r="AU145" s="45"/>
      <c r="AV145" s="45"/>
      <c r="AW145" s="45"/>
      <c r="AX145" s="45"/>
      <c r="AY145" s="45"/>
      <c r="AZ145" s="45"/>
      <c r="BA145" s="45"/>
      <c r="BB145" s="45"/>
      <c r="BC145" s="45"/>
      <c r="BD145" s="45"/>
      <c r="BE145" s="45"/>
      <c r="BF145" s="45"/>
      <c r="BG145" s="45"/>
      <c r="BH145" s="45"/>
      <c r="BI145" s="45"/>
      <c r="BJ145" s="45"/>
      <c r="BK145" s="45"/>
      <c r="BL145" s="45"/>
      <c r="BM145" s="45"/>
      <c r="BN145" s="45"/>
      <c r="BO145" s="45"/>
      <c r="BP145" s="45"/>
      <c r="BQ145" s="45"/>
      <c r="BR145" s="45"/>
      <c r="BS145" s="45"/>
      <c r="BT145" s="45"/>
      <c r="BU145" s="45"/>
      <c r="BV145" s="45"/>
      <c r="BW145" s="45"/>
      <c r="BX145" s="45"/>
      <c r="BY145" s="45"/>
      <c r="BZ145" s="45"/>
      <c r="CA145" s="45"/>
      <c r="CB145" s="45"/>
      <c r="CC145" s="45"/>
      <c r="CD145" s="45"/>
      <c r="CE145" s="45"/>
      <c r="CF145" s="45"/>
      <c r="CG145" s="45"/>
      <c r="CH145" s="45"/>
      <c r="CI145" s="45"/>
      <c r="CJ145" s="45"/>
      <c r="CK145" s="45"/>
      <c r="CL145" s="45"/>
      <c r="CM145" s="45"/>
      <c r="CN145" s="45"/>
      <c r="CO145" s="45"/>
      <c r="CP145" s="45"/>
      <c r="CQ145" s="45"/>
      <c r="CR145" s="45"/>
      <c r="CS145" s="45"/>
      <c r="CT145" s="45"/>
      <c r="CU145" s="45"/>
      <c r="CV145" s="45"/>
      <c r="CW145" s="45"/>
      <c r="CX145" s="24"/>
      <c r="CY145" s="24"/>
      <c r="CZ145" s="24"/>
      <c r="DA145" s="24"/>
      <c r="DB145" s="24"/>
      <c r="DC145" s="24"/>
      <c r="DD145" s="24"/>
      <c r="DE145" s="24"/>
      <c r="DF145" s="24"/>
      <c r="DG145" s="24"/>
      <c r="DH145" s="24"/>
      <c r="DI145" s="24"/>
      <c r="DJ145" s="24"/>
      <c r="DK145" s="24"/>
      <c r="DL145" s="24"/>
      <c r="DM145" s="24"/>
      <c r="DN145" s="24"/>
      <c r="DO145" s="24"/>
      <c r="DP145" s="24"/>
      <c r="DQ145" s="24"/>
      <c r="DR145" s="24"/>
      <c r="DS145" s="24"/>
      <c r="DT145" s="24"/>
      <c r="DU145" s="24"/>
      <c r="DV145" s="24"/>
      <c r="DW145" s="24"/>
      <c r="DX145" s="24"/>
      <c r="DY145" s="24"/>
      <c r="DZ145" s="24"/>
      <c r="EA145" s="24"/>
    </row>
    <row r="146" spans="1:131" ht="13.5" thickBot="1">
      <c r="A146" s="189"/>
      <c r="B146" s="190"/>
      <c r="C146" s="191"/>
      <c r="D146" s="191"/>
      <c r="E146" s="191"/>
      <c r="F146" s="191"/>
      <c r="G146" s="191"/>
      <c r="H146" s="191"/>
      <c r="I146" s="191"/>
      <c r="J146" s="191"/>
      <c r="K146" s="191"/>
      <c r="L146" s="191"/>
      <c r="M146" s="191"/>
      <c r="N146" s="191"/>
      <c r="O146" s="192" t="s">
        <v>385</v>
      </c>
      <c r="P146" s="193"/>
      <c r="Q146" s="193"/>
      <c r="R146" s="193"/>
      <c r="S146" s="193"/>
      <c r="T146" s="193"/>
      <c r="U146" s="193"/>
      <c r="V146" s="193"/>
      <c r="W146" s="193"/>
      <c r="X146" s="193"/>
      <c r="Y146" s="193"/>
      <c r="Z146" s="194"/>
      <c r="AA146" s="191"/>
      <c r="AB146" s="192" t="s">
        <v>386</v>
      </c>
      <c r="AC146" s="193"/>
      <c r="AD146" s="193"/>
      <c r="AE146" s="193"/>
      <c r="AF146" s="193"/>
      <c r="AG146" s="193"/>
      <c r="AH146" s="193"/>
      <c r="AI146" s="193"/>
      <c r="AJ146" s="193"/>
      <c r="AK146" s="193"/>
      <c r="AL146" s="193"/>
      <c r="AM146" s="194"/>
      <c r="AN146" s="45"/>
      <c r="AO146" s="45"/>
      <c r="AP146" s="45"/>
      <c r="AQ146" s="45"/>
      <c r="AR146" s="45"/>
      <c r="AS146" s="45"/>
      <c r="AT146" s="45"/>
      <c r="AU146" s="45"/>
      <c r="AV146" s="45"/>
      <c r="AW146" s="45"/>
      <c r="AX146" s="45"/>
      <c r="AY146" s="45"/>
      <c r="AZ146" s="45"/>
      <c r="BA146" s="45"/>
      <c r="BB146" s="45"/>
      <c r="BC146" s="45"/>
      <c r="BD146" s="45"/>
      <c r="BE146" s="45"/>
      <c r="BF146" s="45"/>
      <c r="BG146" s="45"/>
      <c r="BH146" s="45"/>
      <c r="BI146" s="45"/>
      <c r="BJ146" s="45"/>
      <c r="BK146" s="45"/>
      <c r="BL146" s="45"/>
      <c r="BM146" s="45"/>
      <c r="BN146" s="45"/>
      <c r="BO146" s="45"/>
      <c r="BP146" s="45"/>
      <c r="BQ146" s="45"/>
      <c r="BR146" s="45"/>
      <c r="BS146" s="45"/>
      <c r="BT146" s="45"/>
      <c r="BU146" s="45"/>
      <c r="BV146" s="45"/>
      <c r="BW146" s="45"/>
      <c r="BX146" s="45"/>
      <c r="BY146" s="45"/>
      <c r="BZ146" s="45"/>
      <c r="CA146" s="45"/>
      <c r="CB146" s="45"/>
      <c r="CC146" s="45"/>
      <c r="CD146" s="45"/>
      <c r="CE146" s="45"/>
      <c r="CF146" s="45"/>
      <c r="CG146" s="45"/>
      <c r="CH146" s="45"/>
      <c r="CI146" s="45"/>
      <c r="CJ146" s="45"/>
      <c r="CK146" s="45"/>
      <c r="CL146" s="45"/>
      <c r="CM146" s="45"/>
      <c r="CN146" s="45"/>
      <c r="CO146" s="45"/>
      <c r="CP146" s="45"/>
      <c r="CQ146" s="45"/>
      <c r="CR146" s="45"/>
      <c r="CS146" s="45"/>
      <c r="CT146" s="45"/>
      <c r="CU146" s="45"/>
      <c r="CV146" s="45"/>
      <c r="CW146" s="45"/>
      <c r="CX146" s="24"/>
      <c r="CY146" s="24"/>
      <c r="CZ146" s="24"/>
      <c r="DA146" s="24"/>
      <c r="DB146" s="24"/>
      <c r="DC146" s="24"/>
      <c r="DD146" s="24"/>
      <c r="DE146" s="24"/>
      <c r="DF146" s="24"/>
      <c r="DG146" s="24"/>
      <c r="DH146" s="24"/>
      <c r="DI146" s="24"/>
      <c r="DJ146" s="24"/>
      <c r="DK146" s="24"/>
      <c r="DL146" s="24"/>
      <c r="DM146" s="24"/>
      <c r="DN146" s="24"/>
      <c r="DO146" s="24"/>
      <c r="DP146" s="24"/>
      <c r="DQ146" s="24"/>
      <c r="DR146" s="24"/>
      <c r="DS146" s="24"/>
      <c r="DT146" s="24"/>
      <c r="DU146" s="24"/>
      <c r="DV146" s="24"/>
      <c r="DW146" s="24"/>
      <c r="DX146" s="24"/>
      <c r="DY146" s="24"/>
      <c r="DZ146" s="24"/>
      <c r="EA146" s="24"/>
    </row>
    <row r="147" spans="1:131" ht="102">
      <c r="A147" s="195" t="s">
        <v>387</v>
      </c>
      <c r="B147" s="196" t="s">
        <v>388</v>
      </c>
      <c r="C147" s="197" t="s">
        <v>389</v>
      </c>
      <c r="D147" s="197" t="s">
        <v>390</v>
      </c>
      <c r="E147" s="197" t="s">
        <v>391</v>
      </c>
      <c r="F147" s="197" t="s">
        <v>392</v>
      </c>
      <c r="G147" s="197" t="s">
        <v>393</v>
      </c>
      <c r="H147" s="197" t="s">
        <v>394</v>
      </c>
      <c r="I147" s="197" t="s">
        <v>395</v>
      </c>
      <c r="J147" s="197" t="s">
        <v>396</v>
      </c>
      <c r="K147" s="197" t="s">
        <v>397</v>
      </c>
      <c r="L147" s="197" t="s">
        <v>398</v>
      </c>
      <c r="M147" s="197" t="s">
        <v>399</v>
      </c>
      <c r="N147" s="197" t="s">
        <v>400</v>
      </c>
      <c r="O147" s="197" t="s">
        <v>401</v>
      </c>
      <c r="P147" s="197" t="s">
        <v>402</v>
      </c>
      <c r="Q147" s="197" t="s">
        <v>403</v>
      </c>
      <c r="R147" s="197" t="s">
        <v>404</v>
      </c>
      <c r="S147" s="197" t="s">
        <v>405</v>
      </c>
      <c r="T147" s="197" t="s">
        <v>406</v>
      </c>
      <c r="U147" s="197" t="s">
        <v>407</v>
      </c>
      <c r="V147" s="197" t="s">
        <v>408</v>
      </c>
      <c r="W147" s="197" t="s">
        <v>409</v>
      </c>
      <c r="X147" s="197" t="s">
        <v>410</v>
      </c>
      <c r="Y147" s="197" t="s">
        <v>411</v>
      </c>
      <c r="Z147" s="197" t="s">
        <v>412</v>
      </c>
      <c r="AA147" s="197"/>
      <c r="AB147" s="197" t="s">
        <v>401</v>
      </c>
      <c r="AC147" s="197" t="s">
        <v>402</v>
      </c>
      <c r="AD147" s="197" t="s">
        <v>403</v>
      </c>
      <c r="AE147" s="197" t="s">
        <v>404</v>
      </c>
      <c r="AF147" s="197" t="s">
        <v>405</v>
      </c>
      <c r="AG147" s="197" t="s">
        <v>406</v>
      </c>
      <c r="AH147" s="197" t="s">
        <v>407</v>
      </c>
      <c r="AI147" s="197" t="s">
        <v>408</v>
      </c>
      <c r="AJ147" s="197" t="s">
        <v>409</v>
      </c>
      <c r="AK147" s="197" t="s">
        <v>410</v>
      </c>
      <c r="AL147" s="197" t="s">
        <v>411</v>
      </c>
      <c r="AM147" s="197" t="s">
        <v>412</v>
      </c>
      <c r="AN147" s="45"/>
      <c r="AO147" s="45"/>
      <c r="AP147" s="45"/>
      <c r="AQ147" s="45"/>
      <c r="AR147" s="45"/>
      <c r="AS147" s="45"/>
      <c r="AT147" s="45"/>
      <c r="AU147" s="45"/>
      <c r="AV147" s="45"/>
      <c r="AW147" s="45"/>
      <c r="AX147" s="45"/>
      <c r="AY147" s="45"/>
      <c r="AZ147" s="45"/>
      <c r="BA147" s="45"/>
      <c r="BB147" s="45"/>
      <c r="BC147" s="45"/>
      <c r="BD147" s="45"/>
      <c r="BE147" s="45"/>
      <c r="BF147" s="45"/>
      <c r="BG147" s="45"/>
      <c r="BH147" s="45"/>
      <c r="BI147" s="45"/>
      <c r="BJ147" s="45"/>
      <c r="BK147" s="45"/>
      <c r="BL147" s="45"/>
      <c r="BM147" s="45"/>
      <c r="BN147" s="45"/>
      <c r="BO147" s="45"/>
      <c r="BP147" s="45"/>
      <c r="BQ147" s="45"/>
      <c r="BR147" s="45"/>
      <c r="BS147" s="45"/>
      <c r="BT147" s="45"/>
      <c r="BU147" s="45"/>
      <c r="BV147" s="45"/>
      <c r="BW147" s="45"/>
      <c r="BX147" s="45"/>
      <c r="BY147" s="45"/>
      <c r="BZ147" s="45"/>
      <c r="CA147" s="45"/>
      <c r="CB147" s="45"/>
      <c r="CC147" s="45"/>
      <c r="CD147" s="45"/>
      <c r="CE147" s="45"/>
      <c r="CF147" s="45"/>
      <c r="CG147" s="45"/>
      <c r="CH147" s="45"/>
      <c r="CI147" s="45"/>
      <c r="CJ147" s="45"/>
      <c r="CK147" s="45"/>
      <c r="CL147" s="45"/>
      <c r="CM147" s="45"/>
      <c r="CN147" s="45"/>
      <c r="CO147" s="45"/>
      <c r="CP147" s="45"/>
      <c r="CQ147" s="45"/>
      <c r="CR147" s="45"/>
      <c r="CS147" s="45"/>
      <c r="CT147" s="45"/>
      <c r="CU147" s="45"/>
      <c r="CV147" s="45"/>
      <c r="CW147" s="45"/>
      <c r="CX147" s="24"/>
      <c r="CY147" s="24"/>
      <c r="CZ147" s="24"/>
      <c r="DA147" s="24"/>
      <c r="DB147" s="24"/>
      <c r="DC147" s="24"/>
      <c r="DD147" s="24"/>
      <c r="DE147" s="24"/>
      <c r="DF147" s="24"/>
      <c r="DG147" s="24"/>
      <c r="DH147" s="24"/>
      <c r="DI147" s="24"/>
      <c r="DJ147" s="24"/>
      <c r="DK147" s="24"/>
      <c r="DL147" s="24"/>
      <c r="DM147" s="24"/>
      <c r="DN147" s="24"/>
      <c r="DO147" s="24"/>
      <c r="DP147" s="24"/>
      <c r="DQ147" s="24"/>
      <c r="DR147" s="24"/>
      <c r="DS147" s="24"/>
      <c r="DT147" s="24"/>
      <c r="DU147" s="24"/>
      <c r="DV147" s="24"/>
      <c r="DW147" s="24"/>
      <c r="DX147" s="24"/>
      <c r="DY147" s="24"/>
      <c r="DZ147" s="24"/>
      <c r="EA147" s="24"/>
    </row>
    <row r="148" spans="1:131">
      <c r="A148" s="24" t="s">
        <v>414</v>
      </c>
      <c r="B148" s="24"/>
      <c r="C148" s="198">
        <v>694.58425772131352</v>
      </c>
      <c r="D148" s="198">
        <v>6.6707622506870052</v>
      </c>
      <c r="E148" s="198">
        <v>1.3341524501374011</v>
      </c>
      <c r="F148" s="198">
        <v>8.0049147008244059</v>
      </c>
      <c r="G148" s="198">
        <v>9.6530895716640295</v>
      </c>
      <c r="H148" s="198">
        <v>458.01913323488742</v>
      </c>
      <c r="I148" s="198">
        <v>100.95687024245389</v>
      </c>
      <c r="J148" s="198">
        <v>-12.644513228249723</v>
      </c>
      <c r="K148" s="198">
        <v>-12.229802150673471</v>
      </c>
      <c r="L148" s="199">
        <v>47.447931549228613</v>
      </c>
      <c r="M148" s="198">
        <v>6.598567930696162</v>
      </c>
      <c r="N148" s="198">
        <v>0.16212621155567028</v>
      </c>
      <c r="O148" s="198">
        <v>28.448411197119828</v>
      </c>
      <c r="P148" s="198">
        <v>21.030843228651925</v>
      </c>
      <c r="Q148" s="198">
        <v>19.591200466866493</v>
      </c>
      <c r="R148" s="198">
        <v>11.246790967253286</v>
      </c>
      <c r="S148" s="198">
        <v>9.0344226035697073</v>
      </c>
      <c r="T148" s="198">
        <v>7.008069317481068</v>
      </c>
      <c r="U148" s="198">
        <v>7.3128656202634215</v>
      </c>
      <c r="V148" s="198">
        <v>10.644117359946245</v>
      </c>
      <c r="W148" s="198">
        <v>13.448006784018087</v>
      </c>
      <c r="X148" s="198">
        <v>21.938904793273181</v>
      </c>
      <c r="Y148" s="198">
        <v>25.405841397322472</v>
      </c>
      <c r="Z148" s="198">
        <v>29.927568864080122</v>
      </c>
      <c r="AA148" s="198"/>
      <c r="AB148" s="198">
        <v>47.14876842694138</v>
      </c>
      <c r="AC148" s="198">
        <v>40.897605854595454</v>
      </c>
      <c r="AD148" s="198">
        <v>41.229211825941405</v>
      </c>
      <c r="AE148" s="198">
        <v>39.260516357946884</v>
      </c>
      <c r="AF148" s="198">
        <v>36.160934041708259</v>
      </c>
      <c r="AG148" s="198">
        <v>32.855567114926686</v>
      </c>
      <c r="AH148" s="198">
        <v>35.877431576419603</v>
      </c>
      <c r="AI148" s="198">
        <v>38.740577219748644</v>
      </c>
      <c r="AJ148" s="198">
        <v>41.758348233872397</v>
      </c>
      <c r="AK148" s="198">
        <v>43.096981040231533</v>
      </c>
      <c r="AL148" s="198">
        <v>45.177671890782143</v>
      </c>
      <c r="AM148" s="45">
        <v>47.343601538353454</v>
      </c>
      <c r="AN148" s="45"/>
      <c r="AO148" s="45"/>
      <c r="AP148" s="45"/>
      <c r="AQ148" s="45"/>
      <c r="AR148" s="45"/>
      <c r="AS148" s="45"/>
      <c r="AT148" s="45"/>
      <c r="AU148" s="45"/>
      <c r="AV148" s="45"/>
      <c r="AW148" s="45"/>
      <c r="AX148" s="45"/>
      <c r="AY148" s="45"/>
      <c r="AZ148" s="45"/>
      <c r="BA148" s="45"/>
      <c r="BB148" s="45"/>
      <c r="BC148" s="45"/>
      <c r="BD148" s="45"/>
      <c r="BE148" s="45"/>
      <c r="BF148" s="45"/>
      <c r="BG148" s="45"/>
      <c r="BH148" s="45"/>
      <c r="BI148" s="45"/>
      <c r="BJ148" s="45"/>
      <c r="BK148" s="45"/>
      <c r="BL148" s="45"/>
      <c r="BM148" s="45"/>
      <c r="BN148" s="45"/>
      <c r="BO148" s="45"/>
      <c r="BP148" s="45"/>
      <c r="BQ148" s="45"/>
      <c r="BR148" s="45"/>
      <c r="BS148" s="45"/>
      <c r="BT148" s="45"/>
      <c r="BU148" s="45"/>
      <c r="BV148" s="45"/>
      <c r="BW148" s="45"/>
      <c r="BX148" s="45"/>
      <c r="BY148" s="45"/>
      <c r="BZ148" s="45"/>
      <c r="CA148" s="45"/>
      <c r="CB148" s="45"/>
      <c r="CC148" s="45"/>
      <c r="CD148" s="45"/>
      <c r="CE148" s="45"/>
      <c r="CF148" s="45"/>
      <c r="CG148" s="45"/>
      <c r="CH148" s="45"/>
      <c r="CI148" s="45"/>
      <c r="CJ148" s="45"/>
      <c r="CK148" s="45"/>
      <c r="CL148" s="45"/>
      <c r="CM148" s="45"/>
      <c r="CN148" s="45"/>
      <c r="CO148" s="45"/>
      <c r="CP148" s="45"/>
      <c r="CQ148" s="45"/>
      <c r="CR148" s="45"/>
      <c r="CS148" s="45"/>
      <c r="CT148" s="45"/>
      <c r="CU148" s="45"/>
      <c r="CV148" s="45"/>
      <c r="CW148" s="45"/>
      <c r="CX148" s="24"/>
      <c r="CY148" s="24"/>
      <c r="CZ148" s="24"/>
      <c r="DA148" s="24"/>
      <c r="DB148" s="24"/>
      <c r="DC148" s="24"/>
      <c r="DD148" s="24"/>
      <c r="DE148" s="24"/>
      <c r="DF148" s="24"/>
      <c r="DG148" s="24"/>
      <c r="DH148" s="24"/>
      <c r="DI148" s="24"/>
      <c r="DJ148" s="24"/>
      <c r="DK148" s="24"/>
      <c r="DL148" s="24"/>
      <c r="DM148" s="24"/>
      <c r="DN148" s="24"/>
      <c r="DO148" s="24"/>
      <c r="DP148" s="24"/>
      <c r="DQ148" s="24"/>
      <c r="DR148" s="24"/>
      <c r="DS148" s="24"/>
      <c r="DT148" s="24"/>
      <c r="DU148" s="24"/>
      <c r="DV148" s="24"/>
      <c r="DW148" s="24"/>
      <c r="DX148" s="24"/>
      <c r="DY148" s="24"/>
      <c r="DZ148" s="24"/>
      <c r="EA148" s="24"/>
    </row>
    <row r="149" spans="1:131">
      <c r="A149" s="24" t="s">
        <v>415</v>
      </c>
      <c r="B149" s="24"/>
      <c r="C149" s="198">
        <v>696.18365257841458</v>
      </c>
      <c r="D149" s="198">
        <v>7.3019593555087283</v>
      </c>
      <c r="E149" s="198">
        <v>1.4603918711017458</v>
      </c>
      <c r="F149" s="198">
        <v>8.7623512266104733</v>
      </c>
      <c r="G149" s="198">
        <v>10.566478770865604</v>
      </c>
      <c r="H149" s="198">
        <v>459.073797860534</v>
      </c>
      <c r="I149" s="198">
        <v>110.25567242325056</v>
      </c>
      <c r="J149" s="198">
        <v>-12.588521355718758</v>
      </c>
      <c r="K149" s="198">
        <v>-12.135612617465176</v>
      </c>
      <c r="L149" s="199">
        <v>43.446242387418032</v>
      </c>
      <c r="M149" s="198">
        <v>6.6137622220945982</v>
      </c>
      <c r="N149" s="198">
        <v>0.16249953390797076</v>
      </c>
      <c r="O149" s="198">
        <v>28.513918357778262</v>
      </c>
      <c r="P149" s="198">
        <v>21.07927021519313</v>
      </c>
      <c r="Q149" s="198">
        <v>19.636312438413242</v>
      </c>
      <c r="R149" s="198">
        <v>11.272688559132099</v>
      </c>
      <c r="S149" s="198">
        <v>9.0552258522589746</v>
      </c>
      <c r="T149" s="198">
        <v>7.0242065533887157</v>
      </c>
      <c r="U149" s="198">
        <v>7.3297046999484285</v>
      </c>
      <c r="V149" s="198">
        <v>10.668627196405437</v>
      </c>
      <c r="W149" s="198">
        <v>13.478973038507039</v>
      </c>
      <c r="X149" s="198">
        <v>21.98942274139355</v>
      </c>
      <c r="Y149" s="198">
        <v>25.464342539004704</v>
      </c>
      <c r="Z149" s="198">
        <v>29.996482029321985</v>
      </c>
      <c r="AA149" s="198"/>
      <c r="AB149" s="198">
        <v>47.257336245607604</v>
      </c>
      <c r="AC149" s="198">
        <v>40.991779340021367</v>
      </c>
      <c r="AD149" s="198">
        <v>41.324148888830038</v>
      </c>
      <c r="AE149" s="198">
        <v>39.350920174693371</v>
      </c>
      <c r="AF149" s="198">
        <v>36.244200558752595</v>
      </c>
      <c r="AG149" s="198">
        <v>32.931222479249435</v>
      </c>
      <c r="AH149" s="198">
        <v>35.960045282260815</v>
      </c>
      <c r="AI149" s="198">
        <v>38.829783790841496</v>
      </c>
      <c r="AJ149" s="198">
        <v>41.854503720645738</v>
      </c>
      <c r="AK149" s="198">
        <v>43.196218949910715</v>
      </c>
      <c r="AL149" s="198">
        <v>45.281700934450605</v>
      </c>
      <c r="AM149" s="45">
        <v>47.452617992405401</v>
      </c>
      <c r="AN149" s="45"/>
      <c r="AO149" s="45"/>
      <c r="AP149" s="45"/>
      <c r="AQ149" s="45"/>
      <c r="AR149" s="45"/>
      <c r="AS149" s="45"/>
      <c r="AT149" s="45"/>
      <c r="AU149" s="45"/>
      <c r="AV149" s="45"/>
      <c r="AW149" s="45"/>
      <c r="AX149" s="45"/>
      <c r="AY149" s="45"/>
      <c r="AZ149" s="45"/>
      <c r="BA149" s="45"/>
      <c r="BB149" s="45"/>
      <c r="BC149" s="45"/>
      <c r="BD149" s="45"/>
      <c r="BE149" s="45"/>
      <c r="BF149" s="45"/>
      <c r="BG149" s="45"/>
      <c r="BH149" s="45"/>
      <c r="BI149" s="45"/>
      <c r="BJ149" s="45"/>
      <c r="BK149" s="45"/>
      <c r="BL149" s="45"/>
      <c r="BM149" s="45"/>
      <c r="BN149" s="45"/>
      <c r="BO149" s="45"/>
      <c r="BP149" s="45"/>
      <c r="BQ149" s="45"/>
      <c r="BR149" s="45"/>
      <c r="BS149" s="45"/>
      <c r="BT149" s="45"/>
      <c r="BU149" s="45"/>
      <c r="BV149" s="45"/>
      <c r="BW149" s="45"/>
      <c r="BX149" s="45"/>
      <c r="BY149" s="45"/>
      <c r="BZ149" s="45"/>
      <c r="CA149" s="45"/>
      <c r="CB149" s="45"/>
      <c r="CC149" s="45"/>
      <c r="CD149" s="45"/>
      <c r="CE149" s="45"/>
      <c r="CF149" s="45"/>
      <c r="CG149" s="45"/>
      <c r="CH149" s="45"/>
      <c r="CI149" s="45"/>
      <c r="CJ149" s="45"/>
      <c r="CK149" s="45"/>
      <c r="CL149" s="45"/>
      <c r="CM149" s="45"/>
      <c r="CN149" s="45"/>
      <c r="CO149" s="45"/>
      <c r="CP149" s="45"/>
      <c r="CQ149" s="45"/>
      <c r="CR149" s="45"/>
      <c r="CS149" s="45"/>
      <c r="CT149" s="45"/>
      <c r="CU149" s="45"/>
      <c r="CV149" s="45"/>
      <c r="CW149" s="45"/>
      <c r="CX149" s="24"/>
      <c r="CY149" s="24"/>
      <c r="CZ149" s="24"/>
      <c r="DA149" s="24"/>
      <c r="DB149" s="24"/>
      <c r="DC149" s="24"/>
      <c r="DD149" s="24"/>
      <c r="DE149" s="24"/>
      <c r="DF149" s="24"/>
      <c r="DG149" s="24"/>
      <c r="DH149" s="24"/>
      <c r="DI149" s="24"/>
      <c r="DJ149" s="24"/>
      <c r="DK149" s="24"/>
      <c r="DL149" s="24"/>
      <c r="DM149" s="24"/>
      <c r="DN149" s="24"/>
      <c r="DO149" s="24"/>
      <c r="DP149" s="24"/>
      <c r="DQ149" s="24"/>
      <c r="DR149" s="24"/>
      <c r="DS149" s="24"/>
      <c r="DT149" s="24"/>
      <c r="DU149" s="24"/>
      <c r="DV149" s="24"/>
      <c r="DW149" s="24"/>
      <c r="DX149" s="24"/>
      <c r="DY149" s="24"/>
      <c r="DZ149" s="24"/>
      <c r="EA149" s="24"/>
    </row>
    <row r="150" spans="1:131">
      <c r="A150" s="24" t="s">
        <v>418</v>
      </c>
      <c r="B150" s="24"/>
      <c r="C150" s="198">
        <v>1722.7756260529418</v>
      </c>
      <c r="D150" s="198">
        <v>51.863052062075326</v>
      </c>
      <c r="E150" s="198">
        <v>10.372610412415066</v>
      </c>
      <c r="F150" s="198">
        <v>62.23566247449039</v>
      </c>
      <c r="G150" s="198">
        <v>75.049697201174936</v>
      </c>
      <c r="H150" s="198">
        <v>1136.0237296359132</v>
      </c>
      <c r="I150" s="198">
        <v>316.45699824858218</v>
      </c>
      <c r="J150" s="198">
        <v>-11.346899249253015</v>
      </c>
      <c r="K150" s="198">
        <v>-10.046955793844406</v>
      </c>
      <c r="L150" s="199">
        <v>15.136952872584384</v>
      </c>
      <c r="M150" s="198">
        <v>16.366411808916986</v>
      </c>
      <c r="N150" s="198">
        <v>0.40212124376201641</v>
      </c>
      <c r="O150" s="198">
        <v>70.56052432157756</v>
      </c>
      <c r="P150" s="198">
        <v>52.162748733356906</v>
      </c>
      <c r="Q150" s="198">
        <v>48.592006332191517</v>
      </c>
      <c r="R150" s="198">
        <v>27.89538797389563</v>
      </c>
      <c r="S150" s="198">
        <v>22.408056162908998</v>
      </c>
      <c r="T150" s="198">
        <v>17.382097091365431</v>
      </c>
      <c r="U150" s="198">
        <v>18.138082611491015</v>
      </c>
      <c r="V150" s="198">
        <v>26.400578108005242</v>
      </c>
      <c r="W150" s="198">
        <v>33.355058150189997</v>
      </c>
      <c r="X150" s="198">
        <v>54.415011598653045</v>
      </c>
      <c r="Y150" s="198">
        <v>63.014045930530052</v>
      </c>
      <c r="Z150" s="198">
        <v>74.229275444858786</v>
      </c>
      <c r="AA150" s="198"/>
      <c r="AB150" s="198">
        <v>116.94297436401092</v>
      </c>
      <c r="AC150" s="198">
        <v>101.43823121094492</v>
      </c>
      <c r="AD150" s="198">
        <v>102.26071268606873</v>
      </c>
      <c r="AE150" s="198">
        <v>97.37776215893102</v>
      </c>
      <c r="AF150" s="198">
        <v>89.689875763580062</v>
      </c>
      <c r="AG150" s="198">
        <v>81.491582304839497</v>
      </c>
      <c r="AH150" s="198">
        <v>88.986705296216584</v>
      </c>
      <c r="AI150" s="198">
        <v>96.088158393280608</v>
      </c>
      <c r="AJ150" s="198">
        <v>103.57312841721604</v>
      </c>
      <c r="AK150" s="198">
        <v>106.89333607437786</v>
      </c>
      <c r="AL150" s="198">
        <v>112.05406847340983</v>
      </c>
      <c r="AM150" s="45">
        <v>117.4262184510421</v>
      </c>
      <c r="AN150" s="45"/>
      <c r="AO150" s="45"/>
      <c r="AP150" s="45"/>
      <c r="AQ150" s="45"/>
      <c r="AR150" s="45"/>
      <c r="AS150" s="45"/>
      <c r="AT150" s="45"/>
      <c r="AU150" s="45"/>
      <c r="AV150" s="45"/>
      <c r="AW150" s="45"/>
      <c r="AX150" s="45"/>
      <c r="AY150" s="45"/>
      <c r="AZ150" s="45"/>
      <c r="BA150" s="45"/>
      <c r="BB150" s="45"/>
      <c r="BC150" s="45"/>
      <c r="BD150" s="45"/>
      <c r="BE150" s="45"/>
      <c r="BF150" s="45"/>
      <c r="BG150" s="45"/>
      <c r="BH150" s="45"/>
      <c r="BI150" s="45"/>
      <c r="BJ150" s="45"/>
      <c r="BK150" s="45"/>
      <c r="BL150" s="45"/>
      <c r="BM150" s="45"/>
      <c r="BN150" s="45"/>
      <c r="BO150" s="45"/>
      <c r="BP150" s="45"/>
      <c r="BQ150" s="45"/>
      <c r="BR150" s="45"/>
      <c r="BS150" s="45"/>
      <c r="BT150" s="45"/>
      <c r="BU150" s="45"/>
      <c r="BV150" s="45"/>
      <c r="BW150" s="45"/>
      <c r="BX150" s="45"/>
      <c r="BY150" s="45"/>
      <c r="BZ150" s="45"/>
      <c r="CA150" s="45"/>
      <c r="CB150" s="45"/>
      <c r="CC150" s="45"/>
      <c r="CD150" s="45"/>
      <c r="CE150" s="45"/>
      <c r="CF150" s="45"/>
      <c r="CG150" s="45"/>
      <c r="CH150" s="45"/>
      <c r="CI150" s="45"/>
      <c r="CJ150" s="45"/>
      <c r="CK150" s="45"/>
      <c r="CL150" s="45"/>
      <c r="CM150" s="45"/>
      <c r="CN150" s="45"/>
      <c r="CO150" s="45"/>
      <c r="CP150" s="45"/>
      <c r="CQ150" s="45"/>
      <c r="CR150" s="45"/>
      <c r="CS150" s="45"/>
      <c r="CT150" s="45"/>
      <c r="CU150" s="45"/>
      <c r="CV150" s="45"/>
      <c r="CW150" s="45"/>
      <c r="CX150" s="24"/>
      <c r="CY150" s="24"/>
      <c r="CZ150" s="24"/>
      <c r="DA150" s="24"/>
      <c r="DB150" s="24"/>
      <c r="DC150" s="24"/>
      <c r="DD150" s="24"/>
      <c r="DE150" s="24"/>
      <c r="DF150" s="24"/>
      <c r="DG150" s="24"/>
      <c r="DH150" s="24"/>
      <c r="DI150" s="24"/>
      <c r="DJ150" s="24"/>
      <c r="DK150" s="24"/>
      <c r="DL150" s="24"/>
      <c r="DM150" s="24"/>
      <c r="DN150" s="24"/>
      <c r="DO150" s="24"/>
      <c r="DP150" s="24"/>
      <c r="DQ150" s="24"/>
      <c r="DR150" s="24"/>
      <c r="DS150" s="24"/>
      <c r="DT150" s="24"/>
      <c r="DU150" s="24"/>
      <c r="DV150" s="24"/>
      <c r="DW150" s="24"/>
      <c r="DX150" s="24"/>
      <c r="DY150" s="24"/>
      <c r="DZ150" s="24"/>
      <c r="EA150" s="24"/>
    </row>
    <row r="151" spans="1:131">
      <c r="A151" s="24" t="s">
        <v>416</v>
      </c>
      <c r="B151" s="24"/>
      <c r="C151" s="198">
        <v>299.03666118432898</v>
      </c>
      <c r="D151" s="198">
        <v>4.7789999869194872</v>
      </c>
      <c r="E151" s="198">
        <v>0.95579999738389754</v>
      </c>
      <c r="F151" s="198">
        <v>5.7347999843033843</v>
      </c>
      <c r="G151" s="198">
        <v>13.663565633772018</v>
      </c>
      <c r="H151" s="198">
        <v>197.18919747826337</v>
      </c>
      <c r="I151" s="198">
        <v>167.99561519826892</v>
      </c>
      <c r="J151" s="198">
        <v>-12.240845660188761</v>
      </c>
      <c r="K151" s="198">
        <v>-9.8903226006835592</v>
      </c>
      <c r="L151" s="199">
        <v>14.43175249884071</v>
      </c>
      <c r="M151" s="198">
        <v>2.8408558078566108</v>
      </c>
      <c r="N151" s="198">
        <v>6.9799567806392765E-2</v>
      </c>
      <c r="O151" s="198">
        <v>12.24778391651785</v>
      </c>
      <c r="P151" s="198">
        <v>9.0543272051962393</v>
      </c>
      <c r="Q151" s="198">
        <v>8.434523401702565</v>
      </c>
      <c r="R151" s="198">
        <v>4.8420372078673042</v>
      </c>
      <c r="S151" s="198">
        <v>3.8895548539536353</v>
      </c>
      <c r="T151" s="198">
        <v>3.0171568485053668</v>
      </c>
      <c r="U151" s="198">
        <v>3.1483796162432629</v>
      </c>
      <c r="V151" s="198">
        <v>4.582570481822783</v>
      </c>
      <c r="W151" s="198">
        <v>5.789718099097044</v>
      </c>
      <c r="X151" s="198">
        <v>9.4452714217049714</v>
      </c>
      <c r="Y151" s="198">
        <v>10.937878164641846</v>
      </c>
      <c r="Z151" s="198">
        <v>12.884599918573686</v>
      </c>
      <c r="AA151" s="198"/>
      <c r="AB151" s="198">
        <v>20.298776041369273</v>
      </c>
      <c r="AC151" s="198">
        <v>17.607487312356941</v>
      </c>
      <c r="AD151" s="198">
        <v>17.750252342513821</v>
      </c>
      <c r="AE151" s="198">
        <v>16.90267753341988</v>
      </c>
      <c r="AF151" s="198">
        <v>15.568226404402379</v>
      </c>
      <c r="AG151" s="198">
        <v>14.14517962672771</v>
      </c>
      <c r="AH151" s="198">
        <v>15.446171189768565</v>
      </c>
      <c r="AI151" s="198">
        <v>16.678830156838185</v>
      </c>
      <c r="AJ151" s="198">
        <v>17.978059383891143</v>
      </c>
      <c r="AK151" s="198">
        <v>18.554375763819891</v>
      </c>
      <c r="AL151" s="198">
        <v>19.450167509729397</v>
      </c>
      <c r="AM151" s="45">
        <v>20.382656783665329</v>
      </c>
      <c r="AN151" s="45"/>
      <c r="AO151" s="45"/>
      <c r="AP151" s="45"/>
      <c r="AQ151" s="45"/>
      <c r="AR151" s="45"/>
      <c r="AS151" s="45"/>
      <c r="AT151" s="45"/>
      <c r="AU151" s="45"/>
      <c r="AV151" s="45"/>
      <c r="AW151" s="45"/>
      <c r="AX151" s="45"/>
      <c r="AY151" s="45"/>
      <c r="AZ151" s="45"/>
      <c r="BA151" s="45"/>
      <c r="BB151" s="45"/>
      <c r="BC151" s="45"/>
      <c r="BD151" s="45"/>
      <c r="BE151" s="45"/>
      <c r="BF151" s="45"/>
      <c r="BG151" s="45"/>
      <c r="BH151" s="45"/>
      <c r="BI151" s="45"/>
      <c r="BJ151" s="45"/>
      <c r="BK151" s="45"/>
      <c r="BL151" s="45"/>
      <c r="BM151" s="45"/>
      <c r="BN151" s="45"/>
      <c r="BO151" s="45"/>
      <c r="BP151" s="45"/>
      <c r="BQ151" s="45"/>
      <c r="BR151" s="45"/>
      <c r="BS151" s="45"/>
      <c r="BT151" s="45"/>
      <c r="BU151" s="45"/>
      <c r="BV151" s="45"/>
      <c r="BW151" s="45"/>
      <c r="BX151" s="45"/>
      <c r="BY151" s="45"/>
      <c r="BZ151" s="45"/>
      <c r="CA151" s="45"/>
      <c r="CB151" s="45"/>
      <c r="CC151" s="45"/>
      <c r="CD151" s="45"/>
      <c r="CE151" s="45"/>
      <c r="CF151" s="45"/>
      <c r="CG151" s="45"/>
      <c r="CH151" s="45"/>
      <c r="CI151" s="45"/>
      <c r="CJ151" s="45"/>
      <c r="CK151" s="45"/>
      <c r="CL151" s="45"/>
      <c r="CM151" s="45"/>
      <c r="CN151" s="45"/>
      <c r="CO151" s="45"/>
      <c r="CP151" s="45"/>
      <c r="CQ151" s="45"/>
      <c r="CR151" s="45"/>
      <c r="CS151" s="45"/>
      <c r="CT151" s="45"/>
      <c r="CU151" s="45"/>
      <c r="CV151" s="45"/>
      <c r="CW151" s="45"/>
      <c r="CX151" s="24"/>
      <c r="CY151" s="24"/>
      <c r="CZ151" s="24"/>
      <c r="DA151" s="24"/>
      <c r="DB151" s="24"/>
      <c r="DC151" s="24"/>
      <c r="DD151" s="24"/>
      <c r="DE151" s="24"/>
      <c r="DF151" s="24"/>
      <c r="DG151" s="24"/>
      <c r="DH151" s="24"/>
      <c r="DI151" s="24"/>
      <c r="DJ151" s="24"/>
      <c r="DK151" s="24"/>
      <c r="DL151" s="24"/>
      <c r="DM151" s="24"/>
      <c r="DN151" s="24"/>
      <c r="DO151" s="24"/>
      <c r="DP151" s="24"/>
      <c r="DQ151" s="24"/>
      <c r="DR151" s="24"/>
      <c r="DS151" s="24"/>
      <c r="DT151" s="24"/>
      <c r="DU151" s="24"/>
      <c r="DV151" s="24"/>
      <c r="DW151" s="24"/>
      <c r="DX151" s="24"/>
      <c r="DY151" s="24"/>
      <c r="DZ151" s="24"/>
      <c r="EA151" s="24"/>
    </row>
    <row r="152" spans="1:131">
      <c r="A152" s="24" t="s">
        <v>417</v>
      </c>
      <c r="B152" s="24"/>
      <c r="C152" s="198">
        <v>299.03666118432898</v>
      </c>
      <c r="D152" s="198">
        <v>4.7789999869194872</v>
      </c>
      <c r="E152" s="198">
        <v>0.95579999738389754</v>
      </c>
      <c r="F152" s="198">
        <v>5.7347999843033843</v>
      </c>
      <c r="G152" s="198">
        <v>13.663565633772018</v>
      </c>
      <c r="H152" s="198">
        <v>197.18919747826337</v>
      </c>
      <c r="I152" s="198">
        <v>167.99561519826892</v>
      </c>
      <c r="J152" s="198">
        <v>-12.240845660188761</v>
      </c>
      <c r="K152" s="198">
        <v>-9.8903226006835592</v>
      </c>
      <c r="L152" s="199">
        <v>14.43175249884071</v>
      </c>
      <c r="M152" s="198">
        <v>2.8408558078566108</v>
      </c>
      <c r="N152" s="198">
        <v>6.9799567806392765E-2</v>
      </c>
      <c r="O152" s="198">
        <v>12.24778391651785</v>
      </c>
      <c r="P152" s="198">
        <v>9.0543272051962393</v>
      </c>
      <c r="Q152" s="198">
        <v>8.434523401702565</v>
      </c>
      <c r="R152" s="198">
        <v>4.8420372078673042</v>
      </c>
      <c r="S152" s="198">
        <v>3.8895548539536353</v>
      </c>
      <c r="T152" s="198">
        <v>3.0171568485053668</v>
      </c>
      <c r="U152" s="198">
        <v>3.1483796162432629</v>
      </c>
      <c r="V152" s="198">
        <v>4.582570481822783</v>
      </c>
      <c r="W152" s="198">
        <v>5.789718099097044</v>
      </c>
      <c r="X152" s="198">
        <v>9.4452714217049714</v>
      </c>
      <c r="Y152" s="198">
        <v>10.937878164641846</v>
      </c>
      <c r="Z152" s="198">
        <v>12.884599918573686</v>
      </c>
      <c r="AA152" s="198"/>
      <c r="AB152" s="198">
        <v>20.298776041369273</v>
      </c>
      <c r="AC152" s="198">
        <v>17.607487312356941</v>
      </c>
      <c r="AD152" s="198">
        <v>17.750252342513821</v>
      </c>
      <c r="AE152" s="198">
        <v>16.90267753341988</v>
      </c>
      <c r="AF152" s="198">
        <v>15.568226404402379</v>
      </c>
      <c r="AG152" s="198">
        <v>14.14517962672771</v>
      </c>
      <c r="AH152" s="198">
        <v>15.446171189768565</v>
      </c>
      <c r="AI152" s="198">
        <v>16.678830156838185</v>
      </c>
      <c r="AJ152" s="198">
        <v>17.978059383891143</v>
      </c>
      <c r="AK152" s="198">
        <v>18.554375763819891</v>
      </c>
      <c r="AL152" s="198">
        <v>19.450167509729397</v>
      </c>
      <c r="AM152" s="45">
        <v>20.382656783665329</v>
      </c>
      <c r="AN152" s="45"/>
      <c r="AO152" s="45"/>
      <c r="AP152" s="45"/>
      <c r="AQ152" s="45"/>
      <c r="AR152" s="45"/>
      <c r="AS152" s="45"/>
      <c r="AT152" s="45"/>
      <c r="AU152" s="45"/>
      <c r="AV152" s="45"/>
      <c r="AW152" s="45"/>
      <c r="AX152" s="45"/>
      <c r="AY152" s="45"/>
      <c r="AZ152" s="45"/>
      <c r="BA152" s="45"/>
      <c r="BB152" s="45"/>
      <c r="BC152" s="45"/>
      <c r="BD152" s="45"/>
      <c r="BE152" s="45"/>
      <c r="BF152" s="45"/>
      <c r="BG152" s="45"/>
      <c r="BH152" s="45"/>
      <c r="BI152" s="45"/>
      <c r="BJ152" s="45"/>
      <c r="BK152" s="45"/>
      <c r="BL152" s="45"/>
      <c r="BM152" s="45"/>
      <c r="BN152" s="45"/>
      <c r="BO152" s="45"/>
      <c r="BP152" s="45"/>
      <c r="BQ152" s="45"/>
      <c r="BR152" s="45"/>
      <c r="BS152" s="45"/>
      <c r="BT152" s="45"/>
      <c r="BU152" s="45"/>
      <c r="BV152" s="45"/>
      <c r="BW152" s="45"/>
      <c r="BX152" s="45"/>
      <c r="BY152" s="45"/>
      <c r="BZ152" s="45"/>
      <c r="CA152" s="45"/>
      <c r="CB152" s="45"/>
      <c r="CC152" s="45"/>
      <c r="CD152" s="45"/>
      <c r="CE152" s="45"/>
      <c r="CF152" s="45"/>
      <c r="CG152" s="45"/>
      <c r="CH152" s="45"/>
      <c r="CI152" s="45"/>
      <c r="CJ152" s="45"/>
      <c r="CK152" s="45"/>
      <c r="CL152" s="45"/>
      <c r="CM152" s="45"/>
      <c r="CN152" s="45"/>
      <c r="CO152" s="45"/>
      <c r="CP152" s="45"/>
      <c r="CQ152" s="45"/>
      <c r="CR152" s="45"/>
      <c r="CS152" s="45"/>
      <c r="CT152" s="45"/>
      <c r="CU152" s="45"/>
      <c r="CV152" s="45"/>
      <c r="CW152" s="45"/>
      <c r="CX152" s="24"/>
      <c r="CY152" s="24"/>
      <c r="CZ152" s="24"/>
      <c r="DA152" s="24"/>
      <c r="DB152" s="24"/>
      <c r="DC152" s="24"/>
      <c r="DD152" s="24"/>
      <c r="DE152" s="24"/>
      <c r="DF152" s="24"/>
      <c r="DG152" s="24"/>
      <c r="DH152" s="24"/>
      <c r="DI152" s="24"/>
      <c r="DJ152" s="24"/>
      <c r="DK152" s="24"/>
      <c r="DL152" s="24"/>
      <c r="DM152" s="24"/>
      <c r="DN152" s="24"/>
      <c r="DO152" s="24"/>
      <c r="DP152" s="24"/>
      <c r="DQ152" s="24"/>
      <c r="DR152" s="24"/>
      <c r="DS152" s="24"/>
      <c r="DT152" s="24"/>
      <c r="DU152" s="24"/>
      <c r="DV152" s="24"/>
      <c r="DW152" s="24"/>
      <c r="DX152" s="24"/>
      <c r="DY152" s="24"/>
      <c r="DZ152" s="24"/>
      <c r="EA152" s="24"/>
    </row>
    <row r="153" spans="1:131">
      <c r="A153" s="24" t="s">
        <v>420</v>
      </c>
      <c r="B153" s="24"/>
      <c r="C153" s="198">
        <v>73.145658131418585</v>
      </c>
      <c r="D153" s="198">
        <v>4.0008899869194874</v>
      </c>
      <c r="E153" s="198">
        <v>0.8001779973838975</v>
      </c>
      <c r="F153" s="198">
        <v>4.8010679843033852</v>
      </c>
      <c r="G153" s="198">
        <v>11.438883255786179</v>
      </c>
      <c r="H153" s="198">
        <v>48.233328879575211</v>
      </c>
      <c r="I153" s="198">
        <v>574.98088904927863</v>
      </c>
      <c r="J153" s="198">
        <v>-9.7902216838547336</v>
      </c>
      <c r="K153" s="198">
        <v>-1.7453341021754094</v>
      </c>
      <c r="L153" s="199">
        <v>4.2166116919828811</v>
      </c>
      <c r="M153" s="198">
        <v>0.69488559328866673</v>
      </c>
      <c r="N153" s="198">
        <v>1.7073275578542112E-2</v>
      </c>
      <c r="O153" s="198">
        <v>2.9958608141122793</v>
      </c>
      <c r="P153" s="198">
        <v>2.214727517817785</v>
      </c>
      <c r="Q153" s="198">
        <v>2.0631208320711307</v>
      </c>
      <c r="R153" s="198">
        <v>1.1843832019243763</v>
      </c>
      <c r="S153" s="198">
        <v>0.95140190672247182</v>
      </c>
      <c r="T153" s="198">
        <v>0.73800958884303935</v>
      </c>
      <c r="U153" s="198">
        <v>0.7701072442609419</v>
      </c>
      <c r="V153" s="198">
        <v>1.1209165207336302</v>
      </c>
      <c r="W153" s="198">
        <v>1.4161900386280537</v>
      </c>
      <c r="X153" s="198">
        <v>2.3103541607048128</v>
      </c>
      <c r="Y153" s="198">
        <v>2.6754522129339762</v>
      </c>
      <c r="Z153" s="198">
        <v>3.1516287570611889</v>
      </c>
      <c r="AA153" s="198"/>
      <c r="AB153" s="198">
        <v>4.9651682403349291</v>
      </c>
      <c r="AC153" s="198">
        <v>4.3068674001448626</v>
      </c>
      <c r="AD153" s="198">
        <v>4.3417883427731647</v>
      </c>
      <c r="AE153" s="198">
        <v>4.1344678858724881</v>
      </c>
      <c r="AF153" s="198">
        <v>3.8080553794941068</v>
      </c>
      <c r="AG153" s="198">
        <v>3.4599719950269212</v>
      </c>
      <c r="AH153" s="198">
        <v>3.7782001471376341</v>
      </c>
      <c r="AI153" s="198">
        <v>4.0797138513129365</v>
      </c>
      <c r="AJ153" s="198">
        <v>4.3975109284338041</v>
      </c>
      <c r="AK153" s="198">
        <v>4.53848040266098</v>
      </c>
      <c r="AL153" s="198">
        <v>4.7575949304374063</v>
      </c>
      <c r="AM153" s="45">
        <v>4.9856858319756912</v>
      </c>
      <c r="AN153" s="45"/>
      <c r="AO153" s="45"/>
      <c r="AP153" s="45"/>
      <c r="AQ153" s="45"/>
      <c r="AR153" s="45"/>
      <c r="AS153" s="45"/>
      <c r="AT153" s="45"/>
      <c r="AU153" s="45"/>
      <c r="AV153" s="45"/>
      <c r="AW153" s="45"/>
      <c r="AX153" s="45"/>
      <c r="AY153" s="45"/>
      <c r="AZ153" s="45"/>
      <c r="BA153" s="45"/>
      <c r="BB153" s="45"/>
      <c r="BC153" s="45"/>
      <c r="BD153" s="45"/>
      <c r="BE153" s="45"/>
      <c r="BF153" s="45"/>
      <c r="BG153" s="45"/>
      <c r="BH153" s="45"/>
      <c r="BI153" s="45"/>
      <c r="BJ153" s="45"/>
      <c r="BK153" s="45"/>
      <c r="BL153" s="45"/>
      <c r="BM153" s="45"/>
      <c r="BN153" s="45"/>
      <c r="BO153" s="45"/>
      <c r="BP153" s="45"/>
      <c r="BQ153" s="45"/>
      <c r="BR153" s="45"/>
      <c r="BS153" s="45"/>
      <c r="BT153" s="45"/>
      <c r="BU153" s="45"/>
      <c r="BV153" s="45"/>
      <c r="BW153" s="45"/>
      <c r="BX153" s="45"/>
      <c r="BY153" s="45"/>
      <c r="BZ153" s="45"/>
      <c r="CA153" s="45"/>
      <c r="CB153" s="45"/>
      <c r="CC153" s="45"/>
      <c r="CD153" s="45"/>
      <c r="CE153" s="45"/>
      <c r="CF153" s="45"/>
      <c r="CG153" s="45"/>
      <c r="CH153" s="45"/>
      <c r="CI153" s="45"/>
      <c r="CJ153" s="45"/>
      <c r="CK153" s="45"/>
      <c r="CL153" s="45"/>
      <c r="CM153" s="45"/>
      <c r="CN153" s="45"/>
      <c r="CO153" s="45"/>
      <c r="CP153" s="45"/>
      <c r="CQ153" s="45"/>
      <c r="CR153" s="45"/>
      <c r="CS153" s="45"/>
      <c r="CT153" s="45"/>
      <c r="CU153" s="45"/>
      <c r="CV153" s="45"/>
      <c r="CW153" s="45"/>
      <c r="CX153" s="24"/>
      <c r="CY153" s="24"/>
      <c r="CZ153" s="24"/>
      <c r="DA153" s="24"/>
      <c r="DB153" s="24"/>
      <c r="DC153" s="24"/>
      <c r="DD153" s="24"/>
      <c r="DE153" s="24"/>
      <c r="DF153" s="24"/>
      <c r="DG153" s="24"/>
      <c r="DH153" s="24"/>
      <c r="DI153" s="24"/>
      <c r="DJ153" s="24"/>
      <c r="DK153" s="24"/>
      <c r="DL153" s="24"/>
      <c r="DM153" s="24"/>
      <c r="DN153" s="24"/>
      <c r="DO153" s="24"/>
      <c r="DP153" s="24"/>
      <c r="DQ153" s="24"/>
      <c r="DR153" s="24"/>
      <c r="DS153" s="24"/>
      <c r="DT153" s="24"/>
      <c r="DU153" s="24"/>
      <c r="DV153" s="24"/>
      <c r="DW153" s="24"/>
      <c r="DX153" s="24"/>
      <c r="DY153" s="24"/>
      <c r="DZ153" s="24"/>
      <c r="EA153" s="24"/>
    </row>
    <row r="154" spans="1:131">
      <c r="A154" s="24" t="s">
        <v>421</v>
      </c>
      <c r="B154" s="24"/>
      <c r="C154" s="198">
        <v>73.145658131418585</v>
      </c>
      <c r="D154" s="198">
        <v>4.0008899869194874</v>
      </c>
      <c r="E154" s="198">
        <v>0.8001779973838975</v>
      </c>
      <c r="F154" s="198">
        <v>4.8010679843033852</v>
      </c>
      <c r="G154" s="198">
        <v>11.438883255786179</v>
      </c>
      <c r="H154" s="198">
        <v>48.233328879575211</v>
      </c>
      <c r="I154" s="198">
        <v>574.98088904927863</v>
      </c>
      <c r="J154" s="198">
        <v>-9.7902216838547336</v>
      </c>
      <c r="K154" s="198">
        <v>-1.7453341021754094</v>
      </c>
      <c r="L154" s="199">
        <v>4.2166116919828811</v>
      </c>
      <c r="M154" s="198">
        <v>0.69488559328866673</v>
      </c>
      <c r="N154" s="198">
        <v>1.7073275578542112E-2</v>
      </c>
      <c r="O154" s="198">
        <v>2.9958608141122793</v>
      </c>
      <c r="P154" s="198">
        <v>2.214727517817785</v>
      </c>
      <c r="Q154" s="198">
        <v>2.0631208320711307</v>
      </c>
      <c r="R154" s="198">
        <v>1.1843832019243763</v>
      </c>
      <c r="S154" s="198">
        <v>0.95140190672247182</v>
      </c>
      <c r="T154" s="198">
        <v>0.73800958884303935</v>
      </c>
      <c r="U154" s="198">
        <v>0.7701072442609419</v>
      </c>
      <c r="V154" s="198">
        <v>1.1209165207336302</v>
      </c>
      <c r="W154" s="198">
        <v>1.4161900386280537</v>
      </c>
      <c r="X154" s="198">
        <v>2.3103541607048128</v>
      </c>
      <c r="Y154" s="198">
        <v>2.6754522129339762</v>
      </c>
      <c r="Z154" s="198">
        <v>3.1516287570611889</v>
      </c>
      <c r="AA154" s="198"/>
      <c r="AB154" s="198">
        <v>4.9651682403349291</v>
      </c>
      <c r="AC154" s="198">
        <v>4.3068674001448626</v>
      </c>
      <c r="AD154" s="198">
        <v>4.3417883427731647</v>
      </c>
      <c r="AE154" s="198">
        <v>4.1344678858724881</v>
      </c>
      <c r="AF154" s="198">
        <v>3.8080553794941068</v>
      </c>
      <c r="AG154" s="198">
        <v>3.4599719950269212</v>
      </c>
      <c r="AH154" s="198">
        <v>3.7782001471376341</v>
      </c>
      <c r="AI154" s="198">
        <v>4.0797138513129365</v>
      </c>
      <c r="AJ154" s="198">
        <v>4.3975109284338041</v>
      </c>
      <c r="AK154" s="198">
        <v>4.53848040266098</v>
      </c>
      <c r="AL154" s="198">
        <v>4.7575949304374063</v>
      </c>
      <c r="AM154" s="45">
        <v>4.9856858319756912</v>
      </c>
      <c r="AN154" s="45"/>
      <c r="AO154" s="45"/>
      <c r="AP154" s="45"/>
      <c r="AQ154" s="45"/>
      <c r="AR154" s="45"/>
      <c r="AS154" s="45"/>
      <c r="AT154" s="45"/>
      <c r="AU154" s="45"/>
      <c r="AV154" s="45"/>
      <c r="AW154" s="45"/>
      <c r="AX154" s="45"/>
      <c r="AY154" s="45"/>
      <c r="AZ154" s="45"/>
      <c r="BA154" s="45"/>
      <c r="BB154" s="45"/>
      <c r="BC154" s="45"/>
      <c r="BD154" s="45"/>
      <c r="BE154" s="45"/>
      <c r="BF154" s="45"/>
      <c r="BG154" s="45"/>
      <c r="BH154" s="45"/>
      <c r="BI154" s="45"/>
      <c r="BJ154" s="45"/>
      <c r="BK154" s="45"/>
      <c r="BL154" s="45"/>
      <c r="BM154" s="45"/>
      <c r="BN154" s="45"/>
      <c r="BO154" s="45"/>
      <c r="BP154" s="45"/>
      <c r="BQ154" s="45"/>
      <c r="BR154" s="45"/>
      <c r="BS154" s="45"/>
      <c r="BT154" s="45"/>
      <c r="BU154" s="45"/>
      <c r="BV154" s="45"/>
      <c r="BW154" s="45"/>
      <c r="BX154" s="45"/>
      <c r="BY154" s="45"/>
      <c r="BZ154" s="45"/>
      <c r="CA154" s="45"/>
      <c r="CB154" s="45"/>
      <c r="CC154" s="45"/>
      <c r="CD154" s="45"/>
      <c r="CE154" s="45"/>
      <c r="CF154" s="45"/>
      <c r="CG154" s="45"/>
      <c r="CH154" s="45"/>
      <c r="CI154" s="45"/>
      <c r="CJ154" s="45"/>
      <c r="CK154" s="45"/>
      <c r="CL154" s="45"/>
      <c r="CM154" s="45"/>
      <c r="CN154" s="45"/>
      <c r="CO154" s="45"/>
      <c r="CP154" s="45"/>
      <c r="CQ154" s="45"/>
      <c r="CR154" s="45"/>
      <c r="CS154" s="45"/>
      <c r="CT154" s="45"/>
      <c r="CU154" s="45"/>
      <c r="CV154" s="45"/>
      <c r="CW154" s="45"/>
      <c r="CX154" s="24"/>
      <c r="CY154" s="24"/>
      <c r="CZ154" s="24"/>
      <c r="DA154" s="24"/>
      <c r="DB154" s="24"/>
      <c r="DC154" s="24"/>
      <c r="DD154" s="24"/>
      <c r="DE154" s="24"/>
      <c r="DF154" s="24"/>
      <c r="DG154" s="24"/>
      <c r="DH154" s="24"/>
      <c r="DI154" s="24"/>
      <c r="DJ154" s="24"/>
      <c r="DK154" s="24"/>
      <c r="DL154" s="24"/>
      <c r="DM154" s="24"/>
      <c r="DN154" s="24"/>
      <c r="DO154" s="24"/>
      <c r="DP154" s="24"/>
      <c r="DQ154" s="24"/>
      <c r="DR154" s="24"/>
      <c r="DS154" s="24"/>
      <c r="DT154" s="24"/>
      <c r="DU154" s="24"/>
      <c r="DV154" s="24"/>
      <c r="DW154" s="24"/>
      <c r="DX154" s="24"/>
      <c r="DY154" s="24"/>
      <c r="DZ154" s="24"/>
      <c r="EA154" s="24"/>
    </row>
    <row r="155" spans="1:131">
      <c r="A155" s="24" t="s">
        <v>423</v>
      </c>
      <c r="B155" s="24"/>
      <c r="C155" s="198">
        <v>1391.6616897786967</v>
      </c>
      <c r="D155" s="198">
        <v>134.02315442591345</v>
      </c>
      <c r="E155" s="198">
        <v>26.804630885182689</v>
      </c>
      <c r="F155" s="198">
        <v>160.82778531109614</v>
      </c>
      <c r="G155" s="198">
        <v>246.02925224682076</v>
      </c>
      <c r="H155" s="198">
        <v>917.6823025038716</v>
      </c>
      <c r="I155" s="198">
        <v>1012.3519312723475</v>
      </c>
      <c r="J155" s="198">
        <v>-7.1566326291843261</v>
      </c>
      <c r="K155" s="198">
        <v>-0.24403640914288602</v>
      </c>
      <c r="L155" s="199">
        <v>3.729972326962312</v>
      </c>
      <c r="M155" s="198">
        <v>13.220821080336949</v>
      </c>
      <c r="N155" s="198">
        <v>0.32483436677816196</v>
      </c>
      <c r="O155" s="198">
        <v>56.998936497618999</v>
      </c>
      <c r="P155" s="198">
        <v>42.137175583382799</v>
      </c>
      <c r="Q155" s="198">
        <v>39.25272253643822</v>
      </c>
      <c r="R155" s="198">
        <v>22.533951710082377</v>
      </c>
      <c r="S155" s="198">
        <v>18.101273800684453</v>
      </c>
      <c r="T155" s="198">
        <v>14.04129373799465</v>
      </c>
      <c r="U155" s="198">
        <v>14.651980394153476</v>
      </c>
      <c r="V155" s="198">
        <v>21.326441229667118</v>
      </c>
      <c r="W155" s="198">
        <v>26.944284494151312</v>
      </c>
      <c r="X155" s="198">
        <v>43.956558152734004</v>
      </c>
      <c r="Y155" s="198">
        <v>50.902875750796674</v>
      </c>
      <c r="Z155" s="198">
        <v>59.962561191625518</v>
      </c>
      <c r="AA155" s="198"/>
      <c r="AB155" s="198">
        <v>94.466774924156596</v>
      </c>
      <c r="AC155" s="198">
        <v>81.94201155411956</v>
      </c>
      <c r="AD155" s="198">
        <v>82.606413779326871</v>
      </c>
      <c r="AE155" s="198">
        <v>78.661956312586852</v>
      </c>
      <c r="AF155" s="198">
        <v>72.451665889397404</v>
      </c>
      <c r="AG155" s="198">
        <v>65.829067591885916</v>
      </c>
      <c r="AH155" s="198">
        <v>71.883643341356404</v>
      </c>
      <c r="AI155" s="198">
        <v>77.620211741494984</v>
      </c>
      <c r="AJ155" s="198">
        <v>83.66658590300915</v>
      </c>
      <c r="AK155" s="198">
        <v>86.348656469080638</v>
      </c>
      <c r="AL155" s="198">
        <v>90.51750670257691</v>
      </c>
      <c r="AM155" s="45">
        <v>94.857140490376139</v>
      </c>
      <c r="AN155" s="45"/>
      <c r="AO155" s="45"/>
      <c r="AP155" s="45"/>
      <c r="AQ155" s="45"/>
      <c r="AR155" s="45"/>
      <c r="AS155" s="45"/>
      <c r="AT155" s="45"/>
      <c r="AU155" s="45"/>
      <c r="AV155" s="45"/>
      <c r="AW155" s="45"/>
      <c r="AX155" s="45"/>
      <c r="AY155" s="45"/>
      <c r="AZ155" s="45"/>
      <c r="BA155" s="45"/>
      <c r="BB155" s="45"/>
      <c r="BC155" s="45"/>
      <c r="BD155" s="45"/>
      <c r="BE155" s="45"/>
      <c r="BF155" s="45"/>
      <c r="BG155" s="45"/>
      <c r="BH155" s="45"/>
      <c r="BI155" s="45"/>
      <c r="BJ155" s="45"/>
      <c r="BK155" s="45"/>
      <c r="BL155" s="45"/>
      <c r="BM155" s="45"/>
      <c r="BN155" s="45"/>
      <c r="BO155" s="45"/>
      <c r="BP155" s="45"/>
      <c r="BQ155" s="45"/>
      <c r="BR155" s="45"/>
      <c r="BS155" s="45"/>
      <c r="BT155" s="45"/>
      <c r="BU155" s="45"/>
      <c r="BV155" s="45"/>
      <c r="BW155" s="45"/>
      <c r="BX155" s="45"/>
      <c r="BY155" s="45"/>
      <c r="BZ155" s="45"/>
      <c r="CA155" s="45"/>
      <c r="CB155" s="45"/>
      <c r="CC155" s="45"/>
      <c r="CD155" s="45"/>
      <c r="CE155" s="45"/>
      <c r="CF155" s="45"/>
      <c r="CG155" s="45"/>
      <c r="CH155" s="45"/>
      <c r="CI155" s="45"/>
      <c r="CJ155" s="45"/>
      <c r="CK155" s="45"/>
      <c r="CL155" s="45"/>
      <c r="CM155" s="45"/>
      <c r="CN155" s="45"/>
      <c r="CO155" s="45"/>
      <c r="CP155" s="45"/>
      <c r="CQ155" s="45"/>
      <c r="CR155" s="45"/>
      <c r="CS155" s="45"/>
      <c r="CT155" s="45"/>
      <c r="CU155" s="45"/>
      <c r="CV155" s="45"/>
      <c r="CW155" s="45"/>
      <c r="CX155" s="24"/>
      <c r="CY155" s="24"/>
      <c r="CZ155" s="24"/>
      <c r="DA155" s="24"/>
      <c r="DB155" s="24"/>
      <c r="DC155" s="24"/>
      <c r="DD155" s="24"/>
      <c r="DE155" s="24"/>
      <c r="DF155" s="24"/>
      <c r="DG155" s="24"/>
      <c r="DH155" s="24"/>
      <c r="DI155" s="24"/>
      <c r="DJ155" s="24"/>
      <c r="DK155" s="24"/>
      <c r="DL155" s="24"/>
      <c r="DM155" s="24"/>
      <c r="DN155" s="24"/>
      <c r="DO155" s="24"/>
      <c r="DP155" s="24"/>
      <c r="DQ155" s="24"/>
      <c r="DR155" s="24"/>
      <c r="DS155" s="24"/>
      <c r="DT155" s="24"/>
      <c r="DU155" s="24"/>
      <c r="DV155" s="24"/>
      <c r="DW155" s="24"/>
      <c r="DX155" s="24"/>
      <c r="DY155" s="24"/>
      <c r="DZ155" s="24"/>
      <c r="EA155" s="24"/>
    </row>
    <row r="156" spans="1:131">
      <c r="A156" s="24" t="s">
        <v>413</v>
      </c>
      <c r="B156" s="24"/>
      <c r="C156" s="198">
        <v>797.11017216400808</v>
      </c>
      <c r="D156" s="198">
        <v>83.017365819435099</v>
      </c>
      <c r="E156" s="198">
        <v>16.603473163887021</v>
      </c>
      <c r="F156" s="198">
        <v>99.620838983322116</v>
      </c>
      <c r="G156" s="198">
        <v>152.3968042950888</v>
      </c>
      <c r="H156" s="198">
        <v>525.62623769362187</v>
      </c>
      <c r="I156" s="198">
        <v>1094.8029268334883</v>
      </c>
      <c r="J156" s="198">
        <v>-6.6601616274627427</v>
      </c>
      <c r="K156" s="198">
        <v>0.81543094063551591</v>
      </c>
      <c r="L156" s="199">
        <v>3.4490633850552528</v>
      </c>
      <c r="M156" s="198">
        <v>7.5725666984285294</v>
      </c>
      <c r="N156" s="198">
        <v>0.18605727234504985</v>
      </c>
      <c r="O156" s="198">
        <v>32.647612863444898</v>
      </c>
      <c r="P156" s="198">
        <v>24.135155498256541</v>
      </c>
      <c r="Q156" s="198">
        <v>22.483010525282101</v>
      </c>
      <c r="R156" s="198">
        <v>12.906902776073075</v>
      </c>
      <c r="S156" s="198">
        <v>10.367972030577274</v>
      </c>
      <c r="T156" s="198">
        <v>8.0425136016197722</v>
      </c>
      <c r="U156" s="198">
        <v>8.3923001547772653</v>
      </c>
      <c r="V156" s="198">
        <v>12.215269964734631</v>
      </c>
      <c r="W156" s="198">
        <v>15.433034773978974</v>
      </c>
      <c r="X156" s="198">
        <v>25.177253849989107</v>
      </c>
      <c r="Y156" s="198">
        <v>29.155936641334829</v>
      </c>
      <c r="Z156" s="198">
        <v>34.345105441863652</v>
      </c>
      <c r="AA156" s="198"/>
      <c r="AB156" s="198">
        <v>54.108284920559541</v>
      </c>
      <c r="AC156" s="198">
        <v>46.934403251235665</v>
      </c>
      <c r="AD156" s="198">
        <v>47.3149567837579</v>
      </c>
      <c r="AE156" s="198">
        <v>45.055666904975126</v>
      </c>
      <c r="AF156" s="198">
        <v>41.498562685770651</v>
      </c>
      <c r="AG156" s="198">
        <v>37.705298483792141</v>
      </c>
      <c r="AH156" s="198">
        <v>41.173213102328432</v>
      </c>
      <c r="AI156" s="198">
        <v>44.458980799068165</v>
      </c>
      <c r="AJ156" s="198">
        <v>47.92219774629833</v>
      </c>
      <c r="AK156" s="198">
        <v>49.458422926871663</v>
      </c>
      <c r="AL156" s="198">
        <v>51.846239557705708</v>
      </c>
      <c r="AM156" s="45">
        <v>54.331876879712809</v>
      </c>
      <c r="AN156" s="45"/>
      <c r="AO156" s="45"/>
      <c r="AP156" s="45"/>
      <c r="AQ156" s="45"/>
      <c r="AR156" s="45"/>
      <c r="AS156" s="45"/>
      <c r="AT156" s="45"/>
      <c r="AU156" s="45"/>
      <c r="AV156" s="45"/>
      <c r="AW156" s="45"/>
      <c r="AX156" s="45"/>
      <c r="AY156" s="45"/>
      <c r="AZ156" s="45"/>
      <c r="BA156" s="45"/>
      <c r="BB156" s="45"/>
      <c r="BC156" s="45"/>
      <c r="BD156" s="45"/>
      <c r="BE156" s="45"/>
      <c r="BF156" s="45"/>
      <c r="BG156" s="45"/>
      <c r="BH156" s="45"/>
      <c r="BI156" s="45"/>
      <c r="BJ156" s="45"/>
      <c r="BK156" s="45"/>
      <c r="BL156" s="45"/>
      <c r="BM156" s="45"/>
      <c r="BN156" s="45"/>
      <c r="BO156" s="45"/>
      <c r="BP156" s="45"/>
      <c r="BQ156" s="45"/>
      <c r="BR156" s="45"/>
      <c r="BS156" s="45"/>
      <c r="BT156" s="45"/>
      <c r="BU156" s="45"/>
      <c r="BV156" s="45"/>
      <c r="BW156" s="45"/>
      <c r="BX156" s="45"/>
      <c r="BY156" s="45"/>
      <c r="BZ156" s="45"/>
      <c r="CA156" s="45"/>
      <c r="CB156" s="45"/>
      <c r="CC156" s="45"/>
      <c r="CD156" s="45"/>
      <c r="CE156" s="45"/>
      <c r="CF156" s="45"/>
      <c r="CG156" s="45"/>
      <c r="CH156" s="45"/>
      <c r="CI156" s="45"/>
      <c r="CJ156" s="45"/>
      <c r="CK156" s="45"/>
      <c r="CL156" s="45"/>
      <c r="CM156" s="45"/>
      <c r="CN156" s="45"/>
      <c r="CO156" s="45"/>
      <c r="CP156" s="45"/>
      <c r="CQ156" s="45"/>
      <c r="CR156" s="45"/>
      <c r="CS156" s="45"/>
      <c r="CT156" s="45"/>
      <c r="CU156" s="45"/>
      <c r="CV156" s="45"/>
      <c r="CW156" s="45"/>
      <c r="CX156" s="24"/>
      <c r="CY156" s="24"/>
      <c r="CZ156" s="24"/>
      <c r="DA156" s="24"/>
      <c r="DB156" s="24"/>
      <c r="DC156" s="24"/>
      <c r="DD156" s="24"/>
      <c r="DE156" s="24"/>
      <c r="DF156" s="24"/>
      <c r="DG156" s="24"/>
      <c r="DH156" s="24"/>
      <c r="DI156" s="24"/>
      <c r="DJ156" s="24"/>
      <c r="DK156" s="24"/>
      <c r="DL156" s="24"/>
      <c r="DM156" s="24"/>
      <c r="DN156" s="24"/>
      <c r="DO156" s="24"/>
      <c r="DP156" s="24"/>
      <c r="DQ156" s="24"/>
      <c r="DR156" s="24"/>
      <c r="DS156" s="24"/>
      <c r="DT156" s="24"/>
      <c r="DU156" s="24"/>
      <c r="DV156" s="24"/>
      <c r="DW156" s="24"/>
      <c r="DX156" s="24"/>
      <c r="DY156" s="24"/>
      <c r="DZ156" s="24"/>
      <c r="EA156" s="24"/>
    </row>
    <row r="157" spans="1:131">
      <c r="A157" s="24" t="s">
        <v>425</v>
      </c>
      <c r="B157" s="24"/>
      <c r="C157" s="198">
        <v>1722.7756260529418</v>
      </c>
      <c r="D157" s="198">
        <v>332.28218672874203</v>
      </c>
      <c r="E157" s="198">
        <v>66.456437345748412</v>
      </c>
      <c r="F157" s="198">
        <v>398.73862407449042</v>
      </c>
      <c r="G157" s="198">
        <v>480.83706044696794</v>
      </c>
      <c r="H157" s="198">
        <v>1136.0237296359132</v>
      </c>
      <c r="I157" s="198">
        <v>2027.5132141817267</v>
      </c>
      <c r="J157" s="198">
        <v>-1.0439333754652007</v>
      </c>
      <c r="K157" s="198">
        <v>7.2846943626380103</v>
      </c>
      <c r="L157" s="199">
        <v>2.3625960290579693</v>
      </c>
      <c r="M157" s="198">
        <v>16.366411808916986</v>
      </c>
      <c r="N157" s="198">
        <v>0.40212124376201641</v>
      </c>
      <c r="O157" s="198">
        <v>70.56052432157756</v>
      </c>
      <c r="P157" s="198">
        <v>52.162748733356906</v>
      </c>
      <c r="Q157" s="198">
        <v>48.592006332191517</v>
      </c>
      <c r="R157" s="198">
        <v>27.89538797389563</v>
      </c>
      <c r="S157" s="198">
        <v>22.408056162908998</v>
      </c>
      <c r="T157" s="198">
        <v>17.382097091365431</v>
      </c>
      <c r="U157" s="198">
        <v>18.138082611491015</v>
      </c>
      <c r="V157" s="198">
        <v>26.400578108005242</v>
      </c>
      <c r="W157" s="198">
        <v>33.355058150189997</v>
      </c>
      <c r="X157" s="198">
        <v>54.415011598653045</v>
      </c>
      <c r="Y157" s="198">
        <v>63.014045930530052</v>
      </c>
      <c r="Z157" s="198">
        <v>74.229275444858786</v>
      </c>
      <c r="AA157" s="198"/>
      <c r="AB157" s="198">
        <v>116.94297436401092</v>
      </c>
      <c r="AC157" s="198">
        <v>101.43823121094492</v>
      </c>
      <c r="AD157" s="198">
        <v>102.26071268606873</v>
      </c>
      <c r="AE157" s="198">
        <v>97.37776215893102</v>
      </c>
      <c r="AF157" s="198">
        <v>89.689875763580062</v>
      </c>
      <c r="AG157" s="198">
        <v>81.491582304839497</v>
      </c>
      <c r="AH157" s="198">
        <v>88.986705296216584</v>
      </c>
      <c r="AI157" s="198">
        <v>96.088158393280608</v>
      </c>
      <c r="AJ157" s="198">
        <v>103.57312841721604</v>
      </c>
      <c r="AK157" s="198">
        <v>106.89333607437786</v>
      </c>
      <c r="AL157" s="198">
        <v>112.05406847340983</v>
      </c>
      <c r="AM157" s="45">
        <v>117.4262184510421</v>
      </c>
      <c r="AN157" s="45"/>
      <c r="AO157" s="45"/>
      <c r="AP157" s="45"/>
      <c r="AQ157" s="45"/>
      <c r="AR157" s="45"/>
      <c r="AS157" s="45"/>
      <c r="AT157" s="45"/>
      <c r="AU157" s="45"/>
      <c r="AV157" s="45"/>
      <c r="AW157" s="45"/>
      <c r="AX157" s="45"/>
      <c r="AY157" s="45"/>
      <c r="AZ157" s="45"/>
      <c r="BA157" s="45"/>
      <c r="BB157" s="45"/>
      <c r="BC157" s="45"/>
      <c r="BD157" s="45"/>
      <c r="BE157" s="45"/>
      <c r="BF157" s="45"/>
      <c r="BG157" s="45"/>
      <c r="BH157" s="45"/>
      <c r="BI157" s="45"/>
      <c r="BJ157" s="45"/>
      <c r="BK157" s="45"/>
      <c r="BL157" s="45"/>
      <c r="BM157" s="45"/>
      <c r="BN157" s="45"/>
      <c r="BO157" s="45"/>
      <c r="BP157" s="45"/>
      <c r="BQ157" s="45"/>
      <c r="BR157" s="45"/>
      <c r="BS157" s="45"/>
      <c r="BT157" s="45"/>
      <c r="BU157" s="45"/>
      <c r="BV157" s="45"/>
      <c r="BW157" s="45"/>
      <c r="BX157" s="45"/>
      <c r="BY157" s="45"/>
      <c r="BZ157" s="45"/>
      <c r="CA157" s="45"/>
      <c r="CB157" s="45"/>
      <c r="CC157" s="45"/>
      <c r="CD157" s="45"/>
      <c r="CE157" s="45"/>
      <c r="CF157" s="45"/>
      <c r="CG157" s="45"/>
      <c r="CH157" s="45"/>
      <c r="CI157" s="45"/>
      <c r="CJ157" s="45"/>
      <c r="CK157" s="45"/>
      <c r="CL157" s="45"/>
      <c r="CM157" s="45"/>
      <c r="CN157" s="45"/>
      <c r="CO157" s="45"/>
      <c r="CP157" s="45"/>
      <c r="CQ157" s="45"/>
      <c r="CR157" s="45"/>
      <c r="CS157" s="45"/>
      <c r="CT157" s="45"/>
      <c r="CU157" s="45"/>
      <c r="CV157" s="45"/>
      <c r="CW157" s="45"/>
      <c r="CX157" s="24"/>
      <c r="CY157" s="24"/>
      <c r="CZ157" s="24"/>
      <c r="DA157" s="24"/>
      <c r="DB157" s="24"/>
      <c r="DC157" s="24"/>
      <c r="DD157" s="24"/>
      <c r="DE157" s="24"/>
      <c r="DF157" s="24"/>
      <c r="DG157" s="24"/>
      <c r="DH157" s="24"/>
      <c r="DI157" s="24"/>
      <c r="DJ157" s="24"/>
      <c r="DK157" s="24"/>
      <c r="DL157" s="24"/>
      <c r="DM157" s="24"/>
      <c r="DN157" s="24"/>
      <c r="DO157" s="24"/>
      <c r="DP157" s="24"/>
      <c r="DQ157" s="24"/>
      <c r="DR157" s="24"/>
      <c r="DS157" s="24"/>
      <c r="DT157" s="24"/>
      <c r="DU157" s="24"/>
      <c r="DV157" s="24"/>
      <c r="DW157" s="24"/>
      <c r="DX157" s="24"/>
      <c r="DY157" s="24"/>
      <c r="DZ157" s="24"/>
      <c r="EA157" s="24"/>
    </row>
    <row r="158" spans="1:131">
      <c r="A158" s="24" t="s">
        <v>424</v>
      </c>
      <c r="B158" s="24"/>
      <c r="C158" s="198">
        <v>3387.6594304155228</v>
      </c>
      <c r="D158" s="198">
        <v>532.0694632777404</v>
      </c>
      <c r="E158" s="198">
        <v>106.41389265554808</v>
      </c>
      <c r="F158" s="198">
        <v>638.48335593328852</v>
      </c>
      <c r="G158" s="198">
        <v>976.73161592351858</v>
      </c>
      <c r="H158" s="198">
        <v>2233.8727357631246</v>
      </c>
      <c r="I158" s="198">
        <v>1651.0261178437197</v>
      </c>
      <c r="J158" s="198">
        <v>-3.3109154122748703</v>
      </c>
      <c r="K158" s="198">
        <v>7.9627104374355353</v>
      </c>
      <c r="L158" s="199">
        <v>2.2870896153504305</v>
      </c>
      <c r="M158" s="198">
        <v>32.182849854666841</v>
      </c>
      <c r="N158" s="198">
        <v>0.7907296823799802</v>
      </c>
      <c r="O158" s="198">
        <v>138.74994631814602</v>
      </c>
      <c r="P158" s="198">
        <v>102.57263046367333</v>
      </c>
      <c r="Q158" s="198">
        <v>95.551136204083235</v>
      </c>
      <c r="R158" s="198">
        <v>54.85338468096208</v>
      </c>
      <c r="S158" s="198">
        <v>44.063116304633951</v>
      </c>
      <c r="T158" s="198">
        <v>34.18008952615213</v>
      </c>
      <c r="U158" s="198">
        <v>35.666656573991425</v>
      </c>
      <c r="V158" s="198">
        <v>51.913996253193531</v>
      </c>
      <c r="W158" s="198">
        <v>65.589259324172076</v>
      </c>
      <c r="X158" s="198">
        <v>107.00147158494927</v>
      </c>
      <c r="Y158" s="198">
        <v>123.91057994840529</v>
      </c>
      <c r="Z158" s="198">
        <v>145.96416455566899</v>
      </c>
      <c r="AA158" s="198"/>
      <c r="AB158" s="198">
        <v>229.95621944845649</v>
      </c>
      <c r="AC158" s="198">
        <v>199.46775155725797</v>
      </c>
      <c r="AD158" s="198">
        <v>201.08507599777664</v>
      </c>
      <c r="AE158" s="198">
        <v>191.48326067641094</v>
      </c>
      <c r="AF158" s="198">
        <v>176.3658301455163</v>
      </c>
      <c r="AG158" s="198">
        <v>160.24473710889885</v>
      </c>
      <c r="AH158" s="198">
        <v>174.98311841629871</v>
      </c>
      <c r="AI158" s="198">
        <v>188.94738874269069</v>
      </c>
      <c r="AJ158" s="198">
        <v>203.66580529357771</v>
      </c>
      <c r="AK158" s="198">
        <v>210.19464898664282</v>
      </c>
      <c r="AL158" s="198">
        <v>220.34269352305554</v>
      </c>
      <c r="AM158" s="45">
        <v>230.90646878090988</v>
      </c>
      <c r="AN158" s="45"/>
      <c r="AO158" s="45"/>
      <c r="AP158" s="45"/>
      <c r="AQ158" s="45"/>
      <c r="AR158" s="45"/>
      <c r="AS158" s="45"/>
      <c r="AT158" s="45"/>
      <c r="AU158" s="45"/>
      <c r="AV158" s="45"/>
      <c r="AW158" s="45"/>
      <c r="AX158" s="45"/>
      <c r="AY158" s="45"/>
      <c r="AZ158" s="45"/>
      <c r="BA158" s="45"/>
      <c r="BB158" s="45"/>
      <c r="BC158" s="45"/>
      <c r="BD158" s="45"/>
      <c r="BE158" s="45"/>
      <c r="BF158" s="45"/>
      <c r="BG158" s="45"/>
      <c r="BH158" s="45"/>
      <c r="BI158" s="45"/>
      <c r="BJ158" s="45"/>
      <c r="BK158" s="45"/>
      <c r="BL158" s="45"/>
      <c r="BM158" s="45"/>
      <c r="BN158" s="45"/>
      <c r="BO158" s="45"/>
      <c r="BP158" s="45"/>
      <c r="BQ158" s="45"/>
      <c r="BR158" s="45"/>
      <c r="BS158" s="45"/>
      <c r="BT158" s="45"/>
      <c r="BU158" s="45"/>
      <c r="BV158" s="45"/>
      <c r="BW158" s="45"/>
      <c r="BX158" s="45"/>
      <c r="BY158" s="45"/>
      <c r="BZ158" s="45"/>
      <c r="CA158" s="45"/>
      <c r="CB158" s="45"/>
      <c r="CC158" s="45"/>
      <c r="CD158" s="45"/>
      <c r="CE158" s="45"/>
      <c r="CF158" s="45"/>
      <c r="CG158" s="45"/>
      <c r="CH158" s="45"/>
      <c r="CI158" s="45"/>
      <c r="CJ158" s="45"/>
      <c r="CK158" s="45"/>
      <c r="CL158" s="45"/>
      <c r="CM158" s="45"/>
      <c r="CN158" s="45"/>
      <c r="CO158" s="45"/>
      <c r="CP158" s="45"/>
      <c r="CQ158" s="45"/>
      <c r="CR158" s="45"/>
      <c r="CS158" s="45"/>
      <c r="CT158" s="45"/>
      <c r="CU158" s="45"/>
      <c r="CV158" s="45"/>
      <c r="CW158" s="45"/>
      <c r="CX158" s="24"/>
      <c r="CY158" s="24"/>
      <c r="CZ158" s="24"/>
      <c r="DA158" s="24"/>
      <c r="DB158" s="24"/>
      <c r="DC158" s="24"/>
      <c r="DD158" s="24"/>
      <c r="DE158" s="24"/>
      <c r="DF158" s="24"/>
      <c r="DG158" s="24"/>
      <c r="DH158" s="24"/>
      <c r="DI158" s="24"/>
      <c r="DJ158" s="24"/>
      <c r="DK158" s="24"/>
      <c r="DL158" s="24"/>
      <c r="DM158" s="24"/>
      <c r="DN158" s="24"/>
      <c r="DO158" s="24"/>
      <c r="DP158" s="24"/>
      <c r="DQ158" s="24"/>
      <c r="DR158" s="24"/>
      <c r="DS158" s="24"/>
      <c r="DT158" s="24"/>
      <c r="DU158" s="24"/>
      <c r="DV158" s="24"/>
      <c r="DW158" s="24"/>
      <c r="DX158" s="24"/>
      <c r="DY158" s="24"/>
      <c r="DZ158" s="24"/>
      <c r="EA158" s="24"/>
    </row>
    <row r="159" spans="1:131">
      <c r="A159" s="24" t="s">
        <v>422</v>
      </c>
      <c r="B159" s="24"/>
      <c r="C159" s="198">
        <v>299.03666118432898</v>
      </c>
      <c r="D159" s="198">
        <v>30.451059986919489</v>
      </c>
      <c r="E159" s="198">
        <v>6.0902119973838982</v>
      </c>
      <c r="F159" s="198">
        <v>36.541271984303386</v>
      </c>
      <c r="G159" s="198">
        <v>87.062159005654138</v>
      </c>
      <c r="H159" s="198">
        <v>197.18919747826337</v>
      </c>
      <c r="I159" s="198">
        <v>1070.4424712165446</v>
      </c>
      <c r="J159" s="198">
        <v>-6.8068458454061123</v>
      </c>
      <c r="K159" s="198">
        <v>8.1703290618003326</v>
      </c>
      <c r="L159" s="199">
        <v>2.2649242762915764</v>
      </c>
      <c r="M159" s="198">
        <v>2.8408558078566108</v>
      </c>
      <c r="N159" s="198">
        <v>6.9799567806392765E-2</v>
      </c>
      <c r="O159" s="198">
        <v>12.24778391651785</v>
      </c>
      <c r="P159" s="198">
        <v>9.0543272051962393</v>
      </c>
      <c r="Q159" s="198">
        <v>8.434523401702565</v>
      </c>
      <c r="R159" s="198">
        <v>4.8420372078673042</v>
      </c>
      <c r="S159" s="198">
        <v>3.8895548539536353</v>
      </c>
      <c r="T159" s="198">
        <v>3.0171568485053668</v>
      </c>
      <c r="U159" s="198">
        <v>3.1483796162432629</v>
      </c>
      <c r="V159" s="198">
        <v>4.582570481822783</v>
      </c>
      <c r="W159" s="198">
        <v>5.789718099097044</v>
      </c>
      <c r="X159" s="198">
        <v>9.4452714217049714</v>
      </c>
      <c r="Y159" s="198">
        <v>10.937878164641846</v>
      </c>
      <c r="Z159" s="198">
        <v>12.884599918573686</v>
      </c>
      <c r="AA159" s="198"/>
      <c r="AB159" s="198">
        <v>20.298776041369273</v>
      </c>
      <c r="AC159" s="198">
        <v>17.607487312356941</v>
      </c>
      <c r="AD159" s="198">
        <v>17.750252342513821</v>
      </c>
      <c r="AE159" s="198">
        <v>16.90267753341988</v>
      </c>
      <c r="AF159" s="198">
        <v>15.568226404402379</v>
      </c>
      <c r="AG159" s="198">
        <v>14.14517962672771</v>
      </c>
      <c r="AH159" s="198">
        <v>15.446171189768565</v>
      </c>
      <c r="AI159" s="198">
        <v>16.678830156838185</v>
      </c>
      <c r="AJ159" s="198">
        <v>17.978059383891143</v>
      </c>
      <c r="AK159" s="198">
        <v>18.554375763819891</v>
      </c>
      <c r="AL159" s="198">
        <v>19.450167509729397</v>
      </c>
      <c r="AM159" s="45">
        <v>20.382656783665329</v>
      </c>
      <c r="AN159" s="45"/>
      <c r="AO159" s="45"/>
      <c r="AP159" s="45"/>
      <c r="AQ159" s="45"/>
      <c r="AR159" s="45"/>
      <c r="AS159" s="45"/>
      <c r="AT159" s="45"/>
      <c r="AU159" s="45"/>
      <c r="AV159" s="45"/>
      <c r="AW159" s="45"/>
      <c r="AX159" s="45"/>
      <c r="AY159" s="45"/>
      <c r="AZ159" s="45"/>
      <c r="BA159" s="45"/>
      <c r="BB159" s="45"/>
      <c r="BC159" s="45"/>
      <c r="BD159" s="45"/>
      <c r="BE159" s="45"/>
      <c r="BF159" s="45"/>
      <c r="BG159" s="45"/>
      <c r="BH159" s="45"/>
      <c r="BI159" s="45"/>
      <c r="BJ159" s="45"/>
      <c r="BK159" s="45"/>
      <c r="BL159" s="45"/>
      <c r="BM159" s="45"/>
      <c r="BN159" s="45"/>
      <c r="BO159" s="45"/>
      <c r="BP159" s="45"/>
      <c r="BQ159" s="45"/>
      <c r="BR159" s="45"/>
      <c r="BS159" s="45"/>
      <c r="BT159" s="45"/>
      <c r="BU159" s="45"/>
      <c r="BV159" s="45"/>
      <c r="BW159" s="45"/>
      <c r="BX159" s="45"/>
      <c r="BY159" s="45"/>
      <c r="BZ159" s="45"/>
      <c r="CA159" s="45"/>
      <c r="CB159" s="45"/>
      <c r="CC159" s="45"/>
      <c r="CD159" s="45"/>
      <c r="CE159" s="45"/>
      <c r="CF159" s="45"/>
      <c r="CG159" s="45"/>
      <c r="CH159" s="45"/>
      <c r="CI159" s="45"/>
      <c r="CJ159" s="45"/>
      <c r="CK159" s="45"/>
      <c r="CL159" s="45"/>
      <c r="CM159" s="45"/>
      <c r="CN159" s="45"/>
      <c r="CO159" s="45"/>
      <c r="CP159" s="45"/>
      <c r="CQ159" s="45"/>
      <c r="CR159" s="45"/>
      <c r="CS159" s="45"/>
      <c r="CT159" s="45"/>
      <c r="CU159" s="45"/>
      <c r="CV159" s="45"/>
      <c r="CW159" s="45"/>
      <c r="CX159" s="24"/>
      <c r="CY159" s="24"/>
      <c r="CZ159" s="24"/>
      <c r="DA159" s="24"/>
      <c r="DB159" s="24"/>
      <c r="DC159" s="24"/>
      <c r="DD159" s="24"/>
      <c r="DE159" s="24"/>
      <c r="DF159" s="24"/>
      <c r="DG159" s="24"/>
      <c r="DH159" s="24"/>
      <c r="DI159" s="24"/>
      <c r="DJ159" s="24"/>
      <c r="DK159" s="24"/>
      <c r="DL159" s="24"/>
      <c r="DM159" s="24"/>
      <c r="DN159" s="24"/>
      <c r="DO159" s="24"/>
      <c r="DP159" s="24"/>
      <c r="DQ159" s="24"/>
      <c r="DR159" s="24"/>
      <c r="DS159" s="24"/>
      <c r="DT159" s="24"/>
      <c r="DU159" s="24"/>
      <c r="DV159" s="24"/>
      <c r="DW159" s="24"/>
      <c r="DX159" s="24"/>
      <c r="DY159" s="24"/>
      <c r="DZ159" s="24"/>
      <c r="EA159" s="24"/>
    </row>
    <row r="160" spans="1:131">
      <c r="A160" s="24" t="s">
        <v>426</v>
      </c>
      <c r="B160" s="24"/>
      <c r="C160" s="198">
        <v>1722.7756260529418</v>
      </c>
      <c r="D160" s="198">
        <v>371.54658006207535</v>
      </c>
      <c r="E160" s="198">
        <v>74.309316012415067</v>
      </c>
      <c r="F160" s="198">
        <v>445.85589607449043</v>
      </c>
      <c r="G160" s="198">
        <v>537.65556057934486</v>
      </c>
      <c r="H160" s="198">
        <v>1136.0237296359132</v>
      </c>
      <c r="I160" s="198">
        <v>2267.095952919241</v>
      </c>
      <c r="J160" s="198">
        <v>0.39869180433642498</v>
      </c>
      <c r="K160" s="198">
        <v>9.7114785750234507</v>
      </c>
      <c r="L160" s="199">
        <v>2.1129210091527804</v>
      </c>
      <c r="M160" s="198">
        <v>16.366411808916986</v>
      </c>
      <c r="N160" s="198">
        <v>0.40212124376201641</v>
      </c>
      <c r="O160" s="198">
        <v>70.56052432157756</v>
      </c>
      <c r="P160" s="198">
        <v>52.162748733356906</v>
      </c>
      <c r="Q160" s="198">
        <v>48.592006332191517</v>
      </c>
      <c r="R160" s="198">
        <v>27.89538797389563</v>
      </c>
      <c r="S160" s="198">
        <v>22.408056162908998</v>
      </c>
      <c r="T160" s="198">
        <v>17.382097091365431</v>
      </c>
      <c r="U160" s="198">
        <v>18.138082611491015</v>
      </c>
      <c r="V160" s="198">
        <v>26.400578108005242</v>
      </c>
      <c r="W160" s="198">
        <v>33.355058150189997</v>
      </c>
      <c r="X160" s="198">
        <v>54.415011598653045</v>
      </c>
      <c r="Y160" s="198">
        <v>63.014045930530052</v>
      </c>
      <c r="Z160" s="198">
        <v>74.229275444858786</v>
      </c>
      <c r="AA160" s="198"/>
      <c r="AB160" s="198">
        <v>116.94297436401092</v>
      </c>
      <c r="AC160" s="198">
        <v>101.43823121094492</v>
      </c>
      <c r="AD160" s="198">
        <v>102.26071268606873</v>
      </c>
      <c r="AE160" s="198">
        <v>97.37776215893102</v>
      </c>
      <c r="AF160" s="198">
        <v>89.689875763580062</v>
      </c>
      <c r="AG160" s="198">
        <v>81.491582304839497</v>
      </c>
      <c r="AH160" s="198">
        <v>88.986705296216584</v>
      </c>
      <c r="AI160" s="198">
        <v>96.088158393280608</v>
      </c>
      <c r="AJ160" s="198">
        <v>103.57312841721604</v>
      </c>
      <c r="AK160" s="198">
        <v>106.89333607437786</v>
      </c>
      <c r="AL160" s="198">
        <v>112.05406847340983</v>
      </c>
      <c r="AM160" s="45">
        <v>117.4262184510421</v>
      </c>
      <c r="AN160" s="45"/>
      <c r="AO160" s="45"/>
      <c r="AP160" s="45"/>
      <c r="AQ160" s="45"/>
      <c r="AR160" s="45"/>
      <c r="AS160" s="45"/>
      <c r="AT160" s="45"/>
      <c r="AU160" s="45"/>
      <c r="AV160" s="45"/>
      <c r="AW160" s="45"/>
      <c r="AX160" s="45"/>
      <c r="AY160" s="45"/>
      <c r="AZ160" s="45"/>
      <c r="BA160" s="45"/>
      <c r="BB160" s="45"/>
      <c r="BC160" s="45"/>
      <c r="BD160" s="45"/>
      <c r="BE160" s="45"/>
      <c r="BF160" s="45"/>
      <c r="BG160" s="45"/>
      <c r="BH160" s="45"/>
      <c r="BI160" s="45"/>
      <c r="BJ160" s="45"/>
      <c r="BK160" s="45"/>
      <c r="BL160" s="45"/>
      <c r="BM160" s="45"/>
      <c r="BN160" s="45"/>
      <c r="BO160" s="45"/>
      <c r="BP160" s="45"/>
      <c r="BQ160" s="45"/>
      <c r="BR160" s="45"/>
      <c r="BS160" s="45"/>
      <c r="BT160" s="45"/>
      <c r="BU160" s="45"/>
      <c r="BV160" s="45"/>
      <c r="BW160" s="45"/>
      <c r="BX160" s="45"/>
      <c r="BY160" s="45"/>
      <c r="BZ160" s="45"/>
      <c r="CA160" s="45"/>
      <c r="CB160" s="45"/>
      <c r="CC160" s="45"/>
      <c r="CD160" s="45"/>
      <c r="CE160" s="45"/>
      <c r="CF160" s="45"/>
      <c r="CG160" s="45"/>
      <c r="CH160" s="45"/>
      <c r="CI160" s="45"/>
      <c r="CJ160" s="45"/>
      <c r="CK160" s="45"/>
      <c r="CL160" s="45"/>
      <c r="CM160" s="45"/>
      <c r="CN160" s="45"/>
      <c r="CO160" s="45"/>
      <c r="CP160" s="45"/>
      <c r="CQ160" s="45"/>
      <c r="CR160" s="45"/>
      <c r="CS160" s="45"/>
      <c r="CT160" s="45"/>
      <c r="CU160" s="45"/>
      <c r="CV160" s="45"/>
      <c r="CW160" s="45"/>
      <c r="CX160" s="24"/>
      <c r="CY160" s="24"/>
      <c r="CZ160" s="24"/>
      <c r="DA160" s="24"/>
      <c r="DB160" s="24"/>
      <c r="DC160" s="24"/>
      <c r="DD160" s="24"/>
      <c r="DE160" s="24"/>
      <c r="DF160" s="24"/>
      <c r="DG160" s="24"/>
      <c r="DH160" s="24"/>
      <c r="DI160" s="24"/>
      <c r="DJ160" s="24"/>
      <c r="DK160" s="24"/>
      <c r="DL160" s="24"/>
      <c r="DM160" s="24"/>
      <c r="DN160" s="24"/>
      <c r="DO160" s="24"/>
      <c r="DP160" s="24"/>
      <c r="DQ160" s="24"/>
      <c r="DR160" s="24"/>
      <c r="DS160" s="24"/>
      <c r="DT160" s="24"/>
      <c r="DU160" s="24"/>
      <c r="DV160" s="24"/>
      <c r="DW160" s="24"/>
      <c r="DX160" s="24"/>
      <c r="DY160" s="24"/>
      <c r="DZ160" s="24"/>
      <c r="EA160" s="24"/>
    </row>
    <row r="161" spans="1:131">
      <c r="A161" s="24" t="s">
        <v>428</v>
      </c>
      <c r="B161" s="24"/>
      <c r="C161" s="198">
        <v>686.32071762629175</v>
      </c>
      <c r="D161" s="198">
        <v>154.26033291735365</v>
      </c>
      <c r="E161" s="198">
        <v>30.85206658347073</v>
      </c>
      <c r="F161" s="198">
        <v>185.11239950082438</v>
      </c>
      <c r="G161" s="198">
        <v>248.08603178663276</v>
      </c>
      <c r="H161" s="198">
        <v>452.5700326690461</v>
      </c>
      <c r="I161" s="198">
        <v>2362.7213604095077</v>
      </c>
      <c r="J161" s="198">
        <v>0.97449130225179015</v>
      </c>
      <c r="K161" s="198">
        <v>13.345359986942796</v>
      </c>
      <c r="L161" s="199">
        <v>1.8242463286215183</v>
      </c>
      <c r="M161" s="198">
        <v>6.5200640918042199</v>
      </c>
      <c r="N161" s="198">
        <v>0.16019737940211778</v>
      </c>
      <c r="O161" s="198">
        <v>28.109957533717932</v>
      </c>
      <c r="P161" s="198">
        <v>20.780637131522365</v>
      </c>
      <c r="Q161" s="198">
        <v>19.358121947208314</v>
      </c>
      <c r="R161" s="198">
        <v>11.112986742546086</v>
      </c>
      <c r="S161" s="198">
        <v>8.9269391520084955</v>
      </c>
      <c r="T161" s="198">
        <v>6.9246935986248941</v>
      </c>
      <c r="U161" s="198">
        <v>7.2258637085575579</v>
      </c>
      <c r="V161" s="198">
        <v>10.517483204907098</v>
      </c>
      <c r="W161" s="198">
        <v>13.288014469158504</v>
      </c>
      <c r="X161" s="198">
        <v>21.67789539465128</v>
      </c>
      <c r="Y161" s="198">
        <v>25.103585498630952</v>
      </c>
      <c r="Z161" s="198">
        <v>29.571517510330498</v>
      </c>
      <c r="AA161" s="198"/>
      <c r="AB161" s="198">
        <v>46.587834697165938</v>
      </c>
      <c r="AC161" s="198">
        <v>40.4110428465616</v>
      </c>
      <c r="AD161" s="198">
        <v>40.738703667683502</v>
      </c>
      <c r="AE161" s="198">
        <v>38.793429971423393</v>
      </c>
      <c r="AF161" s="198">
        <v>35.730723703645879</v>
      </c>
      <c r="AG161" s="198">
        <v>32.464681065925831</v>
      </c>
      <c r="AH161" s="198">
        <v>35.450594096240067</v>
      </c>
      <c r="AI161" s="198">
        <v>38.279676602435593</v>
      </c>
      <c r="AJ161" s="198">
        <v>41.261544885543508</v>
      </c>
      <c r="AK161" s="198">
        <v>42.584251840222457</v>
      </c>
      <c r="AL161" s="198">
        <v>44.640188498495121</v>
      </c>
      <c r="AM161" s="45">
        <v>46.780349859085064</v>
      </c>
      <c r="AN161" s="45"/>
      <c r="AO161" s="45"/>
      <c r="AP161" s="45"/>
      <c r="AQ161" s="45"/>
      <c r="AR161" s="45"/>
      <c r="AS161" s="45"/>
      <c r="AT161" s="45"/>
      <c r="AU161" s="45"/>
      <c r="AV161" s="45"/>
      <c r="AW161" s="45"/>
      <c r="AX161" s="45"/>
      <c r="AY161" s="45"/>
      <c r="AZ161" s="45"/>
      <c r="BA161" s="45"/>
      <c r="BB161" s="45"/>
      <c r="BC161" s="45"/>
      <c r="BD161" s="45"/>
      <c r="BE161" s="45"/>
      <c r="BF161" s="45"/>
      <c r="BG161" s="45"/>
      <c r="BH161" s="45"/>
      <c r="BI161" s="45"/>
      <c r="BJ161" s="45"/>
      <c r="BK161" s="45"/>
      <c r="BL161" s="45"/>
      <c r="BM161" s="45"/>
      <c r="BN161" s="45"/>
      <c r="BO161" s="45"/>
      <c r="BP161" s="45"/>
      <c r="BQ161" s="45"/>
      <c r="BR161" s="45"/>
      <c r="BS161" s="45"/>
      <c r="BT161" s="45"/>
      <c r="BU161" s="45"/>
      <c r="BV161" s="45"/>
      <c r="BW161" s="45"/>
      <c r="BX161" s="45"/>
      <c r="BY161" s="45"/>
      <c r="BZ161" s="45"/>
      <c r="CA161" s="45"/>
      <c r="CB161" s="45"/>
      <c r="CC161" s="45"/>
      <c r="CD161" s="45"/>
      <c r="CE161" s="45"/>
      <c r="CF161" s="45"/>
      <c r="CG161" s="45"/>
      <c r="CH161" s="45"/>
      <c r="CI161" s="45"/>
      <c r="CJ161" s="45"/>
      <c r="CK161" s="45"/>
      <c r="CL161" s="45"/>
      <c r="CM161" s="45"/>
      <c r="CN161" s="45"/>
      <c r="CO161" s="45"/>
      <c r="CP161" s="45"/>
      <c r="CQ161" s="45"/>
      <c r="CR161" s="45"/>
      <c r="CS161" s="45"/>
      <c r="CT161" s="45"/>
      <c r="CU161" s="45"/>
      <c r="CV161" s="45"/>
      <c r="CW161" s="45"/>
      <c r="CX161" s="24"/>
      <c r="CY161" s="24"/>
      <c r="CZ161" s="24"/>
      <c r="DA161" s="24"/>
      <c r="DB161" s="24"/>
      <c r="DC161" s="24"/>
      <c r="DD161" s="24"/>
      <c r="DE161" s="24"/>
      <c r="DF161" s="24"/>
      <c r="DG161" s="24"/>
      <c r="DH161" s="24"/>
      <c r="DI161" s="24"/>
      <c r="DJ161" s="24"/>
      <c r="DK161" s="24"/>
      <c r="DL161" s="24"/>
      <c r="DM161" s="24"/>
      <c r="DN161" s="24"/>
      <c r="DO161" s="24"/>
      <c r="DP161" s="24"/>
      <c r="DQ161" s="24"/>
      <c r="DR161" s="24"/>
      <c r="DS161" s="24"/>
      <c r="DT161" s="24"/>
      <c r="DU161" s="24"/>
      <c r="DV161" s="24"/>
      <c r="DW161" s="24"/>
      <c r="DX161" s="24"/>
      <c r="DY161" s="24"/>
      <c r="DZ161" s="24"/>
      <c r="EA161" s="24"/>
    </row>
    <row r="162" spans="1:131">
      <c r="A162" s="24" t="s">
        <v>430</v>
      </c>
      <c r="B162" s="24"/>
      <c r="C162" s="198">
        <v>696.18365257841458</v>
      </c>
      <c r="D162" s="198">
        <v>186.95819668884204</v>
      </c>
      <c r="E162" s="198">
        <v>37.39163933776841</v>
      </c>
      <c r="F162" s="198">
        <v>224.34983602661043</v>
      </c>
      <c r="G162" s="198">
        <v>270.54242843211949</v>
      </c>
      <c r="H162" s="198">
        <v>459.073797860534</v>
      </c>
      <c r="I162" s="198">
        <v>2822.9685605433629</v>
      </c>
      <c r="J162" s="198">
        <v>3.7458270142695529</v>
      </c>
      <c r="K162" s="198">
        <v>15.342029738217567</v>
      </c>
      <c r="L162" s="199">
        <v>1.6968643348143746</v>
      </c>
      <c r="M162" s="198">
        <v>6.6137622220945982</v>
      </c>
      <c r="N162" s="198">
        <v>0.16249953390797076</v>
      </c>
      <c r="O162" s="198">
        <v>28.513918357778262</v>
      </c>
      <c r="P162" s="198">
        <v>21.07927021519313</v>
      </c>
      <c r="Q162" s="198">
        <v>19.636312438413242</v>
      </c>
      <c r="R162" s="198">
        <v>11.272688559132099</v>
      </c>
      <c r="S162" s="198">
        <v>9.0552258522589746</v>
      </c>
      <c r="T162" s="198">
        <v>7.0242065533887157</v>
      </c>
      <c r="U162" s="198">
        <v>7.3297046999484285</v>
      </c>
      <c r="V162" s="198">
        <v>10.668627196405437</v>
      </c>
      <c r="W162" s="198">
        <v>13.478973038507039</v>
      </c>
      <c r="X162" s="198">
        <v>21.98942274139355</v>
      </c>
      <c r="Y162" s="198">
        <v>25.464342539004704</v>
      </c>
      <c r="Z162" s="198">
        <v>29.996482029321985</v>
      </c>
      <c r="AA162" s="198"/>
      <c r="AB162" s="198">
        <v>47.257336245607604</v>
      </c>
      <c r="AC162" s="198">
        <v>40.991779340021367</v>
      </c>
      <c r="AD162" s="198">
        <v>41.324148888830038</v>
      </c>
      <c r="AE162" s="198">
        <v>39.350920174693371</v>
      </c>
      <c r="AF162" s="198">
        <v>36.244200558752595</v>
      </c>
      <c r="AG162" s="198">
        <v>32.931222479249435</v>
      </c>
      <c r="AH162" s="198">
        <v>35.960045282260815</v>
      </c>
      <c r="AI162" s="198">
        <v>38.829783790841496</v>
      </c>
      <c r="AJ162" s="198">
        <v>41.854503720645738</v>
      </c>
      <c r="AK162" s="198">
        <v>43.196218949910715</v>
      </c>
      <c r="AL162" s="198">
        <v>45.281700934450605</v>
      </c>
      <c r="AM162" s="45">
        <v>47.452617992405401</v>
      </c>
      <c r="AN162" s="45"/>
      <c r="AO162" s="45"/>
      <c r="AP162" s="45"/>
      <c r="AQ162" s="45"/>
      <c r="AR162" s="45"/>
      <c r="AS162" s="45"/>
      <c r="AT162" s="45"/>
      <c r="AU162" s="45"/>
      <c r="AV162" s="45"/>
      <c r="AW162" s="45"/>
      <c r="AX162" s="45"/>
      <c r="AY162" s="45"/>
      <c r="AZ162" s="45"/>
      <c r="BA162" s="45"/>
      <c r="BB162" s="45"/>
      <c r="BC162" s="45"/>
      <c r="BD162" s="45"/>
      <c r="BE162" s="45"/>
      <c r="BF162" s="45"/>
      <c r="BG162" s="45"/>
      <c r="BH162" s="45"/>
      <c r="BI162" s="45"/>
      <c r="BJ162" s="45"/>
      <c r="BK162" s="45"/>
      <c r="BL162" s="45"/>
      <c r="BM162" s="45"/>
      <c r="BN162" s="45"/>
      <c r="BO162" s="45"/>
      <c r="BP162" s="45"/>
      <c r="BQ162" s="45"/>
      <c r="BR162" s="45"/>
      <c r="BS162" s="45"/>
      <c r="BT162" s="45"/>
      <c r="BU162" s="45"/>
      <c r="BV162" s="45"/>
      <c r="BW162" s="45"/>
      <c r="BX162" s="45"/>
      <c r="BY162" s="45"/>
      <c r="BZ162" s="45"/>
      <c r="CA162" s="45"/>
      <c r="CB162" s="45"/>
      <c r="CC162" s="45"/>
      <c r="CD162" s="45"/>
      <c r="CE162" s="45"/>
      <c r="CF162" s="45"/>
      <c r="CG162" s="45"/>
      <c r="CH162" s="45"/>
      <c r="CI162" s="45"/>
      <c r="CJ162" s="45"/>
      <c r="CK162" s="45"/>
      <c r="CL162" s="45"/>
      <c r="CM162" s="45"/>
      <c r="CN162" s="45"/>
      <c r="CO162" s="45"/>
      <c r="CP162" s="45"/>
      <c r="CQ162" s="45"/>
      <c r="CR162" s="45"/>
      <c r="CS162" s="45"/>
      <c r="CT162" s="45"/>
      <c r="CU162" s="45"/>
      <c r="CV162" s="45"/>
      <c r="CW162" s="45"/>
      <c r="CX162" s="24"/>
      <c r="CY162" s="24"/>
      <c r="CZ162" s="24"/>
      <c r="DA162" s="24"/>
      <c r="DB162" s="24"/>
      <c r="DC162" s="24"/>
      <c r="DD162" s="24"/>
      <c r="DE162" s="24"/>
      <c r="DF162" s="24"/>
      <c r="DG162" s="24"/>
      <c r="DH162" s="24"/>
      <c r="DI162" s="24"/>
      <c r="DJ162" s="24"/>
      <c r="DK162" s="24"/>
      <c r="DL162" s="24"/>
      <c r="DM162" s="24"/>
      <c r="DN162" s="24"/>
      <c r="DO162" s="24"/>
      <c r="DP162" s="24"/>
      <c r="DQ162" s="24"/>
      <c r="DR162" s="24"/>
      <c r="DS162" s="24"/>
      <c r="DT162" s="24"/>
      <c r="DU162" s="24"/>
      <c r="DV162" s="24"/>
      <c r="DW162" s="24"/>
      <c r="DX162" s="24"/>
      <c r="DY162" s="24"/>
      <c r="DZ162" s="24"/>
      <c r="EA162" s="24"/>
    </row>
    <row r="163" spans="1:131">
      <c r="A163" s="24" t="s">
        <v>429</v>
      </c>
      <c r="B163" s="24"/>
      <c r="C163" s="198">
        <v>1391.6616897786967</v>
      </c>
      <c r="D163" s="198">
        <v>338.08982109258011</v>
      </c>
      <c r="E163" s="198">
        <v>67.617964218516022</v>
      </c>
      <c r="F163" s="198">
        <v>405.70778531109613</v>
      </c>
      <c r="G163" s="198">
        <v>620.63892043109524</v>
      </c>
      <c r="H163" s="198">
        <v>917.6823025038716</v>
      </c>
      <c r="I163" s="198">
        <v>2553.7817311694212</v>
      </c>
      <c r="J163" s="198">
        <v>2.1249435559196197</v>
      </c>
      <c r="K163" s="198">
        <v>19.562814118882429</v>
      </c>
      <c r="L163" s="199">
        <v>1.4786090145079047</v>
      </c>
      <c r="M163" s="198">
        <v>13.220821080336949</v>
      </c>
      <c r="N163" s="198">
        <v>0.32483436677816196</v>
      </c>
      <c r="O163" s="198">
        <v>56.998936497618999</v>
      </c>
      <c r="P163" s="198">
        <v>42.137175583382799</v>
      </c>
      <c r="Q163" s="198">
        <v>39.25272253643822</v>
      </c>
      <c r="R163" s="198">
        <v>22.533951710082377</v>
      </c>
      <c r="S163" s="198">
        <v>18.101273800684453</v>
      </c>
      <c r="T163" s="198">
        <v>14.04129373799465</v>
      </c>
      <c r="U163" s="198">
        <v>14.651980394153476</v>
      </c>
      <c r="V163" s="198">
        <v>21.326441229667118</v>
      </c>
      <c r="W163" s="198">
        <v>26.944284494151312</v>
      </c>
      <c r="X163" s="198">
        <v>43.956558152734004</v>
      </c>
      <c r="Y163" s="198">
        <v>50.902875750796674</v>
      </c>
      <c r="Z163" s="198">
        <v>59.962561191625518</v>
      </c>
      <c r="AA163" s="198"/>
      <c r="AB163" s="198">
        <v>94.466774924156596</v>
      </c>
      <c r="AC163" s="198">
        <v>81.94201155411956</v>
      </c>
      <c r="AD163" s="198">
        <v>82.606413779326871</v>
      </c>
      <c r="AE163" s="198">
        <v>78.661956312586852</v>
      </c>
      <c r="AF163" s="198">
        <v>72.451665889397404</v>
      </c>
      <c r="AG163" s="198">
        <v>65.829067591885916</v>
      </c>
      <c r="AH163" s="198">
        <v>71.883643341356404</v>
      </c>
      <c r="AI163" s="198">
        <v>77.620211741494984</v>
      </c>
      <c r="AJ163" s="198">
        <v>83.66658590300915</v>
      </c>
      <c r="AK163" s="198">
        <v>86.348656469080638</v>
      </c>
      <c r="AL163" s="198">
        <v>90.51750670257691</v>
      </c>
      <c r="AM163" s="45">
        <v>94.857140490376139</v>
      </c>
      <c r="AN163" s="45"/>
      <c r="AO163" s="45"/>
      <c r="AP163" s="45"/>
      <c r="AQ163" s="45"/>
      <c r="AR163" s="45"/>
      <c r="AS163" s="45"/>
      <c r="AT163" s="45"/>
      <c r="AU163" s="45"/>
      <c r="AV163" s="45"/>
      <c r="AW163" s="45"/>
      <c r="AX163" s="45"/>
      <c r="AY163" s="45"/>
      <c r="AZ163" s="45"/>
      <c r="BA163" s="45"/>
      <c r="BB163" s="45"/>
      <c r="BC163" s="45"/>
      <c r="BD163" s="45"/>
      <c r="BE163" s="45"/>
      <c r="BF163" s="45"/>
      <c r="BG163" s="45"/>
      <c r="BH163" s="45"/>
      <c r="BI163" s="45"/>
      <c r="BJ163" s="45"/>
      <c r="BK163" s="45"/>
      <c r="BL163" s="45"/>
      <c r="BM163" s="45"/>
      <c r="BN163" s="45"/>
      <c r="BO163" s="45"/>
      <c r="BP163" s="45"/>
      <c r="BQ163" s="45"/>
      <c r="BR163" s="45"/>
      <c r="BS163" s="45"/>
      <c r="BT163" s="45"/>
      <c r="BU163" s="45"/>
      <c r="BV163" s="45"/>
      <c r="BW163" s="45"/>
      <c r="BX163" s="45"/>
      <c r="BY163" s="45"/>
      <c r="BZ163" s="45"/>
      <c r="CA163" s="45"/>
      <c r="CB163" s="45"/>
      <c r="CC163" s="45"/>
      <c r="CD163" s="45"/>
      <c r="CE163" s="45"/>
      <c r="CF163" s="45"/>
      <c r="CG163" s="45"/>
      <c r="CH163" s="45"/>
      <c r="CI163" s="45"/>
      <c r="CJ163" s="45"/>
      <c r="CK163" s="45"/>
      <c r="CL163" s="45"/>
      <c r="CM163" s="45"/>
      <c r="CN163" s="45"/>
      <c r="CO163" s="45"/>
      <c r="CP163" s="45"/>
      <c r="CQ163" s="45"/>
      <c r="CR163" s="45"/>
      <c r="CS163" s="45"/>
      <c r="CT163" s="45"/>
      <c r="CU163" s="45"/>
      <c r="CV163" s="45"/>
      <c r="CW163" s="45"/>
      <c r="CX163" s="24"/>
      <c r="CY163" s="24"/>
      <c r="CZ163" s="24"/>
      <c r="DA163" s="24"/>
      <c r="DB163" s="24"/>
      <c r="DC163" s="24"/>
      <c r="DD163" s="24"/>
      <c r="DE163" s="24"/>
      <c r="DF163" s="24"/>
      <c r="DG163" s="24"/>
      <c r="DH163" s="24"/>
      <c r="DI163" s="24"/>
      <c r="DJ163" s="24"/>
      <c r="DK163" s="24"/>
      <c r="DL163" s="24"/>
      <c r="DM163" s="24"/>
      <c r="DN163" s="24"/>
      <c r="DO163" s="24"/>
      <c r="DP163" s="24"/>
      <c r="DQ163" s="24"/>
      <c r="DR163" s="24"/>
      <c r="DS163" s="24"/>
      <c r="DT163" s="24"/>
      <c r="DU163" s="24"/>
      <c r="DV163" s="24"/>
      <c r="DW163" s="24"/>
      <c r="DX163" s="24"/>
      <c r="DY163" s="24"/>
      <c r="DZ163" s="24"/>
      <c r="EA163" s="24"/>
    </row>
    <row r="164" spans="1:131">
      <c r="A164" s="24" t="s">
        <v>435</v>
      </c>
      <c r="B164" s="24"/>
      <c r="C164" s="198">
        <v>696.18365257841458</v>
      </c>
      <c r="D164" s="198">
        <v>228.79070335550873</v>
      </c>
      <c r="E164" s="198">
        <v>45.758140671101749</v>
      </c>
      <c r="F164" s="198">
        <v>274.54884402661048</v>
      </c>
      <c r="G164" s="198">
        <v>331.07717973718638</v>
      </c>
      <c r="H164" s="198">
        <v>459.073797860534</v>
      </c>
      <c r="I164" s="198">
        <v>3454.6169890167243</v>
      </c>
      <c r="J164" s="198">
        <v>7.5492392821964849</v>
      </c>
      <c r="K164" s="198">
        <v>21.740130211042683</v>
      </c>
      <c r="L164" s="199">
        <v>1.3866065858871732</v>
      </c>
      <c r="M164" s="198">
        <v>6.6137622220945982</v>
      </c>
      <c r="N164" s="198">
        <v>0.16249953390797076</v>
      </c>
      <c r="O164" s="198">
        <v>28.513918357778262</v>
      </c>
      <c r="P164" s="198">
        <v>21.07927021519313</v>
      </c>
      <c r="Q164" s="198">
        <v>19.636312438413242</v>
      </c>
      <c r="R164" s="198">
        <v>11.272688559132099</v>
      </c>
      <c r="S164" s="198">
        <v>9.0552258522589746</v>
      </c>
      <c r="T164" s="198">
        <v>7.0242065533887157</v>
      </c>
      <c r="U164" s="198">
        <v>7.3297046999484285</v>
      </c>
      <c r="V164" s="198">
        <v>10.668627196405437</v>
      </c>
      <c r="W164" s="198">
        <v>13.478973038507039</v>
      </c>
      <c r="X164" s="198">
        <v>21.98942274139355</v>
      </c>
      <c r="Y164" s="198">
        <v>25.464342539004704</v>
      </c>
      <c r="Z164" s="198">
        <v>29.996482029321985</v>
      </c>
      <c r="AA164" s="198"/>
      <c r="AB164" s="198">
        <v>47.257336245607604</v>
      </c>
      <c r="AC164" s="198">
        <v>40.991779340021367</v>
      </c>
      <c r="AD164" s="198">
        <v>41.324148888830038</v>
      </c>
      <c r="AE164" s="198">
        <v>39.350920174693371</v>
      </c>
      <c r="AF164" s="198">
        <v>36.244200558752595</v>
      </c>
      <c r="AG164" s="198">
        <v>32.931222479249435</v>
      </c>
      <c r="AH164" s="198">
        <v>35.960045282260815</v>
      </c>
      <c r="AI164" s="198">
        <v>38.829783790841496</v>
      </c>
      <c r="AJ164" s="198">
        <v>41.854503720645738</v>
      </c>
      <c r="AK164" s="198">
        <v>43.196218949910715</v>
      </c>
      <c r="AL164" s="198">
        <v>45.281700934450605</v>
      </c>
      <c r="AM164" s="45">
        <v>47.452617992405401</v>
      </c>
      <c r="AN164" s="45"/>
      <c r="AO164" s="45"/>
      <c r="AP164" s="45"/>
      <c r="AQ164" s="45"/>
      <c r="AR164" s="45"/>
      <c r="AS164" s="45"/>
      <c r="AT164" s="45"/>
      <c r="AU164" s="45"/>
      <c r="AV164" s="45"/>
      <c r="AW164" s="45"/>
      <c r="AX164" s="45"/>
      <c r="AY164" s="45"/>
      <c r="AZ164" s="45"/>
      <c r="BA164" s="45"/>
      <c r="BB164" s="45"/>
      <c r="BC164" s="45"/>
      <c r="BD164" s="45"/>
      <c r="BE164" s="45"/>
      <c r="BF164" s="45"/>
      <c r="BG164" s="45"/>
      <c r="BH164" s="45"/>
      <c r="BI164" s="45"/>
      <c r="BJ164" s="45"/>
      <c r="BK164" s="45"/>
      <c r="BL164" s="45"/>
      <c r="BM164" s="45"/>
      <c r="BN164" s="45"/>
      <c r="BO164" s="45"/>
      <c r="BP164" s="45"/>
      <c r="BQ164" s="45"/>
      <c r="BR164" s="45"/>
      <c r="BS164" s="45"/>
      <c r="BT164" s="45"/>
      <c r="BU164" s="45"/>
      <c r="BV164" s="45"/>
      <c r="BW164" s="45"/>
      <c r="BX164" s="45"/>
      <c r="BY164" s="45"/>
      <c r="BZ164" s="45"/>
      <c r="CA164" s="45"/>
      <c r="CB164" s="45"/>
      <c r="CC164" s="45"/>
      <c r="CD164" s="45"/>
      <c r="CE164" s="45"/>
      <c r="CF164" s="45"/>
      <c r="CG164" s="45"/>
      <c r="CH164" s="45"/>
      <c r="CI164" s="45"/>
      <c r="CJ164" s="45"/>
      <c r="CK164" s="45"/>
      <c r="CL164" s="45"/>
      <c r="CM164" s="45"/>
      <c r="CN164" s="45"/>
      <c r="CO164" s="45"/>
      <c r="CP164" s="45"/>
      <c r="CQ164" s="45"/>
      <c r="CR164" s="45"/>
      <c r="CS164" s="45"/>
      <c r="CT164" s="45"/>
      <c r="CU164" s="45"/>
      <c r="CV164" s="45"/>
      <c r="CW164" s="45"/>
      <c r="CX164" s="24"/>
      <c r="CY164" s="24"/>
      <c r="CZ164" s="24"/>
      <c r="DA164" s="24"/>
      <c r="DB164" s="24"/>
      <c r="DC164" s="24"/>
      <c r="DD164" s="24"/>
      <c r="DE164" s="24"/>
      <c r="DF164" s="24"/>
      <c r="DG164" s="24"/>
      <c r="DH164" s="24"/>
      <c r="DI164" s="24"/>
      <c r="DJ164" s="24"/>
      <c r="DK164" s="24"/>
      <c r="DL164" s="24"/>
      <c r="DM164" s="24"/>
      <c r="DN164" s="24"/>
      <c r="DO164" s="24"/>
      <c r="DP164" s="24"/>
      <c r="DQ164" s="24"/>
      <c r="DR164" s="24"/>
      <c r="DS164" s="24"/>
      <c r="DT164" s="24"/>
      <c r="DU164" s="24"/>
      <c r="DV164" s="24"/>
      <c r="DW164" s="24"/>
      <c r="DX164" s="24"/>
      <c r="DY164" s="24"/>
      <c r="DZ164" s="24"/>
      <c r="EA164" s="24"/>
    </row>
    <row r="165" spans="1:131">
      <c r="A165" s="24" t="s">
        <v>432</v>
      </c>
      <c r="B165" s="24"/>
      <c r="C165" s="198">
        <v>1391.6616897786967</v>
      </c>
      <c r="D165" s="198">
        <v>366.92315442591342</v>
      </c>
      <c r="E165" s="198">
        <v>73.384630885182688</v>
      </c>
      <c r="F165" s="198">
        <v>440.3077853110961</v>
      </c>
      <c r="G165" s="198">
        <v>673.56890458323471</v>
      </c>
      <c r="H165" s="198">
        <v>917.6823025038716</v>
      </c>
      <c r="I165" s="198">
        <v>2771.5760429810789</v>
      </c>
      <c r="J165" s="198">
        <v>3.4363717493392349</v>
      </c>
      <c r="K165" s="198">
        <v>22.361397213743896</v>
      </c>
      <c r="L165" s="199">
        <v>1.3624178554852975</v>
      </c>
      <c r="M165" s="198">
        <v>13.220821080336949</v>
      </c>
      <c r="N165" s="198">
        <v>0.32483436677816196</v>
      </c>
      <c r="O165" s="198">
        <v>56.998936497618999</v>
      </c>
      <c r="P165" s="198">
        <v>42.137175583382799</v>
      </c>
      <c r="Q165" s="198">
        <v>39.25272253643822</v>
      </c>
      <c r="R165" s="198">
        <v>22.533951710082377</v>
      </c>
      <c r="S165" s="198">
        <v>18.101273800684453</v>
      </c>
      <c r="T165" s="198">
        <v>14.04129373799465</v>
      </c>
      <c r="U165" s="198">
        <v>14.651980394153476</v>
      </c>
      <c r="V165" s="198">
        <v>21.326441229667118</v>
      </c>
      <c r="W165" s="198">
        <v>26.944284494151312</v>
      </c>
      <c r="X165" s="198">
        <v>43.956558152734004</v>
      </c>
      <c r="Y165" s="198">
        <v>50.902875750796674</v>
      </c>
      <c r="Z165" s="198">
        <v>59.962561191625518</v>
      </c>
      <c r="AA165" s="198"/>
      <c r="AB165" s="198">
        <v>94.466774924156596</v>
      </c>
      <c r="AC165" s="198">
        <v>81.94201155411956</v>
      </c>
      <c r="AD165" s="198">
        <v>82.606413779326871</v>
      </c>
      <c r="AE165" s="198">
        <v>78.661956312586852</v>
      </c>
      <c r="AF165" s="198">
        <v>72.451665889397404</v>
      </c>
      <c r="AG165" s="198">
        <v>65.829067591885916</v>
      </c>
      <c r="AH165" s="198">
        <v>71.883643341356404</v>
      </c>
      <c r="AI165" s="198">
        <v>77.620211741494984</v>
      </c>
      <c r="AJ165" s="198">
        <v>83.66658590300915</v>
      </c>
      <c r="AK165" s="198">
        <v>86.348656469080638</v>
      </c>
      <c r="AL165" s="198">
        <v>90.51750670257691</v>
      </c>
      <c r="AM165" s="45">
        <v>94.857140490376139</v>
      </c>
      <c r="AN165" s="45"/>
      <c r="AO165" s="45"/>
      <c r="AP165" s="45"/>
      <c r="AQ165" s="45"/>
      <c r="AR165" s="45"/>
      <c r="AS165" s="45"/>
      <c r="AT165" s="45"/>
      <c r="AU165" s="45"/>
      <c r="AV165" s="45"/>
      <c r="AW165" s="45"/>
      <c r="AX165" s="45"/>
      <c r="AY165" s="45"/>
      <c r="AZ165" s="45"/>
      <c r="BA165" s="45"/>
      <c r="BB165" s="45"/>
      <c r="BC165" s="45"/>
      <c r="BD165" s="45"/>
      <c r="BE165" s="45"/>
      <c r="BF165" s="45"/>
      <c r="BG165" s="45"/>
      <c r="BH165" s="45"/>
      <c r="BI165" s="45"/>
      <c r="BJ165" s="45"/>
      <c r="BK165" s="45"/>
      <c r="BL165" s="45"/>
      <c r="BM165" s="45"/>
      <c r="BN165" s="45"/>
      <c r="BO165" s="45"/>
      <c r="BP165" s="45"/>
      <c r="BQ165" s="45"/>
      <c r="BR165" s="45"/>
      <c r="BS165" s="45"/>
      <c r="BT165" s="45"/>
      <c r="BU165" s="45"/>
      <c r="BV165" s="45"/>
      <c r="BW165" s="45"/>
      <c r="BX165" s="45"/>
      <c r="BY165" s="45"/>
      <c r="BZ165" s="45"/>
      <c r="CA165" s="45"/>
      <c r="CB165" s="45"/>
      <c r="CC165" s="45"/>
      <c r="CD165" s="45"/>
      <c r="CE165" s="45"/>
      <c r="CF165" s="45"/>
      <c r="CG165" s="45"/>
      <c r="CH165" s="45"/>
      <c r="CI165" s="45"/>
      <c r="CJ165" s="45"/>
      <c r="CK165" s="45"/>
      <c r="CL165" s="45"/>
      <c r="CM165" s="45"/>
      <c r="CN165" s="45"/>
      <c r="CO165" s="45"/>
      <c r="CP165" s="45"/>
      <c r="CQ165" s="45"/>
      <c r="CR165" s="45"/>
      <c r="CS165" s="45"/>
      <c r="CT165" s="45"/>
      <c r="CU165" s="45"/>
      <c r="CV165" s="45"/>
      <c r="CW165" s="45"/>
      <c r="CX165" s="24"/>
      <c r="CY165" s="24"/>
      <c r="CZ165" s="24"/>
      <c r="DA165" s="24"/>
      <c r="DB165" s="24"/>
      <c r="DC165" s="24"/>
      <c r="DD165" s="24"/>
      <c r="DE165" s="24"/>
      <c r="DF165" s="24"/>
      <c r="DG165" s="24"/>
      <c r="DH165" s="24"/>
      <c r="DI165" s="24"/>
      <c r="DJ165" s="24"/>
      <c r="DK165" s="24"/>
      <c r="DL165" s="24"/>
      <c r="DM165" s="24"/>
      <c r="DN165" s="24"/>
      <c r="DO165" s="24"/>
      <c r="DP165" s="24"/>
      <c r="DQ165" s="24"/>
      <c r="DR165" s="24"/>
      <c r="DS165" s="24"/>
      <c r="DT165" s="24"/>
      <c r="DU165" s="24"/>
      <c r="DV165" s="24"/>
      <c r="DW165" s="24"/>
      <c r="DX165" s="24"/>
      <c r="DY165" s="24"/>
      <c r="DZ165" s="24"/>
      <c r="EA165" s="24"/>
    </row>
    <row r="166" spans="1:131">
      <c r="A166" s="24" t="s">
        <v>419</v>
      </c>
      <c r="B166" s="24"/>
      <c r="C166" s="198">
        <v>686.32071762629175</v>
      </c>
      <c r="D166" s="198">
        <v>210.259506250687</v>
      </c>
      <c r="E166" s="198">
        <v>42.051901250137405</v>
      </c>
      <c r="F166" s="198">
        <v>252.3114075008244</v>
      </c>
      <c r="G166" s="198">
        <v>338.14555929356214</v>
      </c>
      <c r="H166" s="198">
        <v>452.5700326690461</v>
      </c>
      <c r="I166" s="198">
        <v>3220.4301472226912</v>
      </c>
      <c r="J166" s="198">
        <v>6.1391049940145992</v>
      </c>
      <c r="K166" s="198">
        <v>23.000813330458914</v>
      </c>
      <c r="L166" s="199">
        <v>1.3383882184185243</v>
      </c>
      <c r="M166" s="198">
        <v>6.5200640918042199</v>
      </c>
      <c r="N166" s="198">
        <v>0.16019737940211778</v>
      </c>
      <c r="O166" s="198">
        <v>28.109957533717932</v>
      </c>
      <c r="P166" s="198">
        <v>20.780637131522365</v>
      </c>
      <c r="Q166" s="198">
        <v>19.358121947208314</v>
      </c>
      <c r="R166" s="198">
        <v>11.112986742546086</v>
      </c>
      <c r="S166" s="198">
        <v>8.9269391520084955</v>
      </c>
      <c r="T166" s="198">
        <v>6.9246935986248941</v>
      </c>
      <c r="U166" s="198">
        <v>7.2258637085575579</v>
      </c>
      <c r="V166" s="198">
        <v>10.517483204907098</v>
      </c>
      <c r="W166" s="198">
        <v>13.288014469158504</v>
      </c>
      <c r="X166" s="198">
        <v>21.67789539465128</v>
      </c>
      <c r="Y166" s="198">
        <v>25.103585498630952</v>
      </c>
      <c r="Z166" s="198">
        <v>29.571517510330498</v>
      </c>
      <c r="AA166" s="198"/>
      <c r="AB166" s="198">
        <v>46.587834697165938</v>
      </c>
      <c r="AC166" s="198">
        <v>40.4110428465616</v>
      </c>
      <c r="AD166" s="198">
        <v>40.738703667683502</v>
      </c>
      <c r="AE166" s="198">
        <v>38.793429971423393</v>
      </c>
      <c r="AF166" s="198">
        <v>35.730723703645879</v>
      </c>
      <c r="AG166" s="198">
        <v>32.464681065925831</v>
      </c>
      <c r="AH166" s="198">
        <v>35.450594096240067</v>
      </c>
      <c r="AI166" s="198">
        <v>38.279676602435593</v>
      </c>
      <c r="AJ166" s="198">
        <v>41.261544885543508</v>
      </c>
      <c r="AK166" s="198">
        <v>42.584251840222457</v>
      </c>
      <c r="AL166" s="198">
        <v>44.640188498495121</v>
      </c>
      <c r="AM166" s="45">
        <v>46.780349859085064</v>
      </c>
      <c r="AN166" s="45"/>
      <c r="AO166" s="45"/>
      <c r="AP166" s="45"/>
      <c r="AQ166" s="45"/>
      <c r="AR166" s="45"/>
      <c r="AS166" s="45"/>
      <c r="AT166" s="45"/>
      <c r="AU166" s="45"/>
      <c r="AV166" s="45"/>
      <c r="AW166" s="45"/>
      <c r="AX166" s="45"/>
      <c r="AY166" s="45"/>
      <c r="AZ166" s="45"/>
      <c r="BA166" s="45"/>
      <c r="BB166" s="45"/>
      <c r="BC166" s="45"/>
      <c r="BD166" s="45"/>
      <c r="BE166" s="45"/>
      <c r="BF166" s="45"/>
      <c r="BG166" s="45"/>
      <c r="BH166" s="45"/>
      <c r="BI166" s="45"/>
      <c r="BJ166" s="45"/>
      <c r="BK166" s="45"/>
      <c r="BL166" s="45"/>
      <c r="BM166" s="45"/>
      <c r="BN166" s="45"/>
      <c r="BO166" s="45"/>
      <c r="BP166" s="45"/>
      <c r="BQ166" s="45"/>
      <c r="BR166" s="45"/>
      <c r="BS166" s="45"/>
      <c r="BT166" s="45"/>
      <c r="BU166" s="45"/>
      <c r="BV166" s="45"/>
      <c r="BW166" s="45"/>
      <c r="BX166" s="45"/>
      <c r="BY166" s="45"/>
      <c r="BZ166" s="45"/>
      <c r="CA166" s="45"/>
      <c r="CB166" s="45"/>
      <c r="CC166" s="45"/>
      <c r="CD166" s="45"/>
      <c r="CE166" s="45"/>
      <c r="CF166" s="45"/>
      <c r="CG166" s="45"/>
      <c r="CH166" s="45"/>
      <c r="CI166" s="45"/>
      <c r="CJ166" s="45"/>
      <c r="CK166" s="45"/>
      <c r="CL166" s="45"/>
      <c r="CM166" s="45"/>
      <c r="CN166" s="45"/>
      <c r="CO166" s="45"/>
      <c r="CP166" s="45"/>
      <c r="CQ166" s="45"/>
      <c r="CR166" s="45"/>
      <c r="CS166" s="45"/>
      <c r="CT166" s="45"/>
      <c r="CU166" s="45"/>
      <c r="CV166" s="45"/>
      <c r="CW166" s="45"/>
      <c r="CX166" s="24"/>
      <c r="CY166" s="24"/>
      <c r="CZ166" s="24"/>
      <c r="DA166" s="24"/>
      <c r="DB166" s="24"/>
      <c r="DC166" s="24"/>
      <c r="DD166" s="24"/>
      <c r="DE166" s="24"/>
      <c r="DF166" s="24"/>
      <c r="DG166" s="24"/>
      <c r="DH166" s="24"/>
      <c r="DI166" s="24"/>
      <c r="DJ166" s="24"/>
      <c r="DK166" s="24"/>
      <c r="DL166" s="24"/>
      <c r="DM166" s="24"/>
      <c r="DN166" s="24"/>
      <c r="DO166" s="24"/>
      <c r="DP166" s="24"/>
      <c r="DQ166" s="24"/>
      <c r="DR166" s="24"/>
      <c r="DS166" s="24"/>
      <c r="DT166" s="24"/>
      <c r="DU166" s="24"/>
      <c r="DV166" s="24"/>
      <c r="DW166" s="24"/>
      <c r="DX166" s="24"/>
      <c r="DY166" s="24"/>
      <c r="DZ166" s="24"/>
      <c r="EA166" s="24"/>
    </row>
    <row r="167" spans="1:131">
      <c r="A167" s="24" t="s">
        <v>433</v>
      </c>
      <c r="B167" s="24"/>
      <c r="C167" s="198">
        <v>3387.6594304155228</v>
      </c>
      <c r="D167" s="198">
        <v>984.136129944407</v>
      </c>
      <c r="E167" s="198">
        <v>196.82722598888142</v>
      </c>
      <c r="F167" s="198">
        <v>1180.9633559332883</v>
      </c>
      <c r="G167" s="198">
        <v>1806.6003385493159</v>
      </c>
      <c r="H167" s="198">
        <v>2233.8727357631246</v>
      </c>
      <c r="I167" s="198">
        <v>3053.8013665401668</v>
      </c>
      <c r="J167" s="198">
        <v>5.1357652878281117</v>
      </c>
      <c r="K167" s="198">
        <v>25.987896973468082</v>
      </c>
      <c r="L167" s="199">
        <v>1.2365063196860158</v>
      </c>
      <c r="M167" s="198">
        <v>32.182849854666841</v>
      </c>
      <c r="N167" s="198">
        <v>0.7907296823799802</v>
      </c>
      <c r="O167" s="198">
        <v>138.74994631814602</v>
      </c>
      <c r="P167" s="198">
        <v>102.57263046367333</v>
      </c>
      <c r="Q167" s="198">
        <v>95.551136204083235</v>
      </c>
      <c r="R167" s="198">
        <v>54.85338468096208</v>
      </c>
      <c r="S167" s="198">
        <v>44.063116304633951</v>
      </c>
      <c r="T167" s="198">
        <v>34.18008952615213</v>
      </c>
      <c r="U167" s="198">
        <v>35.666656573991425</v>
      </c>
      <c r="V167" s="198">
        <v>51.913996253193531</v>
      </c>
      <c r="W167" s="198">
        <v>65.589259324172076</v>
      </c>
      <c r="X167" s="198">
        <v>107.00147158494927</v>
      </c>
      <c r="Y167" s="198">
        <v>123.91057994840529</v>
      </c>
      <c r="Z167" s="198">
        <v>145.96416455566899</v>
      </c>
      <c r="AA167" s="198"/>
      <c r="AB167" s="198">
        <v>229.95621944845649</v>
      </c>
      <c r="AC167" s="198">
        <v>199.46775155725797</v>
      </c>
      <c r="AD167" s="198">
        <v>201.08507599777664</v>
      </c>
      <c r="AE167" s="198">
        <v>191.48326067641094</v>
      </c>
      <c r="AF167" s="198">
        <v>176.3658301455163</v>
      </c>
      <c r="AG167" s="198">
        <v>160.24473710889885</v>
      </c>
      <c r="AH167" s="198">
        <v>174.98311841629871</v>
      </c>
      <c r="AI167" s="198">
        <v>188.94738874269069</v>
      </c>
      <c r="AJ167" s="198">
        <v>203.66580529357771</v>
      </c>
      <c r="AK167" s="198">
        <v>210.19464898664282</v>
      </c>
      <c r="AL167" s="198">
        <v>220.34269352305554</v>
      </c>
      <c r="AM167" s="45">
        <v>230.90646878090988</v>
      </c>
      <c r="AN167" s="45"/>
      <c r="AO167" s="45"/>
      <c r="AP167" s="45"/>
      <c r="AQ167" s="45"/>
      <c r="AR167" s="45"/>
      <c r="AS167" s="45"/>
      <c r="AT167" s="45"/>
      <c r="AU167" s="45"/>
      <c r="AV167" s="45"/>
      <c r="AW167" s="45"/>
      <c r="AX167" s="45"/>
      <c r="AY167" s="45"/>
      <c r="AZ167" s="45"/>
      <c r="BA167" s="45"/>
      <c r="BB167" s="45"/>
      <c r="BC167" s="45"/>
      <c r="BD167" s="45"/>
      <c r="BE167" s="45"/>
      <c r="BF167" s="45"/>
      <c r="BG167" s="45"/>
      <c r="BH167" s="45"/>
      <c r="BI167" s="45"/>
      <c r="BJ167" s="45"/>
      <c r="BK167" s="45"/>
      <c r="BL167" s="45"/>
      <c r="BM167" s="45"/>
      <c r="BN167" s="45"/>
      <c r="BO167" s="45"/>
      <c r="BP167" s="45"/>
      <c r="BQ167" s="45"/>
      <c r="BR167" s="45"/>
      <c r="BS167" s="45"/>
      <c r="BT167" s="45"/>
      <c r="BU167" s="45"/>
      <c r="BV167" s="45"/>
      <c r="BW167" s="45"/>
      <c r="BX167" s="45"/>
      <c r="BY167" s="45"/>
      <c r="BZ167" s="45"/>
      <c r="CA167" s="45"/>
      <c r="CB167" s="45"/>
      <c r="CC167" s="45"/>
      <c r="CD167" s="45"/>
      <c r="CE167" s="45"/>
      <c r="CF167" s="45"/>
      <c r="CG167" s="45"/>
      <c r="CH167" s="45"/>
      <c r="CI167" s="45"/>
      <c r="CJ167" s="45"/>
      <c r="CK167" s="45"/>
      <c r="CL167" s="45"/>
      <c r="CM167" s="45"/>
      <c r="CN167" s="45"/>
      <c r="CO167" s="45"/>
      <c r="CP167" s="45"/>
      <c r="CQ167" s="45"/>
      <c r="CR167" s="45"/>
      <c r="CS167" s="45"/>
      <c r="CT167" s="45"/>
      <c r="CU167" s="45"/>
      <c r="CV167" s="45"/>
      <c r="CW167" s="45"/>
      <c r="CX167" s="24"/>
      <c r="CY167" s="24"/>
      <c r="CZ167" s="24"/>
      <c r="DA167" s="24"/>
      <c r="DB167" s="24"/>
      <c r="DC167" s="24"/>
      <c r="DD167" s="24"/>
      <c r="DE167" s="24"/>
      <c r="DF167" s="24"/>
      <c r="DG167" s="24"/>
      <c r="DH167" s="24"/>
      <c r="DI167" s="24"/>
      <c r="DJ167" s="24"/>
      <c r="DK167" s="24"/>
      <c r="DL167" s="24"/>
      <c r="DM167" s="24"/>
      <c r="DN167" s="24"/>
      <c r="DO167" s="24"/>
      <c r="DP167" s="24"/>
      <c r="DQ167" s="24"/>
      <c r="DR167" s="24"/>
      <c r="DS167" s="24"/>
      <c r="DT167" s="24"/>
      <c r="DU167" s="24"/>
      <c r="DV167" s="24"/>
      <c r="DW167" s="24"/>
      <c r="DX167" s="24"/>
      <c r="DY167" s="24"/>
      <c r="DZ167" s="24"/>
      <c r="EA167" s="24"/>
    </row>
    <row r="168" spans="1:131">
      <c r="A168" s="24" t="s">
        <v>434</v>
      </c>
      <c r="B168" s="24"/>
      <c r="C168" s="198">
        <v>3387.6594304155228</v>
      </c>
      <c r="D168" s="198">
        <v>1014.9694632777404</v>
      </c>
      <c r="E168" s="198">
        <v>202.99389265554808</v>
      </c>
      <c r="F168" s="198">
        <v>1217.9633559332885</v>
      </c>
      <c r="G168" s="198">
        <v>1863.2017666888871</v>
      </c>
      <c r="H168" s="198">
        <v>2233.8727357631246</v>
      </c>
      <c r="I168" s="198">
        <v>3149.4780443933018</v>
      </c>
      <c r="J168" s="198">
        <v>5.7118735054652721</v>
      </c>
      <c r="K168" s="198">
        <v>27.217309858428273</v>
      </c>
      <c r="L168" s="199">
        <v>1.1989430107362771</v>
      </c>
      <c r="M168" s="198">
        <v>32.182849854666841</v>
      </c>
      <c r="N168" s="198">
        <v>0.7907296823799802</v>
      </c>
      <c r="O168" s="198">
        <v>138.74994631814602</v>
      </c>
      <c r="P168" s="198">
        <v>102.57263046367333</v>
      </c>
      <c r="Q168" s="198">
        <v>95.551136204083235</v>
      </c>
      <c r="R168" s="198">
        <v>54.85338468096208</v>
      </c>
      <c r="S168" s="198">
        <v>44.063116304633951</v>
      </c>
      <c r="T168" s="198">
        <v>34.18008952615213</v>
      </c>
      <c r="U168" s="198">
        <v>35.666656573991425</v>
      </c>
      <c r="V168" s="198">
        <v>51.913996253193531</v>
      </c>
      <c r="W168" s="198">
        <v>65.589259324172076</v>
      </c>
      <c r="X168" s="198">
        <v>107.00147158494927</v>
      </c>
      <c r="Y168" s="198">
        <v>123.91057994840529</v>
      </c>
      <c r="Z168" s="198">
        <v>145.96416455566899</v>
      </c>
      <c r="AA168" s="198"/>
      <c r="AB168" s="198">
        <v>229.95621944845649</v>
      </c>
      <c r="AC168" s="198">
        <v>199.46775155725797</v>
      </c>
      <c r="AD168" s="198">
        <v>201.08507599777664</v>
      </c>
      <c r="AE168" s="198">
        <v>191.48326067641094</v>
      </c>
      <c r="AF168" s="198">
        <v>176.3658301455163</v>
      </c>
      <c r="AG168" s="198">
        <v>160.24473710889885</v>
      </c>
      <c r="AH168" s="198">
        <v>174.98311841629871</v>
      </c>
      <c r="AI168" s="198">
        <v>188.94738874269069</v>
      </c>
      <c r="AJ168" s="198">
        <v>203.66580529357771</v>
      </c>
      <c r="AK168" s="198">
        <v>210.19464898664282</v>
      </c>
      <c r="AL168" s="198">
        <v>220.34269352305554</v>
      </c>
      <c r="AM168" s="45">
        <v>230.90646878090988</v>
      </c>
      <c r="AN168" s="45"/>
      <c r="AO168" s="45"/>
      <c r="AP168" s="45"/>
      <c r="AQ168" s="45"/>
      <c r="AR168" s="45"/>
      <c r="AS168" s="45"/>
      <c r="AT168" s="45"/>
      <c r="AU168" s="45"/>
      <c r="AV168" s="45"/>
      <c r="AW168" s="45"/>
      <c r="AX168" s="45"/>
      <c r="AY168" s="45"/>
      <c r="AZ168" s="45"/>
      <c r="BA168" s="45"/>
      <c r="BB168" s="45"/>
      <c r="BC168" s="45"/>
      <c r="BD168" s="45"/>
      <c r="BE168" s="45"/>
      <c r="BF168" s="45"/>
      <c r="BG168" s="45"/>
      <c r="BH168" s="45"/>
      <c r="BI168" s="45"/>
      <c r="BJ168" s="45"/>
      <c r="BK168" s="45"/>
      <c r="BL168" s="45"/>
      <c r="BM168" s="45"/>
      <c r="BN168" s="45"/>
      <c r="BO168" s="45"/>
      <c r="BP168" s="45"/>
      <c r="BQ168" s="45"/>
      <c r="BR168" s="45"/>
      <c r="BS168" s="45"/>
      <c r="BT168" s="45"/>
      <c r="BU168" s="45"/>
      <c r="BV168" s="45"/>
      <c r="BW168" s="45"/>
      <c r="BX168" s="45"/>
      <c r="BY168" s="45"/>
      <c r="BZ168" s="45"/>
      <c r="CA168" s="45"/>
      <c r="CB168" s="45"/>
      <c r="CC168" s="45"/>
      <c r="CD168" s="45"/>
      <c r="CE168" s="45"/>
      <c r="CF168" s="45"/>
      <c r="CG168" s="45"/>
      <c r="CH168" s="45"/>
      <c r="CI168" s="45"/>
      <c r="CJ168" s="45"/>
      <c r="CK168" s="45"/>
      <c r="CL168" s="45"/>
      <c r="CM168" s="45"/>
      <c r="CN168" s="45"/>
      <c r="CO168" s="45"/>
      <c r="CP168" s="45"/>
      <c r="CQ168" s="45"/>
      <c r="CR168" s="45"/>
      <c r="CS168" s="45"/>
      <c r="CT168" s="45"/>
      <c r="CU168" s="45"/>
      <c r="CV168" s="45"/>
      <c r="CW168" s="45"/>
      <c r="CX168" s="24"/>
      <c r="CY168" s="24"/>
      <c r="CZ168" s="24"/>
      <c r="DA168" s="24"/>
      <c r="DB168" s="24"/>
      <c r="DC168" s="24"/>
      <c r="DD168" s="24"/>
      <c r="DE168" s="24"/>
      <c r="DF168" s="24"/>
      <c r="DG168" s="24"/>
      <c r="DH168" s="24"/>
      <c r="DI168" s="24"/>
      <c r="DJ168" s="24"/>
      <c r="DK168" s="24"/>
      <c r="DL168" s="24"/>
      <c r="DM168" s="24"/>
      <c r="DN168" s="24"/>
      <c r="DO168" s="24"/>
      <c r="DP168" s="24"/>
      <c r="DQ168" s="24"/>
      <c r="DR168" s="24"/>
      <c r="DS168" s="24"/>
      <c r="DT168" s="24"/>
      <c r="DU168" s="24"/>
      <c r="DV168" s="24"/>
      <c r="DW168" s="24"/>
      <c r="DX168" s="24"/>
      <c r="DY168" s="24"/>
      <c r="DZ168" s="24"/>
      <c r="EA168" s="24"/>
    </row>
    <row r="169" spans="1:131">
      <c r="A169" s="24" t="s">
        <v>427</v>
      </c>
      <c r="B169" s="24"/>
      <c r="C169" s="198">
        <v>797.11017216400808</v>
      </c>
      <c r="D169" s="198">
        <v>260.08403248610176</v>
      </c>
      <c r="E169" s="198">
        <v>52.016806497220358</v>
      </c>
      <c r="F169" s="198">
        <v>312.10083898332209</v>
      </c>
      <c r="G169" s="198">
        <v>477.44197864903629</v>
      </c>
      <c r="H169" s="198">
        <v>525.62623769362187</v>
      </c>
      <c r="I169" s="198">
        <v>3429.8939405974252</v>
      </c>
      <c r="J169" s="198">
        <v>7.4003717454153373</v>
      </c>
      <c r="K169" s="198">
        <v>30.820559089867952</v>
      </c>
      <c r="L169" s="199">
        <v>1.100921706090711</v>
      </c>
      <c r="M169" s="198">
        <v>7.5725666984285294</v>
      </c>
      <c r="N169" s="198">
        <v>0.18605727234504985</v>
      </c>
      <c r="O169" s="198">
        <v>32.647612863444898</v>
      </c>
      <c r="P169" s="198">
        <v>24.135155498256541</v>
      </c>
      <c r="Q169" s="198">
        <v>22.483010525282101</v>
      </c>
      <c r="R169" s="198">
        <v>12.906902776073075</v>
      </c>
      <c r="S169" s="198">
        <v>10.367972030577274</v>
      </c>
      <c r="T169" s="198">
        <v>8.0425136016197722</v>
      </c>
      <c r="U169" s="198">
        <v>8.3923001547772653</v>
      </c>
      <c r="V169" s="198">
        <v>12.215269964734631</v>
      </c>
      <c r="W169" s="198">
        <v>15.433034773978974</v>
      </c>
      <c r="X169" s="198">
        <v>25.177253849989107</v>
      </c>
      <c r="Y169" s="198">
        <v>29.155936641334829</v>
      </c>
      <c r="Z169" s="198">
        <v>34.345105441863652</v>
      </c>
      <c r="AA169" s="198"/>
      <c r="AB169" s="198">
        <v>54.108284920559541</v>
      </c>
      <c r="AC169" s="198">
        <v>46.934403251235665</v>
      </c>
      <c r="AD169" s="198">
        <v>47.3149567837579</v>
      </c>
      <c r="AE169" s="198">
        <v>45.055666904975126</v>
      </c>
      <c r="AF169" s="198">
        <v>41.498562685770651</v>
      </c>
      <c r="AG169" s="198">
        <v>37.705298483792141</v>
      </c>
      <c r="AH169" s="198">
        <v>41.173213102328432</v>
      </c>
      <c r="AI169" s="198">
        <v>44.458980799068165</v>
      </c>
      <c r="AJ169" s="198">
        <v>47.92219774629833</v>
      </c>
      <c r="AK169" s="198">
        <v>49.458422926871663</v>
      </c>
      <c r="AL169" s="198">
        <v>51.846239557705708</v>
      </c>
      <c r="AM169" s="45">
        <v>54.331876879712809</v>
      </c>
      <c r="AN169" s="45"/>
      <c r="AO169" s="45"/>
      <c r="AP169" s="45"/>
      <c r="AQ169" s="45"/>
      <c r="AR169" s="45"/>
      <c r="AS169" s="45"/>
      <c r="AT169" s="45"/>
      <c r="AU169" s="45"/>
      <c r="AV169" s="45"/>
      <c r="AW169" s="45"/>
      <c r="AX169" s="45"/>
      <c r="AY169" s="45"/>
      <c r="AZ169" s="45"/>
      <c r="BA169" s="45"/>
      <c r="BB169" s="45"/>
      <c r="BC169" s="45"/>
      <c r="BD169" s="45"/>
      <c r="BE169" s="45"/>
      <c r="BF169" s="45"/>
      <c r="BG169" s="45"/>
      <c r="BH169" s="45"/>
      <c r="BI169" s="45"/>
      <c r="BJ169" s="45"/>
      <c r="BK169" s="45"/>
      <c r="BL169" s="45"/>
      <c r="BM169" s="45"/>
      <c r="BN169" s="45"/>
      <c r="BO169" s="45"/>
      <c r="BP169" s="45"/>
      <c r="BQ169" s="45"/>
      <c r="BR169" s="45"/>
      <c r="BS169" s="45"/>
      <c r="BT169" s="45"/>
      <c r="BU169" s="45"/>
      <c r="BV169" s="45"/>
      <c r="BW169" s="45"/>
      <c r="BX169" s="45"/>
      <c r="BY169" s="45"/>
      <c r="BZ169" s="45"/>
      <c r="CA169" s="45"/>
      <c r="CB169" s="45"/>
      <c r="CC169" s="45"/>
      <c r="CD169" s="45"/>
      <c r="CE169" s="45"/>
      <c r="CF169" s="45"/>
      <c r="CG169" s="45"/>
      <c r="CH169" s="45"/>
      <c r="CI169" s="45"/>
      <c r="CJ169" s="45"/>
      <c r="CK169" s="45"/>
      <c r="CL169" s="45"/>
      <c r="CM169" s="45"/>
      <c r="CN169" s="45"/>
      <c r="CO169" s="45"/>
      <c r="CP169" s="45"/>
      <c r="CQ169" s="45"/>
      <c r="CR169" s="45"/>
      <c r="CS169" s="45"/>
      <c r="CT169" s="45"/>
      <c r="CU169" s="45"/>
      <c r="CV169" s="45"/>
      <c r="CW169" s="45"/>
      <c r="CX169" s="24"/>
      <c r="CY169" s="24"/>
      <c r="CZ169" s="24"/>
      <c r="DA169" s="24"/>
      <c r="DB169" s="24"/>
      <c r="DC169" s="24"/>
      <c r="DD169" s="24"/>
      <c r="DE169" s="24"/>
      <c r="DF169" s="24"/>
      <c r="DG169" s="24"/>
      <c r="DH169" s="24"/>
      <c r="DI169" s="24"/>
      <c r="DJ169" s="24"/>
      <c r="DK169" s="24"/>
      <c r="DL169" s="24"/>
      <c r="DM169" s="24"/>
      <c r="DN169" s="24"/>
      <c r="DO169" s="24"/>
      <c r="DP169" s="24"/>
      <c r="DQ169" s="24"/>
      <c r="DR169" s="24"/>
      <c r="DS169" s="24"/>
      <c r="DT169" s="24"/>
      <c r="DU169" s="24"/>
      <c r="DV169" s="24"/>
      <c r="DW169" s="24"/>
      <c r="DX169" s="24"/>
      <c r="DY169" s="24"/>
      <c r="DZ169" s="24"/>
      <c r="EA169" s="24"/>
    </row>
    <row r="170" spans="1:131">
      <c r="A170" s="24" t="s">
        <v>431</v>
      </c>
      <c r="B170" s="24"/>
      <c r="C170" s="198">
        <v>797.11017216400808</v>
      </c>
      <c r="D170" s="198">
        <v>285.91736581943508</v>
      </c>
      <c r="E170" s="198">
        <v>57.183473163887015</v>
      </c>
      <c r="F170" s="198">
        <v>343.10083898332209</v>
      </c>
      <c r="G170" s="198">
        <v>524.86479682002812</v>
      </c>
      <c r="H170" s="198">
        <v>525.62623769362187</v>
      </c>
      <c r="I170" s="198">
        <v>3770.574576076915</v>
      </c>
      <c r="J170" s="198">
        <v>9.4517485082128658</v>
      </c>
      <c r="K170" s="198">
        <v>35.198189796881337</v>
      </c>
      <c r="L170" s="199">
        <v>1.0014507371769017</v>
      </c>
      <c r="M170" s="198">
        <v>7.5725666984285294</v>
      </c>
      <c r="N170" s="198">
        <v>0.18605727234504985</v>
      </c>
      <c r="O170" s="198">
        <v>32.647612863444898</v>
      </c>
      <c r="P170" s="198">
        <v>24.135155498256541</v>
      </c>
      <c r="Q170" s="198">
        <v>22.483010525282101</v>
      </c>
      <c r="R170" s="198">
        <v>12.906902776073075</v>
      </c>
      <c r="S170" s="198">
        <v>10.367972030577274</v>
      </c>
      <c r="T170" s="198">
        <v>8.0425136016197722</v>
      </c>
      <c r="U170" s="198">
        <v>8.3923001547772653</v>
      </c>
      <c r="V170" s="198">
        <v>12.215269964734631</v>
      </c>
      <c r="W170" s="198">
        <v>15.433034773978974</v>
      </c>
      <c r="X170" s="198">
        <v>25.177253849989107</v>
      </c>
      <c r="Y170" s="198">
        <v>29.155936641334829</v>
      </c>
      <c r="Z170" s="198">
        <v>34.345105441863652</v>
      </c>
      <c r="AA170" s="198"/>
      <c r="AB170" s="198">
        <v>54.108284920559541</v>
      </c>
      <c r="AC170" s="198">
        <v>46.934403251235665</v>
      </c>
      <c r="AD170" s="198">
        <v>47.3149567837579</v>
      </c>
      <c r="AE170" s="198">
        <v>45.055666904975126</v>
      </c>
      <c r="AF170" s="198">
        <v>41.498562685770651</v>
      </c>
      <c r="AG170" s="198">
        <v>37.705298483792141</v>
      </c>
      <c r="AH170" s="198">
        <v>41.173213102328432</v>
      </c>
      <c r="AI170" s="198">
        <v>44.458980799068165</v>
      </c>
      <c r="AJ170" s="198">
        <v>47.92219774629833</v>
      </c>
      <c r="AK170" s="198">
        <v>49.458422926871663</v>
      </c>
      <c r="AL170" s="198">
        <v>51.846239557705708</v>
      </c>
      <c r="AM170" s="45">
        <v>54.331876879712809</v>
      </c>
      <c r="AN170" s="45"/>
      <c r="AO170" s="45"/>
      <c r="AP170" s="45"/>
      <c r="AQ170" s="45"/>
      <c r="AR170" s="45"/>
      <c r="AS170" s="45"/>
      <c r="AT170" s="45"/>
      <c r="AU170" s="45"/>
      <c r="AV170" s="45"/>
      <c r="AW170" s="45"/>
      <c r="AX170" s="45"/>
      <c r="AY170" s="45"/>
      <c r="AZ170" s="45"/>
      <c r="BA170" s="45"/>
      <c r="BB170" s="45"/>
      <c r="BC170" s="45"/>
      <c r="BD170" s="45"/>
      <c r="BE170" s="45"/>
      <c r="BF170" s="45"/>
      <c r="BG170" s="45"/>
      <c r="BH170" s="45"/>
      <c r="BI170" s="45"/>
      <c r="BJ170" s="45"/>
      <c r="BK170" s="45"/>
      <c r="BL170" s="45"/>
      <c r="BM170" s="45"/>
      <c r="BN170" s="45"/>
      <c r="BO170" s="45"/>
      <c r="BP170" s="45"/>
      <c r="BQ170" s="45"/>
      <c r="BR170" s="45"/>
      <c r="BS170" s="45"/>
      <c r="BT170" s="45"/>
      <c r="BU170" s="45"/>
      <c r="BV170" s="45"/>
      <c r="BW170" s="45"/>
      <c r="BX170" s="45"/>
      <c r="BY170" s="45"/>
      <c r="BZ170" s="45"/>
      <c r="CA170" s="45"/>
      <c r="CB170" s="45"/>
      <c r="CC170" s="45"/>
      <c r="CD170" s="45"/>
      <c r="CE170" s="45"/>
      <c r="CF170" s="45"/>
      <c r="CG170" s="45"/>
      <c r="CH170" s="45"/>
      <c r="CI170" s="45"/>
      <c r="CJ170" s="45"/>
      <c r="CK170" s="45"/>
      <c r="CL170" s="45"/>
      <c r="CM170" s="45"/>
      <c r="CN170" s="45"/>
      <c r="CO170" s="45"/>
      <c r="CP170" s="45"/>
      <c r="CQ170" s="45"/>
      <c r="CR170" s="45"/>
      <c r="CS170" s="45"/>
      <c r="CT170" s="45"/>
      <c r="CU170" s="45"/>
      <c r="CV170" s="45"/>
      <c r="CW170" s="45"/>
      <c r="CX170" s="24"/>
      <c r="CY170" s="24"/>
      <c r="CZ170" s="24"/>
      <c r="DA170" s="24"/>
      <c r="DB170" s="24"/>
      <c r="DC170" s="24"/>
      <c r="DD170" s="24"/>
      <c r="DE170" s="24"/>
      <c r="DF170" s="24"/>
      <c r="DG170" s="24"/>
      <c r="DH170" s="24"/>
      <c r="DI170" s="24"/>
      <c r="DJ170" s="24"/>
      <c r="DK170" s="24"/>
      <c r="DL170" s="24"/>
      <c r="DM170" s="24"/>
      <c r="DN170" s="24"/>
      <c r="DO170" s="24"/>
      <c r="DP170" s="24"/>
      <c r="DQ170" s="24"/>
      <c r="DR170" s="24"/>
      <c r="DS170" s="24"/>
      <c r="DT170" s="24"/>
      <c r="DU170" s="24"/>
      <c r="DV170" s="24"/>
      <c r="DW170" s="24"/>
      <c r="DX170" s="24"/>
      <c r="DY170" s="24"/>
      <c r="DZ170" s="24"/>
      <c r="EA170" s="24"/>
    </row>
    <row r="171" spans="1:131">
      <c r="A171" s="24" t="s">
        <v>436</v>
      </c>
      <c r="B171" s="24"/>
      <c r="C171" s="198">
        <v>73.145658131418585</v>
      </c>
      <c r="D171" s="198">
        <v>30.451059986919489</v>
      </c>
      <c r="E171" s="198">
        <v>6.0902119973838982</v>
      </c>
      <c r="F171" s="198">
        <v>36.541271984303386</v>
      </c>
      <c r="G171" s="198">
        <v>87.062159005654138</v>
      </c>
      <c r="H171" s="198">
        <v>48.233328879575211</v>
      </c>
      <c r="I171" s="198">
        <v>4376.2206911499916</v>
      </c>
      <c r="J171" s="198">
        <v>13.09859026424895</v>
      </c>
      <c r="K171" s="198">
        <v>74.328805326063531</v>
      </c>
      <c r="L171" s="200">
        <v>0.554010254632472</v>
      </c>
      <c r="M171" s="198">
        <v>0.69488559328866673</v>
      </c>
      <c r="N171" s="198">
        <v>1.7073275578542112E-2</v>
      </c>
      <c r="O171" s="198">
        <v>2.9958608141122793</v>
      </c>
      <c r="P171" s="198">
        <v>2.214727517817785</v>
      </c>
      <c r="Q171" s="198">
        <v>2.0631208320711307</v>
      </c>
      <c r="R171" s="198">
        <v>1.1843832019243763</v>
      </c>
      <c r="S171" s="198">
        <v>0.95140190672247182</v>
      </c>
      <c r="T171" s="198">
        <v>0.73800958884303935</v>
      </c>
      <c r="U171" s="198">
        <v>0.7701072442609419</v>
      </c>
      <c r="V171" s="198">
        <v>1.1209165207336302</v>
      </c>
      <c r="W171" s="198">
        <v>1.4161900386280537</v>
      </c>
      <c r="X171" s="198">
        <v>2.3103541607048128</v>
      </c>
      <c r="Y171" s="198">
        <v>2.6754522129339762</v>
      </c>
      <c r="Z171" s="198">
        <v>3.1516287570611889</v>
      </c>
      <c r="AA171" s="198"/>
      <c r="AB171" s="198">
        <v>4.9651682403349291</v>
      </c>
      <c r="AC171" s="198">
        <v>4.3068674001448626</v>
      </c>
      <c r="AD171" s="198">
        <v>4.3417883427731647</v>
      </c>
      <c r="AE171" s="198">
        <v>4.1344678858724881</v>
      </c>
      <c r="AF171" s="198">
        <v>3.8080553794941068</v>
      </c>
      <c r="AG171" s="198">
        <v>3.4599719950269212</v>
      </c>
      <c r="AH171" s="198">
        <v>3.7782001471376341</v>
      </c>
      <c r="AI171" s="198">
        <v>4.0797138513129365</v>
      </c>
      <c r="AJ171" s="198">
        <v>4.3975109284338041</v>
      </c>
      <c r="AK171" s="198">
        <v>4.53848040266098</v>
      </c>
      <c r="AL171" s="198">
        <v>4.7575949304374063</v>
      </c>
      <c r="AM171" s="45">
        <v>4.9856858319756912</v>
      </c>
      <c r="AN171" s="45"/>
      <c r="AO171" s="45"/>
      <c r="AP171" s="45"/>
      <c r="AQ171" s="45"/>
      <c r="AR171" s="45"/>
      <c r="AS171" s="45"/>
      <c r="AT171" s="45"/>
      <c r="AU171" s="45"/>
      <c r="AV171" s="45"/>
      <c r="AW171" s="45"/>
      <c r="AX171" s="45"/>
      <c r="AY171" s="45"/>
      <c r="AZ171" s="45"/>
      <c r="BA171" s="45"/>
      <c r="BB171" s="45"/>
      <c r="BC171" s="45"/>
      <c r="BD171" s="45"/>
      <c r="BE171" s="45"/>
      <c r="BF171" s="45"/>
      <c r="BG171" s="45"/>
      <c r="BH171" s="45"/>
      <c r="BI171" s="45"/>
      <c r="BJ171" s="45"/>
      <c r="BK171" s="45"/>
      <c r="BL171" s="45"/>
      <c r="BM171" s="45"/>
      <c r="BN171" s="45"/>
      <c r="BO171" s="45"/>
      <c r="BP171" s="45"/>
      <c r="BQ171" s="45"/>
      <c r="BR171" s="45"/>
      <c r="BS171" s="45"/>
      <c r="BT171" s="45"/>
      <c r="BU171" s="45"/>
      <c r="BV171" s="45"/>
      <c r="BW171" s="45"/>
      <c r="BX171" s="45"/>
      <c r="BY171" s="45"/>
      <c r="BZ171" s="45"/>
      <c r="CA171" s="45"/>
      <c r="CB171" s="45"/>
      <c r="CC171" s="45"/>
      <c r="CD171" s="45"/>
      <c r="CE171" s="45"/>
      <c r="CF171" s="45"/>
      <c r="CG171" s="45"/>
      <c r="CH171" s="45"/>
      <c r="CI171" s="45"/>
      <c r="CJ171" s="45"/>
      <c r="CK171" s="45"/>
      <c r="CL171" s="45"/>
      <c r="CM171" s="45"/>
      <c r="CN171" s="45"/>
      <c r="CO171" s="45"/>
      <c r="CP171" s="45"/>
      <c r="CQ171" s="45"/>
      <c r="CR171" s="45"/>
      <c r="CS171" s="45"/>
      <c r="CT171" s="45"/>
      <c r="CU171" s="45"/>
      <c r="CV171" s="45"/>
      <c r="CW171" s="45"/>
      <c r="CX171" s="24"/>
      <c r="CY171" s="24"/>
      <c r="CZ171" s="24"/>
      <c r="DA171" s="24"/>
      <c r="DB171" s="24"/>
      <c r="DC171" s="24"/>
      <c r="DD171" s="24"/>
      <c r="DE171" s="24"/>
      <c r="DF171" s="24"/>
      <c r="DG171" s="24"/>
      <c r="DH171" s="24"/>
      <c r="DI171" s="24"/>
      <c r="DJ171" s="24"/>
      <c r="DK171" s="24"/>
      <c r="DL171" s="24"/>
      <c r="DM171" s="24"/>
      <c r="DN171" s="24"/>
      <c r="DO171" s="24"/>
      <c r="DP171" s="24"/>
      <c r="DQ171" s="24"/>
      <c r="DR171" s="24"/>
      <c r="DS171" s="24"/>
      <c r="DT171" s="24"/>
      <c r="DU171" s="24"/>
      <c r="DV171" s="24"/>
      <c r="DW171" s="24"/>
      <c r="DX171" s="24"/>
      <c r="DY171" s="24"/>
      <c r="DZ171" s="24"/>
      <c r="EA171" s="24"/>
    </row>
    <row r="172" spans="1:131">
      <c r="A172" s="24"/>
      <c r="B172" s="24"/>
      <c r="C172" s="45"/>
      <c r="D172" s="45"/>
      <c r="E172" s="45"/>
      <c r="F172" s="45"/>
      <c r="G172" s="45"/>
      <c r="H172" s="45"/>
      <c r="I172" s="45"/>
      <c r="J172" s="45"/>
      <c r="K172" s="45"/>
      <c r="L172" s="45"/>
      <c r="M172" s="45"/>
      <c r="N172" s="45"/>
      <c r="O172" s="45"/>
      <c r="P172" s="45"/>
      <c r="Q172" s="45"/>
      <c r="R172" s="45"/>
      <c r="S172" s="45"/>
      <c r="T172" s="45"/>
      <c r="U172" s="45"/>
      <c r="V172" s="45"/>
      <c r="W172" s="45"/>
      <c r="X172" s="45"/>
      <c r="Y172" s="45"/>
      <c r="Z172" s="45"/>
      <c r="AA172" s="45"/>
      <c r="AB172" s="45"/>
      <c r="AC172" s="45"/>
      <c r="AD172" s="45"/>
      <c r="AE172" s="45"/>
      <c r="AF172" s="45"/>
      <c r="AG172" s="45"/>
      <c r="AH172" s="45"/>
      <c r="AI172" s="45"/>
      <c r="AJ172" s="45"/>
      <c r="AK172" s="45"/>
      <c r="AL172" s="45"/>
      <c r="AM172" s="45"/>
      <c r="AN172" s="45"/>
      <c r="AO172" s="45"/>
      <c r="AP172" s="45"/>
      <c r="AQ172" s="45"/>
      <c r="AR172" s="45"/>
      <c r="AS172" s="45"/>
      <c r="AT172" s="45"/>
      <c r="AU172" s="45"/>
      <c r="AV172" s="45"/>
      <c r="AW172" s="45"/>
      <c r="AX172" s="45"/>
      <c r="AY172" s="45"/>
      <c r="AZ172" s="45"/>
      <c r="BA172" s="45"/>
      <c r="BB172" s="45"/>
      <c r="BC172" s="45"/>
      <c r="BD172" s="45"/>
      <c r="BE172" s="45"/>
      <c r="BF172" s="45"/>
      <c r="BG172" s="45"/>
      <c r="BH172" s="45"/>
      <c r="BI172" s="45"/>
      <c r="BJ172" s="45"/>
      <c r="BK172" s="45"/>
      <c r="BL172" s="45"/>
      <c r="BM172" s="45"/>
      <c r="BN172" s="45"/>
      <c r="BO172" s="45"/>
      <c r="BP172" s="45"/>
      <c r="BQ172" s="45"/>
      <c r="BR172" s="45"/>
      <c r="BS172" s="45"/>
      <c r="BT172" s="45"/>
      <c r="BU172" s="45"/>
      <c r="BV172" s="45"/>
      <c r="BW172" s="45"/>
      <c r="BX172" s="45"/>
      <c r="BY172" s="45"/>
      <c r="BZ172" s="45"/>
      <c r="CA172" s="45"/>
      <c r="CB172" s="45"/>
      <c r="CC172" s="45"/>
      <c r="CD172" s="45"/>
      <c r="CE172" s="45"/>
      <c r="CF172" s="45"/>
      <c r="CG172" s="45"/>
      <c r="CH172" s="45"/>
      <c r="CI172" s="45"/>
      <c r="CJ172" s="45"/>
      <c r="CK172" s="45"/>
      <c r="CL172" s="45"/>
      <c r="CM172" s="45"/>
      <c r="CN172" s="45"/>
      <c r="CO172" s="45"/>
      <c r="CP172" s="45"/>
      <c r="CQ172" s="45"/>
      <c r="CR172" s="45"/>
      <c r="CS172" s="45"/>
      <c r="CT172" s="45"/>
      <c r="CU172" s="45"/>
      <c r="CV172" s="45"/>
      <c r="CW172" s="45"/>
      <c r="CX172" s="24"/>
      <c r="CY172" s="24"/>
      <c r="CZ172" s="24"/>
      <c r="DA172" s="24"/>
      <c r="DB172" s="24"/>
      <c r="DC172" s="24"/>
      <c r="DD172" s="24"/>
      <c r="DE172" s="24"/>
      <c r="DF172" s="24"/>
      <c r="DG172" s="24"/>
      <c r="DH172" s="24"/>
      <c r="DI172" s="24"/>
      <c r="DJ172" s="24"/>
      <c r="DK172" s="24"/>
      <c r="DL172" s="24"/>
      <c r="DM172" s="24"/>
      <c r="DN172" s="24"/>
      <c r="DO172" s="24"/>
      <c r="DP172" s="24"/>
      <c r="DQ172" s="24"/>
      <c r="DR172" s="24"/>
      <c r="DS172" s="24"/>
      <c r="DT172" s="24"/>
      <c r="DU172" s="24"/>
      <c r="DV172" s="24"/>
      <c r="DW172" s="24"/>
      <c r="DX172" s="24"/>
      <c r="DY172" s="24"/>
      <c r="DZ172" s="24"/>
      <c r="EA172" s="24"/>
    </row>
  </sheetData>
  <mergeCells count="3">
    <mergeCell ref="I6:N6"/>
    <mergeCell ref="O6:P6"/>
    <mergeCell ref="R6:T6"/>
  </mergeCells>
  <pageMargins left="0.7" right="0.7" top="0.75" bottom="0.75" header="0.3" footer="0.3"/>
  <legacyDrawing r:id="rId1"/>
</worksheet>
</file>

<file path=xl/worksheets/sheet11.xml><?xml version="1.0" encoding="utf-8"?>
<worksheet xmlns="http://schemas.openxmlformats.org/spreadsheetml/2006/main" xmlns:r="http://schemas.openxmlformats.org/officeDocument/2006/relationships">
  <dimension ref="A1:DC34"/>
  <sheetViews>
    <sheetView workbookViewId="0">
      <selection activeCell="B8" sqref="B8"/>
    </sheetView>
  </sheetViews>
  <sheetFormatPr defaultRowHeight="12.75"/>
  <cols>
    <col min="1" max="2" width="20.7109375" customWidth="1"/>
    <col min="3" max="3" width="44.140625" customWidth="1"/>
    <col min="4" max="4" width="54.85546875" customWidth="1"/>
    <col min="5" max="5" width="17.42578125" bestFit="1" customWidth="1"/>
    <col min="6" max="6" width="12.140625" bestFit="1" customWidth="1"/>
    <col min="7" max="7" width="12.5703125" customWidth="1"/>
    <col min="8" max="8" width="13.7109375" customWidth="1"/>
    <col min="9" max="9" width="25.42578125" customWidth="1"/>
    <col min="10" max="10" width="15.7109375" bestFit="1" customWidth="1"/>
    <col min="11" max="11" width="15.42578125" bestFit="1" customWidth="1"/>
    <col min="12" max="12" width="14.42578125" bestFit="1" customWidth="1"/>
    <col min="13" max="13" width="14.28515625" customWidth="1"/>
    <col min="14" max="14" width="12.5703125" customWidth="1"/>
    <col min="15" max="15" width="13.28515625" bestFit="1" customWidth="1"/>
    <col min="16" max="16" width="12.140625" bestFit="1" customWidth="1"/>
    <col min="17" max="17" width="13.28515625" bestFit="1" customWidth="1"/>
    <col min="18" max="18" width="27.7109375" customWidth="1"/>
    <col min="19" max="20" width="13.28515625" bestFit="1" customWidth="1"/>
    <col min="21" max="21" width="14.42578125" bestFit="1" customWidth="1"/>
    <col min="22" max="22" width="10.7109375" customWidth="1"/>
    <col min="23" max="23" width="14" bestFit="1" customWidth="1"/>
    <col min="24" max="24" width="12.140625" bestFit="1" customWidth="1"/>
    <col min="25" max="25" width="15.42578125" bestFit="1" customWidth="1"/>
    <col min="26" max="26" width="12.42578125" bestFit="1" customWidth="1"/>
    <col min="27" max="27" width="13.28515625" bestFit="1" customWidth="1"/>
    <col min="28" max="28" width="12.28515625" bestFit="1" customWidth="1"/>
    <col min="29" max="29" width="12.5703125" bestFit="1" customWidth="1"/>
    <col min="30" max="32" width="14.28515625" bestFit="1" customWidth="1"/>
    <col min="33" max="33" width="13.7109375" bestFit="1" customWidth="1"/>
    <col min="34" max="34" width="14" bestFit="1" customWidth="1"/>
    <col min="35" max="35" width="12.85546875" bestFit="1" customWidth="1"/>
    <col min="36" max="36" width="15.28515625" bestFit="1" customWidth="1"/>
    <col min="37" max="37" width="12.28515625" bestFit="1" customWidth="1"/>
    <col min="38" max="38" width="10.85546875" bestFit="1" customWidth="1"/>
    <col min="39" max="39" width="12.28515625" bestFit="1" customWidth="1"/>
    <col min="40" max="40" width="12.5703125" bestFit="1" customWidth="1"/>
    <col min="41" max="45" width="12.85546875" customWidth="1"/>
    <col min="46" max="46" width="12.5703125" customWidth="1"/>
    <col min="47" max="47" width="12.28515625" customWidth="1"/>
    <col min="48" max="48" width="12.7109375" customWidth="1"/>
    <col min="49" max="49" width="11.85546875" customWidth="1"/>
    <col min="50" max="50" width="12.5703125" bestFit="1" customWidth="1"/>
    <col min="51" max="51" width="13.42578125" customWidth="1"/>
    <col min="52" max="52" width="15.7109375" bestFit="1" customWidth="1"/>
    <col min="53" max="53" width="11" bestFit="1" customWidth="1"/>
    <col min="54" max="54" width="16.140625" bestFit="1" customWidth="1"/>
    <col min="55" max="55" width="17.28515625" bestFit="1" customWidth="1"/>
    <col min="56" max="56" width="15" bestFit="1" customWidth="1"/>
    <col min="57" max="57" width="12.5703125" bestFit="1" customWidth="1"/>
    <col min="58" max="58" width="13.5703125" customWidth="1"/>
    <col min="59" max="60" width="14.5703125" bestFit="1" customWidth="1"/>
    <col min="61" max="61" width="14.85546875" bestFit="1" customWidth="1"/>
    <col min="62" max="62" width="15" bestFit="1" customWidth="1"/>
    <col min="63" max="63" width="13.28515625" bestFit="1" customWidth="1"/>
    <col min="64" max="64" width="14" bestFit="1" customWidth="1"/>
    <col min="65" max="65" width="13.28515625" bestFit="1" customWidth="1"/>
    <col min="66" max="66" width="11.140625" bestFit="1" customWidth="1"/>
    <col min="67" max="67" width="16.85546875" bestFit="1" customWidth="1"/>
    <col min="68" max="68" width="14.7109375" customWidth="1"/>
    <col min="69" max="69" width="12" customWidth="1"/>
    <col min="70" max="70" width="14" customWidth="1"/>
    <col min="71" max="71" width="12.5703125" customWidth="1"/>
    <col min="72" max="72" width="11.28515625" customWidth="1"/>
    <col min="73" max="73" width="14.42578125" customWidth="1"/>
    <col min="74" max="74" width="15.7109375" customWidth="1"/>
    <col min="75" max="75" width="12.85546875" customWidth="1"/>
    <col min="76" max="76" width="13" customWidth="1"/>
    <col min="77" max="77" width="11.7109375" customWidth="1"/>
    <col min="78" max="78" width="14" customWidth="1"/>
    <col min="79" max="79" width="14.85546875" customWidth="1"/>
    <col min="80" max="80" width="11.85546875" customWidth="1"/>
    <col min="81" max="81" width="13.85546875" customWidth="1"/>
    <col min="82" max="82" width="13.7109375" customWidth="1"/>
    <col min="83" max="83" width="13" customWidth="1"/>
    <col min="84" max="84" width="12.42578125" customWidth="1"/>
    <col min="85" max="85" width="13" customWidth="1"/>
    <col min="86" max="86" width="12.7109375" customWidth="1"/>
    <col min="87" max="87" width="12.42578125" customWidth="1"/>
    <col min="88" max="88" width="10.28515625" customWidth="1"/>
    <col min="89" max="93" width="9.85546875" customWidth="1"/>
    <col min="94" max="101" width="10.7109375" customWidth="1"/>
    <col min="102" max="102" width="16.5703125" customWidth="1"/>
    <col min="103" max="107" width="10.7109375" customWidth="1"/>
  </cols>
  <sheetData>
    <row r="1" spans="1:107">
      <c r="C1" s="15" t="s">
        <v>14</v>
      </c>
      <c r="D1" s="16"/>
      <c r="E1" s="16"/>
      <c r="F1" s="16"/>
      <c r="G1" s="16"/>
      <c r="H1" s="16"/>
      <c r="I1" s="16"/>
      <c r="J1" s="17"/>
      <c r="K1" s="18"/>
      <c r="L1" s="18"/>
      <c r="M1" s="18"/>
      <c r="N1" s="18"/>
      <c r="O1" s="18"/>
      <c r="P1" s="19"/>
      <c r="Q1" s="20"/>
      <c r="R1" s="19"/>
      <c r="S1" s="19"/>
      <c r="T1" s="19"/>
      <c r="U1" s="17"/>
      <c r="V1" s="17"/>
      <c r="W1" s="17"/>
      <c r="X1" s="19"/>
      <c r="Y1" s="17"/>
      <c r="Z1" s="17"/>
      <c r="AA1" s="17"/>
      <c r="AB1" s="17"/>
      <c r="AC1" s="17"/>
      <c r="AD1" s="17"/>
      <c r="AE1" s="17"/>
      <c r="AF1" s="17"/>
      <c r="AG1" s="17"/>
      <c r="AH1" s="17"/>
      <c r="AI1" s="17"/>
      <c r="AJ1" s="17"/>
      <c r="AK1" s="17"/>
      <c r="AL1" s="17"/>
      <c r="AM1" s="17"/>
      <c r="AN1" s="17"/>
      <c r="AO1" s="17"/>
      <c r="AP1" s="17"/>
      <c r="AQ1" s="17"/>
      <c r="AR1" s="21"/>
      <c r="AS1" s="17"/>
      <c r="AT1" s="17"/>
      <c r="AU1" s="17"/>
      <c r="AV1" s="17"/>
      <c r="AW1" s="17"/>
      <c r="AX1" s="21"/>
      <c r="AY1" s="17"/>
      <c r="AZ1" s="17"/>
      <c r="BA1" s="17"/>
      <c r="BB1" s="17"/>
      <c r="BC1" s="17"/>
      <c r="BD1" s="17"/>
      <c r="BE1" s="17"/>
      <c r="BF1" s="17"/>
      <c r="BG1" s="17"/>
      <c r="BH1" s="17"/>
      <c r="BI1" s="17"/>
      <c r="BJ1" s="17"/>
      <c r="BK1" s="17"/>
      <c r="BL1" s="17"/>
      <c r="BM1" s="17"/>
      <c r="BN1" s="17"/>
      <c r="BO1" s="22"/>
      <c r="BP1" s="17"/>
      <c r="BQ1" s="17"/>
      <c r="BR1" s="17"/>
      <c r="BS1" s="17"/>
      <c r="BT1" s="17"/>
      <c r="BU1" s="17"/>
      <c r="BV1" s="17"/>
      <c r="BW1" s="17"/>
      <c r="BX1" s="17"/>
      <c r="BY1" s="17"/>
      <c r="BZ1" s="17"/>
      <c r="CA1" s="17"/>
      <c r="CB1" s="17"/>
      <c r="CC1" s="17"/>
      <c r="CD1" s="17"/>
      <c r="CE1" s="17"/>
      <c r="CF1" s="17"/>
      <c r="CG1" s="17"/>
      <c r="CH1" s="17"/>
      <c r="CI1" s="17"/>
      <c r="CJ1" s="17"/>
      <c r="CK1" s="17"/>
      <c r="CL1" s="17"/>
      <c r="CM1" s="17"/>
      <c r="CN1" s="17"/>
      <c r="CO1" s="17"/>
      <c r="CP1" s="17"/>
      <c r="CQ1" s="17"/>
      <c r="CR1" s="21"/>
      <c r="CS1" s="17"/>
      <c r="CT1" s="17"/>
      <c r="CU1" s="17"/>
      <c r="CV1" s="17"/>
      <c r="CW1" s="17"/>
      <c r="CX1" s="17"/>
      <c r="CY1" s="17"/>
      <c r="CZ1" s="17"/>
      <c r="DA1" s="17"/>
      <c r="DB1" s="17"/>
      <c r="DC1" s="17"/>
    </row>
    <row r="2" spans="1:107">
      <c r="C2" s="23" t="s">
        <v>15</v>
      </c>
      <c r="D2" s="17" t="str">
        <f>'7PSourceSummary'!D2</f>
        <v>Exterior Building Lighting</v>
      </c>
      <c r="E2" s="17"/>
      <c r="F2" s="17"/>
      <c r="G2" s="17"/>
      <c r="H2" s="17"/>
      <c r="I2" s="17"/>
      <c r="J2" s="17"/>
      <c r="K2" s="18"/>
      <c r="L2" s="18"/>
      <c r="M2" s="18"/>
      <c r="N2" s="18"/>
      <c r="O2" s="18"/>
      <c r="P2" s="19"/>
      <c r="Q2" s="19"/>
      <c r="R2" s="19"/>
      <c r="S2" s="19"/>
      <c r="T2" s="19"/>
      <c r="U2" s="17"/>
      <c r="V2" s="17"/>
      <c r="W2" s="17"/>
      <c r="X2" s="19"/>
      <c r="Y2" s="17"/>
      <c r="Z2" s="17"/>
      <c r="AA2" s="17"/>
      <c r="AB2" s="17"/>
      <c r="AC2" s="17"/>
      <c r="AD2" s="17"/>
      <c r="AE2" s="17"/>
      <c r="AF2" s="17"/>
      <c r="AG2" s="17"/>
      <c r="AH2" s="17"/>
      <c r="AI2" s="17"/>
      <c r="AJ2" s="17"/>
      <c r="AK2" s="17"/>
      <c r="AL2" s="17"/>
      <c r="AM2" s="17"/>
      <c r="AN2" s="17"/>
      <c r="AO2" s="17"/>
      <c r="AP2" s="17"/>
      <c r="AQ2" s="17"/>
      <c r="AR2" s="17"/>
      <c r="AS2" s="17"/>
      <c r="AT2" s="17"/>
      <c r="AU2" s="17"/>
      <c r="AV2" s="17"/>
      <c r="AW2" s="17"/>
      <c r="AX2" s="17"/>
      <c r="AY2" s="17"/>
      <c r="AZ2" s="17"/>
      <c r="BA2" s="17"/>
      <c r="BB2" s="17"/>
      <c r="BC2" s="17"/>
      <c r="BD2" s="21"/>
      <c r="BE2" s="17"/>
      <c r="BF2" s="17"/>
      <c r="BG2" s="17"/>
      <c r="BH2" s="17"/>
      <c r="BI2" s="17"/>
      <c r="BJ2" s="17"/>
      <c r="BK2" s="17"/>
      <c r="BL2" s="17"/>
      <c r="BM2" s="17"/>
      <c r="BN2" s="17"/>
      <c r="BO2" s="17"/>
      <c r="BP2" s="17"/>
      <c r="BQ2" s="17"/>
      <c r="BR2" s="17"/>
      <c r="BS2" s="17"/>
      <c r="BT2" s="17"/>
      <c r="BU2" s="17"/>
      <c r="BV2" s="17"/>
      <c r="BW2" s="17"/>
      <c r="BX2" s="17"/>
      <c r="BY2" s="17"/>
      <c r="BZ2" s="17"/>
      <c r="CA2" s="17"/>
      <c r="CB2" s="17"/>
      <c r="CC2" s="17"/>
      <c r="CD2" s="17"/>
      <c r="CE2" s="17"/>
      <c r="CF2" s="17"/>
      <c r="CG2" s="17"/>
      <c r="CH2" s="17"/>
      <c r="CI2" s="17"/>
      <c r="CJ2" s="17"/>
      <c r="CK2" s="17"/>
      <c r="CL2" s="17"/>
      <c r="CM2" s="17"/>
      <c r="CN2" s="17"/>
      <c r="CO2" s="17"/>
      <c r="CP2" s="17"/>
      <c r="CQ2" s="17"/>
      <c r="CR2" s="17"/>
      <c r="CS2" s="17"/>
      <c r="CT2" s="17"/>
      <c r="CU2" s="17"/>
      <c r="CV2" s="17"/>
      <c r="CW2" s="17"/>
      <c r="CX2" s="17"/>
      <c r="CY2" s="17"/>
      <c r="CZ2" s="17"/>
      <c r="DA2" s="17"/>
      <c r="DB2" s="17"/>
      <c r="DC2" s="17"/>
    </row>
    <row r="3" spans="1:107">
      <c r="C3" s="23" t="s">
        <v>16</v>
      </c>
      <c r="D3" s="24"/>
      <c r="E3" s="23">
        <v>2012</v>
      </c>
      <c r="F3" s="24"/>
      <c r="G3" s="24"/>
      <c r="H3" s="24"/>
      <c r="I3" s="24"/>
      <c r="J3" s="24"/>
      <c r="K3" s="24"/>
      <c r="L3" s="25"/>
      <c r="M3" s="26"/>
      <c r="N3" s="24"/>
      <c r="O3" s="24"/>
      <c r="P3" s="24"/>
      <c r="Q3" s="24"/>
      <c r="R3" s="24"/>
      <c r="S3" s="24"/>
      <c r="T3" s="24"/>
      <c r="U3" s="24"/>
      <c r="V3" s="24"/>
      <c r="W3" s="24"/>
      <c r="X3" s="24"/>
      <c r="Y3" s="24"/>
      <c r="Z3" s="24"/>
      <c r="AA3" s="24"/>
      <c r="AB3" s="24"/>
      <c r="AC3" s="24"/>
      <c r="AD3" s="24"/>
      <c r="AE3" s="24"/>
      <c r="AF3" s="24"/>
      <c r="AG3" s="24"/>
      <c r="AH3" s="24"/>
      <c r="AI3" s="24"/>
      <c r="AJ3" s="24"/>
      <c r="AK3" s="24"/>
      <c r="AL3" s="24"/>
      <c r="AM3" s="24"/>
      <c r="AN3" s="24"/>
      <c r="AO3" s="24"/>
      <c r="AP3" s="24"/>
      <c r="AQ3" s="24"/>
      <c r="AR3" s="24"/>
      <c r="AS3" s="24"/>
      <c r="AT3" s="24"/>
      <c r="AU3" s="24"/>
      <c r="AV3" s="24"/>
      <c r="AW3" s="24"/>
      <c r="AX3" s="24"/>
      <c r="AY3" s="24"/>
      <c r="AZ3" s="24"/>
      <c r="BA3" s="24"/>
      <c r="BB3" s="24"/>
      <c r="BC3" s="24"/>
      <c r="BD3" s="24"/>
      <c r="BE3" s="24"/>
      <c r="BF3" s="24"/>
      <c r="BG3" s="24"/>
      <c r="BH3" s="24"/>
      <c r="BI3" s="24"/>
      <c r="BJ3" s="24"/>
      <c r="BK3" s="24"/>
      <c r="BL3" s="24"/>
      <c r="BM3" s="24"/>
      <c r="BN3" s="24"/>
      <c r="BO3" s="24"/>
      <c r="BP3" s="24"/>
      <c r="BQ3" s="24"/>
      <c r="BR3" s="24"/>
      <c r="BS3" s="24"/>
      <c r="BT3" s="24"/>
      <c r="BU3" s="24"/>
      <c r="BV3" s="24"/>
      <c r="BW3" s="24"/>
      <c r="BX3" s="24"/>
      <c r="BY3" s="24"/>
      <c r="BZ3" s="24"/>
      <c r="CA3" s="24"/>
      <c r="CB3" s="24"/>
      <c r="CC3" s="24"/>
      <c r="CD3" s="24"/>
      <c r="CE3" s="24"/>
      <c r="CF3" s="24"/>
      <c r="CG3" s="24"/>
      <c r="CH3" s="24"/>
      <c r="CI3" s="24"/>
      <c r="CJ3" s="24"/>
      <c r="CK3" s="24"/>
      <c r="CL3" s="24"/>
      <c r="CM3" s="24"/>
      <c r="CN3" s="24"/>
      <c r="CO3" s="24"/>
      <c r="CP3" s="24"/>
      <c r="CQ3" s="26"/>
      <c r="CR3" s="26"/>
      <c r="CS3" s="24"/>
      <c r="CT3" s="24"/>
      <c r="CU3" s="24"/>
      <c r="CV3" s="24"/>
      <c r="CW3" s="24"/>
      <c r="CX3" s="24"/>
      <c r="CY3" s="24"/>
      <c r="CZ3" s="24"/>
      <c r="DA3" s="24"/>
      <c r="DB3" s="24"/>
      <c r="DC3" s="24"/>
    </row>
    <row r="4" spans="1:107">
      <c r="E4" s="359" t="s">
        <v>987</v>
      </c>
      <c r="F4" s="360"/>
      <c r="G4" s="361"/>
      <c r="H4" s="233"/>
      <c r="I4" s="361"/>
      <c r="J4" s="24"/>
      <c r="K4" s="24"/>
      <c r="L4" s="24"/>
      <c r="M4" s="24"/>
      <c r="N4" s="24"/>
      <c r="O4" s="24"/>
      <c r="P4" s="24"/>
      <c r="Q4" s="24"/>
      <c r="R4" s="24"/>
      <c r="S4" s="24"/>
      <c r="T4" s="24"/>
      <c r="U4" s="24"/>
      <c r="V4" s="24"/>
      <c r="W4" s="24"/>
      <c r="X4" s="24"/>
      <c r="Y4" s="24"/>
      <c r="Z4" s="24"/>
      <c r="AA4" s="24"/>
      <c r="AB4" s="24"/>
      <c r="AC4" s="24"/>
      <c r="AD4" s="24"/>
      <c r="AE4" s="24"/>
      <c r="AF4" s="24"/>
      <c r="AG4" s="24"/>
      <c r="AH4" s="24"/>
      <c r="AI4" s="24"/>
      <c r="AJ4" s="24"/>
      <c r="AK4" s="24"/>
      <c r="AL4" s="24"/>
      <c r="AM4" s="24"/>
      <c r="AN4" s="24"/>
      <c r="AO4" s="24"/>
      <c r="AP4" s="24"/>
      <c r="AQ4" s="24"/>
      <c r="AR4" s="24"/>
      <c r="AS4" s="24"/>
      <c r="AT4" s="24"/>
      <c r="AU4" s="24"/>
      <c r="AV4" s="24"/>
      <c r="AW4" s="24"/>
      <c r="AX4" s="24"/>
      <c r="AY4" s="24"/>
      <c r="AZ4" s="24"/>
      <c r="BA4" s="24"/>
      <c r="BB4" s="24"/>
      <c r="BC4" s="24"/>
      <c r="BD4" s="24"/>
      <c r="BE4" s="24"/>
      <c r="BF4" s="24"/>
      <c r="BG4" s="24"/>
      <c r="BH4" s="24"/>
      <c r="BI4" s="24"/>
      <c r="BJ4" s="24"/>
      <c r="BK4" s="24"/>
      <c r="BL4" s="24"/>
      <c r="BM4" s="24"/>
      <c r="BN4" s="24"/>
      <c r="BO4" s="24"/>
      <c r="BP4" s="24"/>
      <c r="BQ4" s="24"/>
      <c r="BR4" s="24"/>
      <c r="BS4" s="24"/>
      <c r="BT4" s="24"/>
      <c r="BU4" s="24"/>
      <c r="BV4" s="24"/>
      <c r="BW4" s="24"/>
      <c r="BX4" s="24"/>
      <c r="BY4" s="24"/>
      <c r="BZ4" s="24"/>
      <c r="CA4" s="24"/>
      <c r="CB4" s="24"/>
      <c r="CC4" s="24"/>
      <c r="CD4" s="24"/>
      <c r="CE4" s="24"/>
      <c r="CF4" s="24"/>
      <c r="CG4" s="24"/>
      <c r="CH4" s="24"/>
      <c r="CI4" s="24"/>
      <c r="CJ4" s="24"/>
      <c r="CK4" s="24"/>
      <c r="CL4" s="24"/>
      <c r="CM4" s="24"/>
      <c r="CN4" s="24"/>
      <c r="CO4" s="24"/>
      <c r="CP4" s="24"/>
      <c r="CQ4" s="24"/>
      <c r="CR4" s="24"/>
      <c r="CS4" s="24"/>
      <c r="CT4" s="24"/>
      <c r="CU4" s="24"/>
      <c r="CV4" s="24"/>
      <c r="CW4" s="24"/>
      <c r="CX4" s="24"/>
      <c r="CY4" s="24"/>
      <c r="CZ4" s="24"/>
      <c r="DA4" s="24"/>
      <c r="DB4" s="24"/>
      <c r="DC4" s="24"/>
    </row>
    <row r="5" spans="1:107">
      <c r="C5" s="28">
        <v>1</v>
      </c>
      <c r="D5" s="28">
        <v>2</v>
      </c>
      <c r="E5" s="28">
        <v>3</v>
      </c>
      <c r="F5" s="28">
        <v>4</v>
      </c>
      <c r="G5" s="28">
        <v>5</v>
      </c>
      <c r="H5" s="28">
        <v>6</v>
      </c>
      <c r="I5" s="28">
        <v>7</v>
      </c>
      <c r="J5" s="28">
        <v>8</v>
      </c>
      <c r="K5" s="28">
        <v>9</v>
      </c>
      <c r="L5" s="28">
        <v>10</v>
      </c>
      <c r="M5" s="28">
        <v>11</v>
      </c>
      <c r="N5" s="28">
        <v>12</v>
      </c>
      <c r="O5" s="28">
        <v>13</v>
      </c>
      <c r="P5" s="28">
        <v>14</v>
      </c>
      <c r="Q5" s="28">
        <v>15</v>
      </c>
      <c r="R5" s="28">
        <v>16</v>
      </c>
      <c r="S5" s="28">
        <v>17</v>
      </c>
      <c r="T5" s="28">
        <v>18</v>
      </c>
      <c r="U5" s="28">
        <v>19</v>
      </c>
      <c r="V5" s="28">
        <v>20</v>
      </c>
      <c r="W5" s="28">
        <v>21</v>
      </c>
      <c r="X5" s="28">
        <v>22</v>
      </c>
      <c r="Y5" s="28">
        <v>23</v>
      </c>
      <c r="Z5" s="28">
        <v>24</v>
      </c>
      <c r="AA5" s="28">
        <v>25</v>
      </c>
      <c r="AB5" s="28">
        <v>26</v>
      </c>
      <c r="AC5" s="28">
        <v>27</v>
      </c>
      <c r="AD5" s="28">
        <v>28</v>
      </c>
      <c r="AE5" s="28">
        <v>29</v>
      </c>
      <c r="AF5" s="28">
        <v>30</v>
      </c>
      <c r="AG5" s="28">
        <v>31</v>
      </c>
      <c r="AH5" s="28">
        <v>32</v>
      </c>
      <c r="AI5" s="28">
        <v>33</v>
      </c>
      <c r="AJ5" s="28">
        <v>34</v>
      </c>
      <c r="AK5" s="28">
        <v>35</v>
      </c>
      <c r="AL5" s="28">
        <v>36</v>
      </c>
      <c r="AM5" s="28">
        <v>37</v>
      </c>
      <c r="AN5" s="28">
        <v>38</v>
      </c>
      <c r="AO5" s="28">
        <v>39</v>
      </c>
      <c r="AP5" s="28">
        <v>40</v>
      </c>
      <c r="AQ5" s="28">
        <v>41</v>
      </c>
      <c r="AR5" s="28">
        <v>42</v>
      </c>
      <c r="AS5" s="28">
        <v>43</v>
      </c>
      <c r="AT5" s="28">
        <v>44</v>
      </c>
      <c r="AU5" s="28">
        <v>45</v>
      </c>
      <c r="AV5" s="28">
        <v>46</v>
      </c>
      <c r="AW5" s="28">
        <v>47</v>
      </c>
      <c r="AX5" s="28">
        <v>48</v>
      </c>
      <c r="AY5" s="28">
        <v>49</v>
      </c>
      <c r="AZ5" s="28">
        <v>50</v>
      </c>
      <c r="BA5" s="28">
        <v>51</v>
      </c>
      <c r="BB5" s="28">
        <v>52</v>
      </c>
      <c r="BC5" s="28">
        <v>53</v>
      </c>
      <c r="BD5" s="28">
        <v>54</v>
      </c>
      <c r="BE5" s="28">
        <v>55</v>
      </c>
      <c r="BF5" s="28">
        <v>56</v>
      </c>
      <c r="BG5" s="28">
        <v>57</v>
      </c>
      <c r="BH5" s="28">
        <v>58</v>
      </c>
      <c r="BI5" s="28">
        <v>59</v>
      </c>
      <c r="BJ5" s="28">
        <v>60</v>
      </c>
      <c r="BK5" s="28">
        <v>61</v>
      </c>
      <c r="BL5" s="28">
        <v>62</v>
      </c>
      <c r="BM5" s="28">
        <v>63</v>
      </c>
      <c r="BN5" s="28">
        <v>64</v>
      </c>
      <c r="BO5" s="28">
        <v>65</v>
      </c>
      <c r="BP5" s="28">
        <v>66</v>
      </c>
      <c r="BQ5" s="28">
        <v>67</v>
      </c>
      <c r="BR5" s="28">
        <v>68</v>
      </c>
      <c r="BS5" s="28">
        <v>69</v>
      </c>
      <c r="BT5" s="28">
        <v>70</v>
      </c>
      <c r="BU5" s="28">
        <v>71</v>
      </c>
      <c r="BV5" s="28">
        <v>72</v>
      </c>
      <c r="BW5" s="28">
        <v>73</v>
      </c>
      <c r="BX5" s="28">
        <v>74</v>
      </c>
      <c r="BY5" s="28">
        <v>75</v>
      </c>
      <c r="BZ5" s="28">
        <v>76</v>
      </c>
      <c r="CA5" s="28">
        <v>77</v>
      </c>
      <c r="CB5" s="28">
        <v>78</v>
      </c>
      <c r="CC5" s="28">
        <v>79</v>
      </c>
      <c r="CD5" s="28">
        <v>80</v>
      </c>
      <c r="CE5" s="28">
        <v>81</v>
      </c>
      <c r="CF5" s="28">
        <v>82</v>
      </c>
      <c r="CG5" s="28">
        <v>83</v>
      </c>
      <c r="CH5" s="28">
        <v>84</v>
      </c>
      <c r="CI5" s="28">
        <v>85</v>
      </c>
      <c r="CJ5" s="28">
        <v>86</v>
      </c>
      <c r="CK5" s="28">
        <v>87</v>
      </c>
      <c r="CL5" s="28">
        <v>88</v>
      </c>
      <c r="CM5" s="28">
        <v>89</v>
      </c>
      <c r="CN5" s="28">
        <v>90</v>
      </c>
      <c r="CO5" s="28">
        <v>91</v>
      </c>
      <c r="CP5" s="28">
        <v>92</v>
      </c>
      <c r="CQ5" s="28">
        <v>93</v>
      </c>
      <c r="CR5" s="28">
        <v>94</v>
      </c>
      <c r="CS5" s="28">
        <v>95</v>
      </c>
      <c r="CT5" s="28">
        <v>96</v>
      </c>
      <c r="CU5" s="28">
        <v>97</v>
      </c>
      <c r="CV5" s="28">
        <v>98</v>
      </c>
      <c r="CW5" s="28">
        <v>99</v>
      </c>
      <c r="CX5" s="28">
        <v>100</v>
      </c>
      <c r="CY5" s="28">
        <v>101</v>
      </c>
      <c r="CZ5" s="28">
        <v>102</v>
      </c>
      <c r="DA5" s="28">
        <v>103</v>
      </c>
      <c r="DB5" s="28">
        <v>104</v>
      </c>
      <c r="DC5" s="28">
        <v>105</v>
      </c>
    </row>
    <row r="6" spans="1:107">
      <c r="C6" s="29" t="s">
        <v>17</v>
      </c>
      <c r="D6" s="30"/>
      <c r="E6" s="30"/>
      <c r="F6" s="30"/>
      <c r="G6" s="30"/>
      <c r="H6" s="30"/>
      <c r="I6" s="31"/>
      <c r="J6" s="32"/>
      <c r="K6" s="454" t="s">
        <v>18</v>
      </c>
      <c r="L6" s="455"/>
      <c r="M6" s="455"/>
      <c r="N6" s="455"/>
      <c r="O6" s="455"/>
      <c r="P6" s="456"/>
      <c r="Q6" s="457" t="s">
        <v>19</v>
      </c>
      <c r="R6" s="458"/>
      <c r="S6" s="33" t="s">
        <v>20</v>
      </c>
      <c r="T6" s="459" t="s">
        <v>21</v>
      </c>
      <c r="U6" s="459"/>
      <c r="V6" s="459"/>
      <c r="W6" s="34"/>
      <c r="X6" s="34"/>
      <c r="Y6" s="34"/>
      <c r="Z6" s="35"/>
      <c r="AA6" s="36"/>
      <c r="AB6" s="34"/>
      <c r="AC6" s="34"/>
      <c r="AD6" s="34"/>
      <c r="AE6" s="34"/>
      <c r="AF6" s="34"/>
      <c r="AG6" s="37"/>
      <c r="AH6" s="37"/>
      <c r="AI6" s="37"/>
      <c r="AJ6" s="37"/>
      <c r="AK6" s="37"/>
      <c r="AL6" s="37"/>
      <c r="AM6" s="37"/>
      <c r="AN6" s="37"/>
      <c r="AO6" s="37"/>
      <c r="AP6" s="37"/>
      <c r="AQ6" s="37"/>
      <c r="AR6" s="17"/>
      <c r="AS6" s="17"/>
      <c r="AT6" s="17"/>
      <c r="AU6" s="17"/>
      <c r="AV6" s="17"/>
      <c r="AW6" s="17"/>
      <c r="AX6" s="17"/>
      <c r="AY6" s="17"/>
      <c r="AZ6" s="17"/>
      <c r="BA6" s="17"/>
      <c r="BB6" s="17"/>
      <c r="BC6" s="17"/>
      <c r="BD6" s="17"/>
      <c r="BE6" s="17"/>
      <c r="BF6" s="17"/>
      <c r="BG6" s="17"/>
      <c r="BH6" s="17"/>
      <c r="BI6" s="17"/>
      <c r="BJ6" s="17"/>
      <c r="BK6" s="17"/>
      <c r="BL6" s="17"/>
      <c r="BM6" s="17"/>
      <c r="BN6" s="17"/>
      <c r="BO6" s="17"/>
      <c r="BP6" s="17"/>
      <c r="BQ6" s="17"/>
      <c r="BR6" s="17"/>
      <c r="BS6" s="17"/>
      <c r="BT6" s="17"/>
      <c r="BU6" s="17"/>
      <c r="BV6" s="17"/>
      <c r="BW6" s="17"/>
      <c r="BX6" s="17"/>
      <c r="BY6" s="17"/>
      <c r="BZ6" s="17"/>
      <c r="CA6" s="17"/>
      <c r="CB6" s="17"/>
      <c r="CC6" s="17"/>
      <c r="CD6" s="17"/>
      <c r="CE6" s="17"/>
      <c r="CF6" s="17"/>
      <c r="CG6" s="17"/>
      <c r="CH6" s="17"/>
      <c r="CI6" s="17"/>
      <c r="CJ6" s="17"/>
      <c r="CK6" s="17"/>
      <c r="CL6" s="17"/>
      <c r="CM6" s="17"/>
      <c r="CN6" s="17"/>
      <c r="CO6" s="17"/>
      <c r="CP6" s="17"/>
      <c r="CQ6" s="17"/>
      <c r="CR6" s="17"/>
      <c r="CS6" s="17"/>
      <c r="CT6" s="17"/>
      <c r="CU6" s="17"/>
      <c r="CV6" s="17"/>
      <c r="CW6" s="17"/>
      <c r="CX6" s="17"/>
      <c r="CY6" s="17"/>
      <c r="CZ6" s="17"/>
      <c r="DA6" s="17"/>
      <c r="DB6" s="17"/>
      <c r="DC6" s="17"/>
    </row>
    <row r="7" spans="1:107" ht="25.5">
      <c r="A7" s="232" t="s">
        <v>862</v>
      </c>
      <c r="B7" s="232" t="s">
        <v>986</v>
      </c>
      <c r="C7" s="38" t="s">
        <v>22</v>
      </c>
      <c r="D7" s="38" t="s">
        <v>23</v>
      </c>
      <c r="E7" s="38" t="s">
        <v>24</v>
      </c>
      <c r="F7" s="38" t="s">
        <v>25</v>
      </c>
      <c r="G7" s="38" t="s">
        <v>26</v>
      </c>
      <c r="H7" s="39" t="s">
        <v>27</v>
      </c>
      <c r="I7" s="38" t="s">
        <v>28</v>
      </c>
      <c r="J7" s="40" t="s">
        <v>29</v>
      </c>
      <c r="K7" s="40" t="s">
        <v>30</v>
      </c>
      <c r="L7" s="40" t="s">
        <v>31</v>
      </c>
      <c r="M7" s="40" t="s">
        <v>32</v>
      </c>
      <c r="N7" s="40" t="s">
        <v>33</v>
      </c>
      <c r="O7" s="40" t="s">
        <v>34</v>
      </c>
      <c r="P7" s="40" t="s">
        <v>35</v>
      </c>
      <c r="Q7" s="41" t="s">
        <v>36</v>
      </c>
      <c r="R7" s="40" t="s">
        <v>28</v>
      </c>
      <c r="S7" s="42" t="s">
        <v>37</v>
      </c>
      <c r="T7" s="43" t="s">
        <v>38</v>
      </c>
      <c r="U7" s="43" t="s">
        <v>39</v>
      </c>
      <c r="V7" s="43" t="s">
        <v>40</v>
      </c>
      <c r="W7" s="44"/>
      <c r="X7" s="44"/>
      <c r="Y7" s="44"/>
      <c r="Z7" s="44"/>
      <c r="AA7" s="44"/>
      <c r="AB7" s="44"/>
      <c r="AC7" s="44"/>
      <c r="AD7" s="44"/>
      <c r="AE7" s="44"/>
      <c r="AF7" s="44"/>
      <c r="AG7" s="37"/>
      <c r="AH7" s="37"/>
      <c r="AI7" s="37"/>
      <c r="AJ7" s="37"/>
      <c r="AK7" s="37"/>
      <c r="AL7" s="37"/>
      <c r="AM7" s="37"/>
      <c r="AN7" s="37"/>
      <c r="AO7" s="37"/>
      <c r="AP7" s="37"/>
      <c r="AQ7" s="37"/>
      <c r="AR7" s="17"/>
      <c r="AS7" s="17"/>
      <c r="AT7" s="17"/>
      <c r="AU7" s="17"/>
      <c r="AV7" s="17"/>
      <c r="AW7" s="17"/>
      <c r="AX7" s="17"/>
      <c r="AY7" s="17"/>
      <c r="AZ7" s="17"/>
      <c r="BA7" s="17"/>
      <c r="BB7" s="17"/>
      <c r="BC7" s="17"/>
      <c r="BD7" s="17"/>
      <c r="BE7" s="17"/>
      <c r="BF7" s="17"/>
      <c r="BG7" s="17"/>
      <c r="BH7" s="17"/>
      <c r="BI7" s="17"/>
      <c r="BJ7" s="17"/>
      <c r="BK7" s="17"/>
      <c r="BL7" s="17"/>
      <c r="BM7" s="17"/>
      <c r="BN7" s="17"/>
      <c r="BO7" s="17"/>
      <c r="BP7" s="17"/>
      <c r="BQ7" s="17"/>
      <c r="BR7" s="17"/>
      <c r="BS7" s="17"/>
      <c r="BT7" s="17"/>
      <c r="BU7" s="17"/>
      <c r="BV7" s="17"/>
      <c r="BW7" s="17"/>
      <c r="BX7" s="17"/>
      <c r="BY7" s="17"/>
      <c r="BZ7" s="17"/>
      <c r="CA7" s="17"/>
      <c r="CB7" s="17"/>
      <c r="CC7" s="17"/>
      <c r="CD7" s="17"/>
      <c r="CE7" s="17"/>
      <c r="CF7" s="17"/>
      <c r="CG7" s="17"/>
      <c r="CH7" s="17"/>
      <c r="CI7" s="17"/>
      <c r="CJ7" s="17"/>
      <c r="CK7" s="17"/>
      <c r="CL7" s="17"/>
      <c r="CM7" s="17"/>
      <c r="CN7" s="17"/>
      <c r="CO7" s="17"/>
      <c r="CP7" s="17"/>
      <c r="CQ7" s="17"/>
      <c r="CR7" s="17"/>
      <c r="CS7" s="17"/>
      <c r="CT7" s="17"/>
      <c r="CU7" s="17"/>
      <c r="CV7" s="17"/>
      <c r="CW7" s="17"/>
      <c r="CX7" s="17"/>
      <c r="CY7" s="17"/>
      <c r="CZ7" s="17"/>
      <c r="DA7" s="17"/>
      <c r="DB7" s="17"/>
      <c r="DC7" s="17"/>
    </row>
    <row r="8" spans="1:107">
      <c r="A8" t="str">
        <f>'Savings and Cost Analysis'!AM13</f>
        <v>HPS 250W-New</v>
      </c>
      <c r="B8" s="358">
        <f>VLOOKUP(A8,CostMatrix,MATCH($B$7,'Savings and Cost Analysis'!$AM$12:$CW$12,0),FALSE)</f>
        <v>0.17511179323272733</v>
      </c>
      <c r="C8" s="45" t="str">
        <f>'Savings and Cost Analysis'!AQ13</f>
        <v>Exterior Lighting: Parking Lot - HPS 250W - New</v>
      </c>
      <c r="D8" s="45" t="str">
        <f>'Savings and Cost Analysis'!AT13</f>
        <v>Exterior Lighting: Parking Lot - HPS 250W to LED 135W - New</v>
      </c>
      <c r="E8" s="332">
        <f>'Savings and Cost Analysis'!BB13*$B8</f>
        <v>130.19651169604927</v>
      </c>
      <c r="F8" s="169">
        <f>'Savings and Cost Analysis'!BK13</f>
        <v>11.627906976744185</v>
      </c>
      <c r="G8" s="362">
        <f>'Savings and Cost Analysis'!BQ13*$B8</f>
        <v>14.537319798098604</v>
      </c>
      <c r="H8" s="48"/>
      <c r="I8" s="49" t="str">
        <f>'Savings and Cost Analysis'!BV13</f>
        <v>S-All-Lgt-Streetlight-All-All-U</v>
      </c>
      <c r="J8" s="47"/>
      <c r="K8" s="170">
        <f>(-1)*'Savings and Cost Analysis'!BT13*$B8</f>
        <v>-4.5237213251787889</v>
      </c>
      <c r="L8" s="169">
        <f>'Savings and Cost Analysis'!BU13</f>
        <v>5.5813953488372094</v>
      </c>
      <c r="M8" s="47"/>
      <c r="N8" s="47"/>
      <c r="O8" s="47"/>
      <c r="P8" s="47"/>
      <c r="Q8" s="24"/>
      <c r="R8" s="50"/>
      <c r="S8" s="51" t="str">
        <f>'Savings and Cost Analysis'!BW13</f>
        <v>L</v>
      </c>
      <c r="T8" s="47"/>
      <c r="U8" s="47"/>
      <c r="V8" s="47"/>
      <c r="W8" s="44"/>
      <c r="X8" s="44"/>
      <c r="Y8" s="44"/>
      <c r="Z8" s="44"/>
      <c r="AA8" s="44"/>
      <c r="AB8" s="44"/>
      <c r="AC8" s="44"/>
      <c r="AD8" s="44"/>
      <c r="AE8" s="44"/>
      <c r="AF8" s="44"/>
      <c r="AG8" s="37"/>
      <c r="AH8" s="37"/>
      <c r="AI8" s="37"/>
      <c r="AJ8" s="37"/>
      <c r="AK8" s="37"/>
      <c r="AL8" s="37"/>
      <c r="AM8" s="37"/>
      <c r="AN8" s="37"/>
      <c r="AO8" s="37"/>
      <c r="AP8" s="37"/>
      <c r="AQ8" s="37"/>
      <c r="AR8" s="21"/>
      <c r="AS8" s="21"/>
      <c r="AT8" s="21"/>
      <c r="AU8" s="21"/>
      <c r="AV8" s="21"/>
      <c r="AW8" s="21"/>
      <c r="AX8" s="21"/>
      <c r="AY8" s="21"/>
      <c r="AZ8" s="21"/>
      <c r="BA8" s="21"/>
      <c r="BB8" s="21"/>
      <c r="BC8" s="21"/>
      <c r="BD8" s="21"/>
      <c r="BE8" s="21"/>
      <c r="BF8" s="21"/>
      <c r="BG8" s="21"/>
      <c r="BH8" s="21"/>
      <c r="BI8" s="21"/>
      <c r="BJ8" s="21"/>
      <c r="BK8" s="21"/>
      <c r="BL8" s="21"/>
      <c r="BM8" s="21"/>
      <c r="BN8" s="21"/>
      <c r="BO8" s="21"/>
      <c r="BP8" s="21"/>
      <c r="BQ8" s="21"/>
      <c r="BR8" s="21"/>
      <c r="BS8" s="21"/>
      <c r="BT8" s="21"/>
      <c r="BU8" s="21"/>
      <c r="BV8" s="21"/>
      <c r="BW8" s="21"/>
      <c r="BX8" s="21"/>
      <c r="BY8" s="21"/>
      <c r="BZ8" s="21"/>
      <c r="CA8" s="21"/>
      <c r="CB8" s="21"/>
      <c r="CC8" s="21"/>
      <c r="CD8" s="21"/>
      <c r="CE8" s="21"/>
      <c r="CF8" s="21"/>
      <c r="CG8" s="21"/>
      <c r="CH8" s="21"/>
      <c r="CI8" s="21"/>
      <c r="CJ8" s="21"/>
      <c r="CK8" s="21"/>
      <c r="CL8" s="21"/>
      <c r="CM8" s="21"/>
      <c r="CN8" s="21"/>
      <c r="CO8" s="21"/>
      <c r="CP8" s="21"/>
      <c r="CQ8" s="21"/>
      <c r="CR8" s="21"/>
      <c r="CS8" s="21"/>
      <c r="CT8" s="21"/>
      <c r="CU8" s="21"/>
      <c r="CV8" s="21"/>
      <c r="CW8" s="21"/>
      <c r="CX8" s="21"/>
      <c r="CY8" s="21"/>
      <c r="CZ8" s="21"/>
      <c r="DA8" s="21"/>
      <c r="DB8" s="21"/>
      <c r="DC8" s="21"/>
    </row>
    <row r="9" spans="1:107">
      <c r="A9" t="str">
        <f>'Savings and Cost Analysis'!AM14</f>
        <v>MH 400W-New</v>
      </c>
      <c r="B9" s="358">
        <f>VLOOKUP(A9,CostMatrix,MATCH($B$7,'Savings and Cost Analysis'!$AM$12:$CW$12,0),FALSE)</f>
        <v>3.9599516560738408E-2</v>
      </c>
      <c r="C9" s="45" t="str">
        <f>'Savings and Cost Analysis'!AQ14</f>
        <v>Exterior Lighting: Parking Lot - MH 400W - New</v>
      </c>
      <c r="D9" s="45" t="str">
        <f>'Savings and Cost Analysis'!AT14</f>
        <v>Exterior Lighting: Parking Lot - MH 400W to LED 180W - New</v>
      </c>
      <c r="E9" s="332">
        <f>'Savings and Cost Analysis'!BB14*$B9</f>
        <v>51.403081848075573</v>
      </c>
      <c r="F9" s="169">
        <f>'Savings and Cost Analysis'!BK14</f>
        <v>11.627906976744185</v>
      </c>
      <c r="G9" s="362">
        <f>'Savings and Cost Analysis'!BQ14*$B9</f>
        <v>5.3072521232113603</v>
      </c>
      <c r="H9" s="48"/>
      <c r="I9" s="49" t="str">
        <f>'Savings and Cost Analysis'!BV14</f>
        <v>S-All-Lgt-Streetlight-All-All-U</v>
      </c>
      <c r="J9" s="24"/>
      <c r="K9" s="170">
        <f>(-1)*'Savings and Cost Analysis'!BT14*$B9</f>
        <v>-1.141786060834624</v>
      </c>
      <c r="L9" s="169">
        <f>'Savings and Cost Analysis'!BU14</f>
        <v>3.7209302325581395</v>
      </c>
      <c r="M9" s="24"/>
      <c r="N9" s="24"/>
      <c r="O9" s="24"/>
      <c r="P9" s="24"/>
      <c r="Q9" s="24"/>
      <c r="R9" s="50"/>
      <c r="S9" s="51" t="str">
        <f>'Savings and Cost Analysis'!BW14</f>
        <v>L</v>
      </c>
      <c r="T9" s="24"/>
      <c r="U9" s="24"/>
      <c r="V9" s="24"/>
      <c r="W9" s="24"/>
      <c r="X9" s="24"/>
      <c r="Y9" s="24"/>
      <c r="Z9" s="24"/>
      <c r="AA9" s="24"/>
      <c r="AB9" s="24"/>
      <c r="AC9" s="24"/>
      <c r="AD9" s="24"/>
      <c r="AE9" s="24"/>
      <c r="AF9" s="24"/>
      <c r="AG9" s="24"/>
      <c r="AH9" s="24"/>
      <c r="AI9" s="24"/>
      <c r="AJ9" s="24"/>
      <c r="AK9" s="24"/>
      <c r="AL9" s="24"/>
      <c r="AM9" s="24"/>
      <c r="AN9" s="24"/>
      <c r="AO9" s="24"/>
      <c r="AP9" s="24"/>
      <c r="AQ9" s="24"/>
      <c r="AR9" s="24"/>
      <c r="AS9" s="24"/>
      <c r="AT9" s="24"/>
      <c r="AU9" s="24"/>
      <c r="AV9" s="24"/>
      <c r="AW9" s="24"/>
      <c r="AX9" s="24"/>
      <c r="AY9" s="24"/>
      <c r="AZ9" s="24"/>
      <c r="BA9" s="24"/>
      <c r="BB9" s="24"/>
      <c r="BC9" s="24"/>
      <c r="BD9" s="24"/>
      <c r="BE9" s="24"/>
      <c r="BF9" s="24"/>
      <c r="BG9" s="24"/>
      <c r="BH9" s="24"/>
      <c r="BI9" s="24"/>
      <c r="BJ9" s="24"/>
      <c r="BK9" s="24"/>
      <c r="BL9" s="24"/>
      <c r="BM9" s="24"/>
      <c r="BN9" s="24"/>
      <c r="BO9" s="24"/>
      <c r="BP9" s="24"/>
      <c r="BQ9" s="24"/>
      <c r="BR9" s="24"/>
      <c r="BS9" s="24"/>
      <c r="BT9" s="24"/>
      <c r="BU9" s="24"/>
      <c r="BV9" s="24"/>
      <c r="BW9" s="24"/>
      <c r="BX9" s="24"/>
      <c r="BY9" s="24"/>
      <c r="BZ9" s="24"/>
      <c r="CA9" s="24"/>
      <c r="CB9" s="24"/>
      <c r="CC9" s="24"/>
      <c r="CD9" s="24"/>
      <c r="CE9" s="24"/>
      <c r="CF9" s="24"/>
      <c r="CG9" s="24"/>
      <c r="CH9" s="24"/>
      <c r="CI9" s="24"/>
      <c r="CJ9" s="24"/>
      <c r="CK9" s="24"/>
      <c r="CL9" s="24"/>
      <c r="CM9" s="24"/>
      <c r="CN9" s="24"/>
      <c r="CO9" s="24"/>
      <c r="CP9" s="24"/>
      <c r="CQ9" s="24"/>
      <c r="CR9" s="24"/>
      <c r="CS9" s="24"/>
      <c r="CT9" s="24"/>
      <c r="CU9" s="24"/>
      <c r="CV9" s="24"/>
      <c r="CW9" s="24"/>
      <c r="CX9" s="24"/>
      <c r="CY9" s="24"/>
      <c r="CZ9" s="24"/>
      <c r="DA9" s="24"/>
      <c r="DB9" s="24"/>
      <c r="DC9" s="24"/>
    </row>
    <row r="10" spans="1:107">
      <c r="A10" t="str">
        <f>'Savings and Cost Analysis'!AM15</f>
        <v>MH 1000W-New</v>
      </c>
      <c r="B10" s="358">
        <f>VLOOKUP(A10,CostMatrix,MATCH($B$7,'Savings and Cost Analysis'!$AM$12:$CW$12,0),FALSE)</f>
        <v>1.9785358456165295E-3</v>
      </c>
      <c r="C10" s="45" t="str">
        <f>'Savings and Cost Analysis'!AQ15</f>
        <v>Exterior Lighting: Parking Lot - MH 1000W - New</v>
      </c>
      <c r="D10" s="45" t="str">
        <f>'Savings and Cost Analysis'!AT15</f>
        <v>Exterior Lighting: Parking Lot - MH 1000W to LED 421W - New</v>
      </c>
      <c r="E10" s="332">
        <f>'Savings and Cost Analysis'!BB15*$B10</f>
        <v>6.2518603404583653</v>
      </c>
      <c r="F10" s="169">
        <f>'Savings and Cost Analysis'!BK15</f>
        <v>11.627906976744185</v>
      </c>
      <c r="G10" s="362">
        <f>'Savings and Cost Analysis'!BQ15*$B10</f>
        <v>1.0527185054529571</v>
      </c>
      <c r="H10" s="48"/>
      <c r="I10" s="49" t="str">
        <f>'Savings and Cost Analysis'!BV15</f>
        <v>S-All-Lgt-Streetlight-All-All-U</v>
      </c>
      <c r="J10" s="24"/>
      <c r="K10" s="170">
        <f>(-1)*'Savings and Cost Analysis'!BT15*$B10</f>
        <v>-6.1004855239842989E-2</v>
      </c>
      <c r="L10" s="169">
        <f>'Savings and Cost Analysis'!BU15</f>
        <v>3.7209302325581395</v>
      </c>
      <c r="M10" s="24"/>
      <c r="N10" s="24"/>
      <c r="O10" s="24"/>
      <c r="P10" s="24"/>
      <c r="Q10" s="24"/>
      <c r="R10" s="50"/>
      <c r="S10" s="51" t="str">
        <f>'Savings and Cost Analysis'!BW15</f>
        <v>L</v>
      </c>
      <c r="T10" s="24"/>
      <c r="U10" s="24"/>
      <c r="V10" s="24"/>
      <c r="W10" s="24"/>
      <c r="X10" s="24"/>
      <c r="Y10" s="24"/>
      <c r="Z10" s="24"/>
      <c r="AA10" s="24"/>
      <c r="AB10" s="24"/>
      <c r="AC10" s="24"/>
      <c r="AD10" s="24"/>
      <c r="AE10" s="24"/>
      <c r="AF10" s="24"/>
      <c r="AG10" s="24"/>
      <c r="AH10" s="24"/>
      <c r="AI10" s="24"/>
      <c r="AJ10" s="24"/>
      <c r="AK10" s="24"/>
      <c r="AL10" s="24"/>
      <c r="AM10" s="24"/>
      <c r="AN10" s="24"/>
      <c r="AO10" s="24"/>
      <c r="AP10" s="24"/>
      <c r="AQ10" s="24"/>
      <c r="AR10" s="24"/>
      <c r="AS10" s="24"/>
      <c r="AT10" s="24"/>
      <c r="AU10" s="24"/>
      <c r="AV10" s="24"/>
      <c r="AW10" s="24"/>
      <c r="AX10" s="24"/>
      <c r="AY10" s="24"/>
      <c r="AZ10" s="24"/>
      <c r="BA10" s="24"/>
      <c r="BB10" s="24"/>
      <c r="BC10" s="24"/>
      <c r="BD10" s="24"/>
      <c r="BE10" s="24"/>
      <c r="BF10" s="24"/>
      <c r="BG10" s="24"/>
      <c r="BH10" s="24"/>
      <c r="BI10" s="24"/>
      <c r="BJ10" s="24"/>
      <c r="BK10" s="24"/>
      <c r="BL10" s="24"/>
      <c r="BM10" s="24"/>
      <c r="BN10" s="24"/>
      <c r="BO10" s="24"/>
      <c r="BP10" s="24"/>
      <c r="BQ10" s="24"/>
      <c r="BR10" s="24"/>
      <c r="BS10" s="24"/>
      <c r="BT10" s="24"/>
      <c r="BU10" s="24"/>
      <c r="BV10" s="24"/>
      <c r="BW10" s="24"/>
      <c r="BX10" s="24"/>
      <c r="BY10" s="24"/>
      <c r="BZ10" s="24"/>
      <c r="CA10" s="24"/>
      <c r="CB10" s="24"/>
      <c r="CC10" s="24"/>
      <c r="CD10" s="24"/>
      <c r="CE10" s="24"/>
      <c r="CF10" s="24"/>
      <c r="CG10" s="24"/>
      <c r="CH10" s="24"/>
      <c r="CI10" s="24"/>
      <c r="CJ10" s="24"/>
      <c r="CK10" s="24"/>
      <c r="CL10" s="24"/>
      <c r="CM10" s="24"/>
      <c r="CN10" s="24"/>
      <c r="CO10" s="24"/>
      <c r="CP10" s="24"/>
      <c r="CQ10" s="24"/>
      <c r="CR10" s="24"/>
      <c r="CS10" s="24"/>
      <c r="CT10" s="24"/>
      <c r="CU10" s="24"/>
      <c r="CV10" s="24"/>
      <c r="CW10" s="24"/>
      <c r="CX10" s="24"/>
      <c r="CY10" s="24"/>
      <c r="CZ10" s="24"/>
      <c r="DA10" s="24"/>
      <c r="DB10" s="24"/>
      <c r="DC10" s="24"/>
    </row>
    <row r="11" spans="1:107">
      <c r="A11" t="str">
        <f>'Savings and Cost Analysis'!AM16</f>
        <v>HPS 250W-NR</v>
      </c>
      <c r="B11" s="358">
        <f>VLOOKUP(A11,CostMatrix,MATCH($B$7,'Savings and Cost Analysis'!$AM$12:$CW$12,0),FALSE)</f>
        <v>0.17511179323272733</v>
      </c>
      <c r="C11" s="45" t="str">
        <f>'Savings and Cost Analysis'!AQ16</f>
        <v>Exterior Lighting: Parking Lot - HPS 250W - NR</v>
      </c>
      <c r="D11" s="45" t="str">
        <f>'Savings and Cost Analysis'!AT16</f>
        <v>Exterior Lighting: Parking Lot - HPS 250W to LED 135W - NR</v>
      </c>
      <c r="E11" s="332">
        <f>'Savings and Cost Analysis'!BB16*$B11</f>
        <v>130.19651169604927</v>
      </c>
      <c r="F11" s="169">
        <f>'Savings and Cost Analysis'!BK16</f>
        <v>11.627906976744185</v>
      </c>
      <c r="G11" s="362">
        <f>'Savings and Cost Analysis'!BQ16*$B11</f>
        <v>45.543781319840186</v>
      </c>
      <c r="H11" s="24"/>
      <c r="I11" s="49" t="str">
        <f>'Savings and Cost Analysis'!BV16</f>
        <v>S-All-Lgt-Streetlight-All-All-U</v>
      </c>
      <c r="J11" s="24"/>
      <c r="K11" s="170">
        <f>(-1)*'Savings and Cost Analysis'!BT16*$B11</f>
        <v>-4.5237213251787889</v>
      </c>
      <c r="L11" s="169">
        <f>'Savings and Cost Analysis'!BU16</f>
        <v>5.5813953488372094</v>
      </c>
      <c r="M11" s="24"/>
      <c r="N11" s="24"/>
      <c r="O11" s="24"/>
      <c r="P11" s="24"/>
      <c r="Q11" s="24"/>
      <c r="R11" s="24"/>
      <c r="S11" s="51" t="str">
        <f>'Savings and Cost Analysis'!BW16</f>
        <v>L</v>
      </c>
      <c r="T11" s="24"/>
      <c r="U11" s="24"/>
      <c r="V11" s="24"/>
      <c r="W11" s="24"/>
      <c r="X11" s="24"/>
      <c r="Y11" s="24"/>
      <c r="Z11" s="24"/>
      <c r="AA11" s="24"/>
      <c r="AB11" s="24"/>
      <c r="AC11" s="24"/>
      <c r="AD11" s="24"/>
      <c r="AE11" s="24"/>
      <c r="AF11" s="24"/>
      <c r="AG11" s="24"/>
      <c r="AH11" s="24"/>
      <c r="AI11" s="24"/>
      <c r="AJ11" s="24"/>
      <c r="AK11" s="24"/>
      <c r="AL11" s="24"/>
      <c r="AM11" s="24"/>
      <c r="AN11" s="24"/>
      <c r="AO11" s="24"/>
      <c r="AP11" s="24"/>
      <c r="AQ11" s="24"/>
      <c r="AR11" s="24"/>
      <c r="AS11" s="24"/>
      <c r="AT11" s="24"/>
      <c r="AU11" s="24"/>
      <c r="AV11" s="24"/>
      <c r="AW11" s="24"/>
      <c r="AX11" s="24"/>
      <c r="AY11" s="24"/>
      <c r="AZ11" s="24"/>
      <c r="BA11" s="24"/>
      <c r="BB11" s="24"/>
      <c r="BC11" s="24"/>
      <c r="BD11" s="24"/>
      <c r="BE11" s="24"/>
      <c r="BF11" s="24"/>
      <c r="BG11" s="24"/>
      <c r="BH11" s="24"/>
      <c r="BI11" s="24"/>
      <c r="BJ11" s="24"/>
      <c r="BK11" s="24"/>
      <c r="BL11" s="24"/>
      <c r="BM11" s="24"/>
      <c r="BN11" s="24"/>
      <c r="BO11" s="24"/>
      <c r="BP11" s="24"/>
      <c r="BQ11" s="24"/>
      <c r="BR11" s="24"/>
      <c r="BS11" s="24"/>
      <c r="BT11" s="24"/>
      <c r="BU11" s="24"/>
      <c r="BV11" s="24"/>
      <c r="BW11" s="24"/>
      <c r="BX11" s="24"/>
      <c r="BY11" s="24"/>
      <c r="BZ11" s="24"/>
      <c r="CA11" s="24"/>
      <c r="CB11" s="24"/>
      <c r="CC11" s="24"/>
      <c r="CD11" s="24"/>
      <c r="CE11" s="24"/>
      <c r="CF11" s="24"/>
      <c r="CG11" s="24"/>
      <c r="CH11" s="24"/>
      <c r="CI11" s="24"/>
      <c r="CJ11" s="24"/>
      <c r="CK11" s="24"/>
      <c r="CL11" s="24"/>
      <c r="CM11" s="24"/>
      <c r="CN11" s="24"/>
      <c r="CO11" s="24"/>
      <c r="CP11" s="24"/>
      <c r="CQ11" s="24"/>
      <c r="CR11" s="24"/>
      <c r="CS11" s="24"/>
      <c r="CT11" s="24"/>
      <c r="CU11" s="24"/>
      <c r="CV11" s="24"/>
      <c r="CW11" s="24"/>
      <c r="CX11" s="24"/>
      <c r="CY11" s="24"/>
      <c r="CZ11" s="24"/>
      <c r="DA11" s="24"/>
      <c r="DB11" s="24"/>
      <c r="DC11" s="24"/>
    </row>
    <row r="12" spans="1:107">
      <c r="A12" t="str">
        <f>'Savings and Cost Analysis'!AM17</f>
        <v>MH 400W-NR</v>
      </c>
      <c r="B12" s="358">
        <f>VLOOKUP(A12,CostMatrix,MATCH($B$7,'Savings and Cost Analysis'!$AM$12:$CW$12,0),FALSE)</f>
        <v>3.9599516560738408E-2</v>
      </c>
      <c r="C12" s="45" t="str">
        <f>'Savings and Cost Analysis'!AQ17</f>
        <v>Exterior Lighting: Parking Lot - MH 400W - NR</v>
      </c>
      <c r="D12" s="45" t="str">
        <f>'Savings and Cost Analysis'!AT17</f>
        <v>Exterior Lighting: Parking Lot - MH 400W to LED 180W - NR</v>
      </c>
      <c r="E12" s="332">
        <f>'Savings and Cost Analysis'!BB17*$B12</f>
        <v>51.403081848075573</v>
      </c>
      <c r="F12" s="169">
        <f>'Savings and Cost Analysis'!BK17</f>
        <v>11.627906976744185</v>
      </c>
      <c r="G12" s="362">
        <f>'Savings and Cost Analysis'!BQ17*$B12</f>
        <v>13.388193469372712</v>
      </c>
      <c r="H12" s="24"/>
      <c r="I12" s="49" t="str">
        <f>'Savings and Cost Analysis'!BV17</f>
        <v>S-All-Lgt-Streetlight-All-All-U</v>
      </c>
      <c r="J12" s="24"/>
      <c r="K12" s="170">
        <f>(-1)*'Savings and Cost Analysis'!BT17*$B12</f>
        <v>-1.141786060834624</v>
      </c>
      <c r="L12" s="169">
        <f>'Savings and Cost Analysis'!BU17</f>
        <v>3.7209302325581395</v>
      </c>
      <c r="M12" s="24"/>
      <c r="N12" s="24"/>
      <c r="O12" s="24"/>
      <c r="P12" s="24"/>
      <c r="Q12" s="24"/>
      <c r="R12" s="24"/>
      <c r="S12" s="51" t="str">
        <f>'Savings and Cost Analysis'!BW17</f>
        <v>L</v>
      </c>
      <c r="T12" s="24"/>
      <c r="U12" s="24"/>
      <c r="V12" s="24"/>
      <c r="W12" s="24"/>
      <c r="X12" s="24"/>
      <c r="Y12" s="24"/>
      <c r="Z12" s="24"/>
      <c r="AA12" s="24"/>
      <c r="AB12" s="24"/>
      <c r="AC12" s="24"/>
      <c r="AD12" s="24"/>
      <c r="AE12" s="24"/>
      <c r="AF12" s="24"/>
      <c r="AG12" s="24"/>
      <c r="AH12" s="24"/>
      <c r="AI12" s="24"/>
      <c r="AJ12" s="24"/>
      <c r="AK12" s="24"/>
      <c r="AL12" s="24"/>
      <c r="AM12" s="24"/>
      <c r="AN12" s="24"/>
      <c r="AO12" s="24"/>
      <c r="AP12" s="24"/>
      <c r="AQ12" s="24"/>
      <c r="AR12" s="24"/>
      <c r="AS12" s="24"/>
      <c r="AT12" s="24"/>
      <c r="AU12" s="24"/>
      <c r="AV12" s="24"/>
      <c r="AW12" s="24"/>
      <c r="AX12" s="24"/>
      <c r="AY12" s="24"/>
      <c r="AZ12" s="24"/>
      <c r="BA12" s="24"/>
      <c r="BB12" s="24"/>
      <c r="BC12" s="24"/>
      <c r="BD12" s="24"/>
      <c r="BE12" s="24"/>
      <c r="BF12" s="24"/>
      <c r="BG12" s="24"/>
      <c r="BH12" s="24"/>
      <c r="BI12" s="24"/>
      <c r="BJ12" s="24"/>
      <c r="BK12" s="24"/>
      <c r="BL12" s="24"/>
      <c r="BM12" s="24"/>
      <c r="BN12" s="24"/>
      <c r="BO12" s="24"/>
      <c r="BP12" s="24"/>
      <c r="BQ12" s="24"/>
      <c r="BR12" s="24"/>
      <c r="BS12" s="24"/>
      <c r="BT12" s="24"/>
      <c r="BU12" s="24"/>
      <c r="BV12" s="24"/>
      <c r="BW12" s="24"/>
      <c r="BX12" s="24"/>
      <c r="BY12" s="24"/>
      <c r="BZ12" s="24"/>
      <c r="CA12" s="24"/>
      <c r="CB12" s="24"/>
      <c r="CC12" s="24"/>
      <c r="CD12" s="24"/>
      <c r="CE12" s="24"/>
      <c r="CF12" s="24"/>
      <c r="CG12" s="24"/>
      <c r="CH12" s="24"/>
      <c r="CI12" s="24"/>
      <c r="CJ12" s="24"/>
      <c r="CK12" s="24"/>
      <c r="CL12" s="24"/>
      <c r="CM12" s="24"/>
      <c r="CN12" s="24"/>
      <c r="CO12" s="24"/>
      <c r="CP12" s="24"/>
      <c r="CQ12" s="24"/>
      <c r="CR12" s="24"/>
      <c r="CS12" s="24"/>
      <c r="CT12" s="24"/>
      <c r="CU12" s="24"/>
      <c r="CV12" s="24"/>
      <c r="CW12" s="24"/>
      <c r="CX12" s="24"/>
      <c r="CY12" s="24"/>
      <c r="CZ12" s="24"/>
      <c r="DA12" s="24"/>
      <c r="DB12" s="24"/>
      <c r="DC12" s="24"/>
    </row>
    <row r="13" spans="1:107">
      <c r="A13" t="str">
        <f>'Savings and Cost Analysis'!AM18</f>
        <v>MH 1000W-NR</v>
      </c>
      <c r="B13" s="358">
        <f>VLOOKUP(A13,CostMatrix,MATCH($B$7,'Savings and Cost Analysis'!$AM$12:$CW$12,0),FALSE)</f>
        <v>1.9785358456165295E-3</v>
      </c>
      <c r="C13" s="45" t="str">
        <f>'Savings and Cost Analysis'!AQ18</f>
        <v>Exterior Lighting: Parking Lot - MH 1000W - NR</v>
      </c>
      <c r="D13" s="45" t="str">
        <f>'Savings and Cost Analysis'!AT18</f>
        <v>Exterior Lighting: Parking Lot - MH 1000W to LED 421W - NR</v>
      </c>
      <c r="E13" s="332">
        <f>'Savings and Cost Analysis'!BB18*$B13</f>
        <v>6.2518603404583653</v>
      </c>
      <c r="F13" s="169">
        <f>'Savings and Cost Analysis'!BK18</f>
        <v>11.627906976744185</v>
      </c>
      <c r="G13" s="362">
        <f>'Savings and Cost Analysis'!BQ18*$B13</f>
        <v>1.947148610061336</v>
      </c>
      <c r="H13" s="24"/>
      <c r="I13" s="49" t="str">
        <f>'Savings and Cost Analysis'!BV18</f>
        <v>S-All-Lgt-Streetlight-All-All-U</v>
      </c>
      <c r="J13" s="24"/>
      <c r="K13" s="170">
        <f>(-1)*'Savings and Cost Analysis'!BT18*$B13</f>
        <v>-6.1004855239842989E-2</v>
      </c>
      <c r="L13" s="169">
        <f>'Savings and Cost Analysis'!BU18</f>
        <v>3.7209302325581395</v>
      </c>
      <c r="M13" s="24"/>
      <c r="N13" s="24"/>
      <c r="O13" s="24"/>
      <c r="P13" s="24"/>
      <c r="Q13" s="24"/>
      <c r="R13" s="24"/>
      <c r="S13" s="51" t="str">
        <f>'Savings and Cost Analysis'!BW18</f>
        <v>L</v>
      </c>
      <c r="T13" s="24"/>
      <c r="U13" s="24"/>
      <c r="V13" s="24"/>
      <c r="W13" s="24"/>
      <c r="X13" s="24"/>
      <c r="Y13" s="24"/>
      <c r="Z13" s="24"/>
      <c r="AA13" s="24"/>
      <c r="AB13" s="24"/>
      <c r="AC13" s="24"/>
      <c r="AD13" s="24"/>
      <c r="AE13" s="24"/>
      <c r="AF13" s="24"/>
      <c r="AG13" s="24"/>
      <c r="AH13" s="24"/>
      <c r="AI13" s="24"/>
      <c r="AJ13" s="24"/>
      <c r="AK13" s="24"/>
      <c r="AL13" s="24"/>
      <c r="AM13" s="24"/>
      <c r="AN13" s="24"/>
      <c r="AO13" s="24"/>
      <c r="AP13" s="24"/>
      <c r="AQ13" s="24"/>
      <c r="AR13" s="24"/>
      <c r="AS13" s="24"/>
      <c r="AT13" s="24"/>
      <c r="AU13" s="24"/>
      <c r="AV13" s="24"/>
      <c r="AW13" s="24"/>
      <c r="AX13" s="24"/>
      <c r="AY13" s="24"/>
      <c r="AZ13" s="24"/>
      <c r="BA13" s="24"/>
      <c r="BB13" s="24"/>
      <c r="BC13" s="24"/>
      <c r="BD13" s="24"/>
      <c r="BE13" s="24"/>
      <c r="BF13" s="24"/>
      <c r="BG13" s="24"/>
      <c r="BH13" s="24"/>
      <c r="BI13" s="24"/>
      <c r="BJ13" s="24"/>
      <c r="BK13" s="24"/>
      <c r="BL13" s="24"/>
      <c r="BM13" s="24"/>
      <c r="BN13" s="24"/>
      <c r="BO13" s="24"/>
      <c r="BP13" s="24"/>
      <c r="BQ13" s="24"/>
      <c r="BR13" s="24"/>
      <c r="BS13" s="24"/>
      <c r="BT13" s="24"/>
      <c r="BU13" s="24"/>
      <c r="BV13" s="24"/>
      <c r="BW13" s="24"/>
      <c r="BX13" s="24"/>
      <c r="BY13" s="24"/>
      <c r="BZ13" s="24"/>
      <c r="CA13" s="24"/>
      <c r="CB13" s="24"/>
      <c r="CC13" s="24"/>
      <c r="CD13" s="24"/>
      <c r="CE13" s="24"/>
      <c r="CF13" s="24"/>
      <c r="CG13" s="24"/>
      <c r="CH13" s="24"/>
      <c r="CI13" s="24"/>
      <c r="CJ13" s="24"/>
      <c r="CK13" s="24"/>
      <c r="CL13" s="24"/>
      <c r="CM13" s="24"/>
      <c r="CN13" s="24"/>
      <c r="CO13" s="24"/>
      <c r="CP13" s="24"/>
      <c r="CQ13" s="24"/>
      <c r="CR13" s="24"/>
      <c r="CS13" s="24"/>
      <c r="CT13" s="24"/>
      <c r="CU13" s="24"/>
      <c r="CV13" s="24"/>
      <c r="CW13" s="24"/>
      <c r="CX13" s="24"/>
      <c r="CY13" s="24"/>
      <c r="CZ13" s="24"/>
      <c r="DA13" s="24"/>
      <c r="DB13" s="24"/>
      <c r="DC13" s="24"/>
    </row>
    <row r="14" spans="1:107">
      <c r="A14" t="str">
        <f>'Savings and Cost Analysis'!AM19</f>
        <v>HPS 250W-Retro</v>
      </c>
      <c r="B14" s="358">
        <f>VLOOKUP(A14,CostMatrix,MATCH($B$7,'Savings and Cost Analysis'!$AM$12:$CW$12,0),FALSE)</f>
        <v>0.17511179323272733</v>
      </c>
      <c r="C14" s="45" t="str">
        <f>'Savings and Cost Analysis'!AQ19</f>
        <v>Exterior Lighting: Parking Lot - HPS 250W - Retro</v>
      </c>
      <c r="D14" s="45" t="str">
        <f>'Savings and Cost Analysis'!AT19</f>
        <v>Exterior Lighting: Parking Lot - HPS 250W to LED 135W - Retro</v>
      </c>
      <c r="E14" s="332">
        <f>'Savings and Cost Analysis'!BB19*$B14</f>
        <v>130.19651169604927</v>
      </c>
      <c r="F14" s="169">
        <f>'Savings and Cost Analysis'!BK19</f>
        <v>11.627906976744185</v>
      </c>
      <c r="G14" s="362">
        <f>'Savings and Cost Analysis'!BQ19*$B14</f>
        <v>50.067502645018976</v>
      </c>
      <c r="I14" s="49" t="str">
        <f>'Savings and Cost Analysis'!BV19</f>
        <v>S-All-Lgt-Streetlight-All-All-U</v>
      </c>
      <c r="K14" s="170">
        <f>(-1)*'Savings and Cost Analysis'!BT19*$B14</f>
        <v>-4.5237213251787889</v>
      </c>
      <c r="L14" s="169">
        <f>'Savings and Cost Analysis'!BU19</f>
        <v>5.5813953488372094</v>
      </c>
      <c r="S14" s="51" t="str">
        <f>'Savings and Cost Analysis'!BW19</f>
        <v>R</v>
      </c>
    </row>
    <row r="15" spans="1:107">
      <c r="A15" t="str">
        <f>'Savings and Cost Analysis'!AM20</f>
        <v>MH 400W-Retro</v>
      </c>
      <c r="B15" s="358">
        <f>VLOOKUP(A15,CostMatrix,MATCH($B$7,'Savings and Cost Analysis'!$AM$12:$CW$12,0),FALSE)</f>
        <v>3.9599516560738408E-2</v>
      </c>
      <c r="C15" s="45" t="str">
        <f>'Savings and Cost Analysis'!AQ20</f>
        <v>Exterior Lighting: Parking Lot - MH 400W - Retro</v>
      </c>
      <c r="D15" s="45" t="str">
        <f>'Savings and Cost Analysis'!AT20</f>
        <v>Exterior Lighting: Parking Lot - MH 400W to LED 180W - Retro</v>
      </c>
      <c r="E15" s="332">
        <f>'Savings and Cost Analysis'!BB20*$B15</f>
        <v>51.403081848075573</v>
      </c>
      <c r="F15" s="169">
        <f>'Savings and Cost Analysis'!BK20</f>
        <v>11.627906976744185</v>
      </c>
      <c r="G15" s="362">
        <f>'Savings and Cost Analysis'!BQ20*$B15</f>
        <v>14.529979530207335</v>
      </c>
      <c r="I15" s="49" t="str">
        <f>'Savings and Cost Analysis'!BV20</f>
        <v>S-All-Lgt-Streetlight-All-All-U</v>
      </c>
      <c r="K15" s="170">
        <f>(-1)*'Savings and Cost Analysis'!BT20*$B15</f>
        <v>-1.141786060834624</v>
      </c>
      <c r="L15" s="169">
        <f>'Savings and Cost Analysis'!BU20</f>
        <v>3.7209302325581395</v>
      </c>
      <c r="S15" s="51" t="str">
        <f>'Savings and Cost Analysis'!BW20</f>
        <v>R</v>
      </c>
    </row>
    <row r="16" spans="1:107">
      <c r="A16" t="str">
        <f>'Savings and Cost Analysis'!AM21</f>
        <v>MH 1000W-Retro</v>
      </c>
      <c r="B16" s="358">
        <f>VLOOKUP(A16,CostMatrix,MATCH($B$7,'Savings and Cost Analysis'!$AM$12:$CW$12,0),FALSE)</f>
        <v>1.9785358456165295E-3</v>
      </c>
      <c r="C16" s="45" t="str">
        <f>'Savings and Cost Analysis'!AQ21</f>
        <v>Exterior Lighting: Parking Lot - MH 1000W - Retro</v>
      </c>
      <c r="D16" s="45" t="str">
        <f>'Savings and Cost Analysis'!AT21</f>
        <v>Exterior Lighting: Parking Lot - MH 1000W to LED 421W - Retro</v>
      </c>
      <c r="E16" s="332">
        <f>'Savings and Cost Analysis'!BB21*$B16</f>
        <v>6.2518603404583653</v>
      </c>
      <c r="F16" s="169">
        <f>'Savings and Cost Analysis'!BK21</f>
        <v>11.627906976744185</v>
      </c>
      <c r="G16" s="362">
        <f>'Savings and Cost Analysis'!BQ21*$B16</f>
        <v>2.008153465301179</v>
      </c>
      <c r="I16" s="49" t="str">
        <f>'Savings and Cost Analysis'!BV21</f>
        <v>S-All-Lgt-Streetlight-All-All-U</v>
      </c>
      <c r="K16" s="170">
        <f>(-1)*'Savings and Cost Analysis'!BT21*$B16</f>
        <v>-6.1004855239842989E-2</v>
      </c>
      <c r="L16" s="169">
        <f>'Savings and Cost Analysis'!BU21</f>
        <v>3.7209302325581395</v>
      </c>
      <c r="S16" s="51" t="str">
        <f>'Savings and Cost Analysis'!BW21</f>
        <v>R</v>
      </c>
    </row>
    <row r="17" spans="1:19">
      <c r="A17" t="str">
        <f>'Savings and Cost Analysis'!AM22</f>
        <v>HID 150W-New</v>
      </c>
      <c r="B17" s="358">
        <f>VLOOKUP(A17,CostMatrix,MATCH($B$7,'Savings and Cost Analysis'!$AM$12:$CW$12,0),FALSE)</f>
        <v>0.10307864807900002</v>
      </c>
      <c r="C17" s="45" t="str">
        <f>'Savings and Cost Analysis'!AQ22</f>
        <v>Exterior Lighting: Façade - HID 150W - New</v>
      </c>
      <c r="D17" s="45" t="str">
        <f>'Savings and Cost Analysis'!AT22</f>
        <v>Exterior Lighting: Façade - HID 150W to LED 27W - New</v>
      </c>
      <c r="E17" s="332">
        <f>'Savings and Cost Analysis'!BB22*$B17</f>
        <v>66.935750455655011</v>
      </c>
      <c r="F17" s="169">
        <f>'Savings and Cost Analysis'!BK22</f>
        <v>16.279069767441861</v>
      </c>
      <c r="G17" s="362">
        <f>'Savings and Cost Analysis'!BQ22*$B17</f>
        <v>0.75267609869364605</v>
      </c>
      <c r="I17" s="49" t="str">
        <f>'Savings and Cost Analysis'!BV22</f>
        <v>S-All-Lgt-Streetlight-All-All-U</v>
      </c>
      <c r="K17" s="170">
        <f>(-1)*'Savings and Cost Analysis'!BT22*$B17</f>
        <v>-4.3120382329557554</v>
      </c>
      <c r="L17" s="169">
        <f>'Savings and Cost Analysis'!BU22</f>
        <v>5.5813953488372094</v>
      </c>
      <c r="S17" s="51" t="str">
        <f>'Savings and Cost Analysis'!BW22</f>
        <v>L</v>
      </c>
    </row>
    <row r="18" spans="1:19">
      <c r="A18" t="str">
        <f>'Savings and Cost Analysis'!AM23</f>
        <v>HID 400W-New</v>
      </c>
      <c r="B18" s="358">
        <f>VLOOKUP(A18,CostMatrix,MATCH($B$7,'Savings and Cost Analysis'!$AM$12:$CW$12,0),FALSE)</f>
        <v>1.7972880058664389E-2</v>
      </c>
      <c r="C18" s="45" t="str">
        <f>'Savings and Cost Analysis'!AQ23</f>
        <v>Exterior Lighting: Façade - HID 400W - New</v>
      </c>
      <c r="D18" s="45" t="str">
        <f>'Savings and Cost Analysis'!AT23</f>
        <v>Exterior Lighting: Façade - HID 400W to LED 82W - New</v>
      </c>
      <c r="E18" s="332">
        <f>'Savings and Cost Analysis'!BB23*$B18</f>
        <v>28.880984703126135</v>
      </c>
      <c r="F18" s="169">
        <f>'Savings and Cost Analysis'!BK23</f>
        <v>16.279069767441861</v>
      </c>
      <c r="G18" s="362">
        <f>'Savings and Cost Analysis'!BQ23*$B18</f>
        <v>0.93212841418794667</v>
      </c>
      <c r="I18" s="49" t="str">
        <f>'Savings and Cost Analysis'!BV23</f>
        <v>S-All-Lgt-Streetlight-All-All-U</v>
      </c>
      <c r="K18" s="170">
        <f>(-1)*'Savings and Cost Analysis'!BT23*$B18</f>
        <v>-0.70569423195622161</v>
      </c>
      <c r="L18" s="169">
        <f>'Savings and Cost Analysis'!BU23</f>
        <v>3.7209302325581395</v>
      </c>
      <c r="S18" s="51" t="str">
        <f>'Savings and Cost Analysis'!BW23</f>
        <v>L</v>
      </c>
    </row>
    <row r="19" spans="1:19">
      <c r="A19" t="str">
        <f>'Savings and Cost Analysis'!AM24</f>
        <v>HID 150W-NR</v>
      </c>
      <c r="B19" s="358">
        <f>VLOOKUP(A19,CostMatrix,MATCH($B$7,'Savings and Cost Analysis'!$AM$12:$CW$12,0),FALSE)</f>
        <v>0.10307864807900002</v>
      </c>
      <c r="C19" s="45" t="str">
        <f>'Savings and Cost Analysis'!AQ24</f>
        <v>Exterior Lighting: Façade - HID 150W - NR</v>
      </c>
      <c r="D19" s="45" t="str">
        <f>'Savings and Cost Analysis'!AT24</f>
        <v>Exterior Lighting: Façade - HID 150W to LED 27W - NR</v>
      </c>
      <c r="E19" s="332">
        <f>'Savings and Cost Analysis'!BB24*$B19</f>
        <v>66.935750455655011</v>
      </c>
      <c r="F19" s="169">
        <f>'Savings and Cost Analysis'!BK24</f>
        <v>16.279069767441861</v>
      </c>
      <c r="G19" s="362">
        <f>'Savings and Cost Analysis'!BQ24*$B19</f>
        <v>19.271398161973615</v>
      </c>
      <c r="I19" s="49" t="str">
        <f>'Savings and Cost Analysis'!BV24</f>
        <v>S-All-Lgt-Streetlight-All-All-U</v>
      </c>
      <c r="K19" s="170">
        <f>(-1)*'Savings and Cost Analysis'!BT24*$B19</f>
        <v>-4.3120382329557554</v>
      </c>
      <c r="L19" s="169">
        <f>'Savings and Cost Analysis'!BU24</f>
        <v>5.5813953488372094</v>
      </c>
      <c r="S19" s="51" t="str">
        <f>'Savings and Cost Analysis'!BW24</f>
        <v>L</v>
      </c>
    </row>
    <row r="20" spans="1:19">
      <c r="A20" t="str">
        <f>'Savings and Cost Analysis'!AM25</f>
        <v>HID 400W-NR</v>
      </c>
      <c r="B20" s="358">
        <f>VLOOKUP(A20,CostMatrix,MATCH($B$7,'Savings and Cost Analysis'!$AM$12:$CW$12,0),FALSE)</f>
        <v>1.7972880058664389E-2</v>
      </c>
      <c r="C20" s="45" t="str">
        <f>'Savings and Cost Analysis'!AQ25</f>
        <v>Exterior Lighting: Façade - HID 400W - NR</v>
      </c>
      <c r="D20" s="45" t="str">
        <f>'Savings and Cost Analysis'!AT25</f>
        <v>Exterior Lighting: Façade - HID 400W to LED 82W - NR</v>
      </c>
      <c r="E20" s="332">
        <f>'Savings and Cost Analysis'!BB25*$B20</f>
        <v>28.880984703126135</v>
      </c>
      <c r="F20" s="169">
        <f>'Savings and Cost Analysis'!BK25</f>
        <v>16.279069767441861</v>
      </c>
      <c r="G20" s="362">
        <f>'Savings and Cost Analysis'!BQ25*$B20</f>
        <v>5.9720678877064044</v>
      </c>
      <c r="I20" s="49" t="str">
        <f>'Savings and Cost Analysis'!BV25</f>
        <v>S-All-Lgt-Streetlight-All-All-U</v>
      </c>
      <c r="K20" s="170">
        <f>(-1)*'Savings and Cost Analysis'!BT25*$B20</f>
        <v>-0.70569423195622161</v>
      </c>
      <c r="L20" s="169">
        <f>'Savings and Cost Analysis'!BU25</f>
        <v>3.7209302325581395</v>
      </c>
      <c r="S20" s="51" t="str">
        <f>'Savings and Cost Analysis'!BW25</f>
        <v>L</v>
      </c>
    </row>
    <row r="21" spans="1:19">
      <c r="A21" t="str">
        <f>'Savings and Cost Analysis'!AM26</f>
        <v>HID 150W-Retro</v>
      </c>
      <c r="B21" s="358">
        <f>VLOOKUP(A21,CostMatrix,MATCH($B$7,'Savings and Cost Analysis'!$AM$12:$CW$12,0),FALSE)</f>
        <v>0.10307864807900002</v>
      </c>
      <c r="C21" s="45" t="str">
        <f>'Savings and Cost Analysis'!AQ26</f>
        <v>Exterior Lighting: Façade - HID 150W - Retro</v>
      </c>
      <c r="D21" s="45" t="str">
        <f>'Savings and Cost Analysis'!AT26</f>
        <v>Exterior Lighting: Façade - HID 150W to LED 27W - Retro</v>
      </c>
      <c r="E21" s="332">
        <f>'Savings and Cost Analysis'!BB26*$B21</f>
        <v>66.935750455655011</v>
      </c>
      <c r="F21" s="169">
        <f>'Savings and Cost Analysis'!BK26</f>
        <v>16.279069767441861</v>
      </c>
      <c r="G21" s="362">
        <f>'Savings and Cost Analysis'!BQ26*$B21</f>
        <v>23.583436394929375</v>
      </c>
      <c r="I21" s="49" t="str">
        <f>'Savings and Cost Analysis'!BV26</f>
        <v>S-All-Lgt-Streetlight-All-All-U</v>
      </c>
      <c r="K21" s="170">
        <f>(-1)*'Savings and Cost Analysis'!BT26*$B21</f>
        <v>-4.3120382329557554</v>
      </c>
      <c r="L21" s="169">
        <f>'Savings and Cost Analysis'!BU26</f>
        <v>5.5813953488372094</v>
      </c>
      <c r="S21" s="51" t="str">
        <f>'Savings and Cost Analysis'!BW26</f>
        <v>R</v>
      </c>
    </row>
    <row r="22" spans="1:19">
      <c r="A22" t="str">
        <f>'Savings and Cost Analysis'!AM27</f>
        <v>HID 400W-Retro</v>
      </c>
      <c r="B22" s="358">
        <f>VLOOKUP(A22,CostMatrix,MATCH($B$7,'Savings and Cost Analysis'!$AM$12:$CW$12,0),FALSE)</f>
        <v>1.7972880058664389E-2</v>
      </c>
      <c r="C22" s="45" t="str">
        <f>'Savings and Cost Analysis'!AQ27</f>
        <v>Exterior Lighting: Façade - HID 400W - Retro</v>
      </c>
      <c r="D22" s="45" t="str">
        <f>'Savings and Cost Analysis'!AT27</f>
        <v>Exterior Lighting: Façade - HID 400W to LED 82W - Retro</v>
      </c>
      <c r="E22" s="332">
        <f>'Savings and Cost Analysis'!BB27*$B22</f>
        <v>28.880984703126135</v>
      </c>
      <c r="F22" s="169">
        <f>'Savings and Cost Analysis'!BK27</f>
        <v>16.279069767441861</v>
      </c>
      <c r="G22" s="362">
        <f>'Savings and Cost Analysis'!BQ27*$B22</f>
        <v>6.677762119662626</v>
      </c>
      <c r="I22" s="49" t="str">
        <f>'Savings and Cost Analysis'!BV27</f>
        <v>S-All-Lgt-Streetlight-All-All-U</v>
      </c>
      <c r="K22" s="170">
        <f>(-1)*'Savings and Cost Analysis'!BT27*$B22</f>
        <v>-0.70569423195622161</v>
      </c>
      <c r="L22" s="169">
        <f>'Savings and Cost Analysis'!BU27</f>
        <v>3.7209302325581395</v>
      </c>
      <c r="S22" s="51" t="str">
        <f>'Savings and Cost Analysis'!BW27</f>
        <v>R</v>
      </c>
    </row>
    <row r="23" spans="1:19">
      <c r="A23" t="str">
        <f>'Savings and Cost Analysis'!AM28</f>
        <v>HID 150W-New</v>
      </c>
      <c r="B23" s="358">
        <f>VLOOKUP(A23,CostMatrix,MATCH($B$7,'Savings and Cost Analysis'!$AM$12:$CW$12,0),FALSE)</f>
        <v>0.10307864807900002</v>
      </c>
      <c r="C23" s="45" t="str">
        <f>'Savings and Cost Analysis'!AQ28</f>
        <v>Exterior Lighting: Walkway - HID 150W - New</v>
      </c>
      <c r="D23" s="45" t="str">
        <f>'Savings and Cost Analysis'!AT28</f>
        <v>Exterior Lighting: Walkway - HID 150W to LED 28W - New</v>
      </c>
      <c r="E23" s="332">
        <f>'Savings and Cost Analysis'!BB28*$B23</f>
        <v>66.781973941888168</v>
      </c>
      <c r="F23" s="169">
        <f>'Savings and Cost Analysis'!BK28</f>
        <v>16.279069767441861</v>
      </c>
      <c r="G23" s="362">
        <f>'Savings and Cost Analysis'!BQ28*$B23</f>
        <v>0.68761315445724391</v>
      </c>
      <c r="I23" s="49" t="str">
        <f>'Savings and Cost Analysis'!BV28</f>
        <v>S-All-Lgt-Streetlight-All-All-U</v>
      </c>
      <c r="K23" s="170">
        <f>(-1)*'Savings and Cost Analysis'!BT28*$B23</f>
        <v>-4.0543416127582557</v>
      </c>
      <c r="L23" s="169">
        <f>'Savings and Cost Analysis'!BU28</f>
        <v>5.5813953488372094</v>
      </c>
      <c r="S23" s="51" t="str">
        <f>'Savings and Cost Analysis'!BW28</f>
        <v>L</v>
      </c>
    </row>
    <row r="24" spans="1:19">
      <c r="A24" t="str">
        <f>'Savings and Cost Analysis'!AM29</f>
        <v>CFL 26W-New</v>
      </c>
      <c r="B24" s="358">
        <f>VLOOKUP(A24,CostMatrix,MATCH($B$7,'Savings and Cost Analysis'!$AM$12:$CW$12,0),FALSE)</f>
        <v>3.3875741585912798E-2</v>
      </c>
      <c r="C24" s="45" t="str">
        <f>'Savings and Cost Analysis'!AQ29</f>
        <v>Exterior Lighting: Walkway - CFL 26W - New</v>
      </c>
      <c r="D24" s="45" t="str">
        <f>'Savings and Cost Analysis'!AT29</f>
        <v>Exterior Lighting: Walkway - CFL 26W to LED 12W - New</v>
      </c>
      <c r="E24" s="332">
        <f>'Savings and Cost Analysis'!BB29*$B24</f>
        <v>2.3112289292682102</v>
      </c>
      <c r="F24" s="169">
        <f>'Savings and Cost Analysis'!BK29</f>
        <v>6.6762790697674417</v>
      </c>
      <c r="G24" s="362">
        <f>'Savings and Cost Analysis'!BQ29*$B24</f>
        <v>0.13553311531055059</v>
      </c>
      <c r="I24" s="49" t="str">
        <f>'Savings and Cost Analysis'!BV29</f>
        <v>S-All-Lgt-Streetlight-All-All-U</v>
      </c>
      <c r="K24" s="170">
        <f>(-1)*'Savings and Cost Analysis'!BT29*$B24</f>
        <v>-0.33142343072491642</v>
      </c>
      <c r="L24" s="169">
        <f>'Savings and Cost Analysis'!BU29</f>
        <v>2.3255813953488373</v>
      </c>
      <c r="S24" s="51" t="str">
        <f>'Savings and Cost Analysis'!BW29</f>
        <v>L</v>
      </c>
    </row>
    <row r="25" spans="1:19">
      <c r="A25" t="str">
        <f>'Savings and Cost Analysis'!AM30</f>
        <v>INC 75W-New</v>
      </c>
      <c r="B25" s="358">
        <f>VLOOKUP(A25,CostMatrix,MATCH($B$7,'Savings and Cost Analysis'!$AM$12:$CW$12,0),FALSE)</f>
        <v>6.150829076602693E-3</v>
      </c>
      <c r="C25" s="45" t="str">
        <f>'Savings and Cost Analysis'!AQ30</f>
        <v>Exterior Lighting: Walkway - INC 75W - New</v>
      </c>
      <c r="D25" s="45" t="str">
        <f>'Savings and Cost Analysis'!AT30</f>
        <v>Exterior Lighting: Walkway - INC 75W to LED 12W - New</v>
      </c>
      <c r="E25" s="332">
        <f>'Savings and Cost Analysis'!BB30*$B25</f>
        <v>1.7156302515732005</v>
      </c>
      <c r="F25" s="169">
        <f>'Savings and Cost Analysis'!BK30</f>
        <v>6.6762790697674417</v>
      </c>
      <c r="G25" s="362">
        <f>'Savings and Cost Analysis'!BQ30*$B25</f>
        <v>2.9394812076628273E-2</v>
      </c>
      <c r="I25" s="49" t="str">
        <f>'Savings and Cost Analysis'!BV30</f>
        <v>S-All-Lgt-Streetlight-All-All-U</v>
      </c>
      <c r="K25" s="170">
        <f>(-1)*'Savings and Cost Analysis'!BT30*$B25</f>
        <v>-5.5390635160910709E-2</v>
      </c>
      <c r="L25" s="169">
        <f>'Savings and Cost Analysis'!BU30</f>
        <v>0.23255813953488372</v>
      </c>
      <c r="S25" s="51" t="str">
        <f>'Savings and Cost Analysis'!BW30</f>
        <v>L</v>
      </c>
    </row>
    <row r="26" spans="1:19">
      <c r="A26" t="str">
        <f>'Savings and Cost Analysis'!AM31</f>
        <v>HID 150W-NR</v>
      </c>
      <c r="B26" s="358">
        <f>VLOOKUP(A26,CostMatrix,MATCH($B$7,'Savings and Cost Analysis'!$AM$12:$CW$12,0),FALSE)</f>
        <v>0.10307864807900002</v>
      </c>
      <c r="C26" s="45" t="str">
        <f>'Savings and Cost Analysis'!AQ31</f>
        <v>Exterior Lighting: Walkway - HID 150W - NR</v>
      </c>
      <c r="D26" s="45" t="str">
        <f>'Savings and Cost Analysis'!AT31</f>
        <v>Exterior Lighting: Walkway - HID 150W to LED 29W - NR</v>
      </c>
      <c r="E26" s="332">
        <f>'Savings and Cost Analysis'!BB31*$B26</f>
        <v>65.987461954092865</v>
      </c>
      <c r="F26" s="169">
        <f>'Savings and Cost Analysis'!BK31</f>
        <v>13.953488372093023</v>
      </c>
      <c r="G26" s="362">
        <f>'Savings and Cost Analysis'!BQ31*$B26</f>
        <v>15.900946569337281</v>
      </c>
      <c r="I26" s="49" t="str">
        <f>'Savings and Cost Analysis'!BV31</f>
        <v>S-All-Lgt-Streetlight-All-All-U</v>
      </c>
      <c r="K26" s="170">
        <f>(-1)*'Savings and Cost Analysis'!BT31*$B26</f>
        <v>-4.0543416127582557</v>
      </c>
      <c r="L26" s="169">
        <f>'Savings and Cost Analysis'!BU31</f>
        <v>5.5813953488372094</v>
      </c>
      <c r="S26" s="51" t="str">
        <f>'Savings and Cost Analysis'!BW31</f>
        <v>L</v>
      </c>
    </row>
    <row r="27" spans="1:19">
      <c r="A27" t="str">
        <f>'Savings and Cost Analysis'!AM32</f>
        <v>CFL 26W-NR</v>
      </c>
      <c r="B27" s="358">
        <f>VLOOKUP(A27,CostMatrix,MATCH($B$7,'Savings and Cost Analysis'!$AM$12:$CW$12,0),FALSE)</f>
        <v>3.3875741585912798E-2</v>
      </c>
      <c r="C27" s="45" t="str">
        <f>'Savings and Cost Analysis'!AQ32</f>
        <v>Exterior Lighting: Walkway - CFL 26W - NR</v>
      </c>
      <c r="D27" s="45" t="str">
        <f>'Savings and Cost Analysis'!AT32</f>
        <v>Exterior Lighting: Walkway - CFL 26W to LED 12W - NR</v>
      </c>
      <c r="E27" s="332">
        <f>'Savings and Cost Analysis'!BB32*$B27</f>
        <v>2.3112289292682102</v>
      </c>
      <c r="F27" s="169">
        <f>'Savings and Cost Analysis'!BK32</f>
        <v>6.6762790697674417</v>
      </c>
      <c r="G27" s="362">
        <f>'Savings and Cost Analysis'!BQ32*$B27</f>
        <v>0.13553311531055059</v>
      </c>
      <c r="I27" s="49" t="str">
        <f>'Savings and Cost Analysis'!BV32</f>
        <v>S-All-Lgt-Streetlight-All-All-U</v>
      </c>
      <c r="K27" s="170">
        <f>(-1)*'Savings and Cost Analysis'!BT32*$B27</f>
        <v>-0.33142343072491642</v>
      </c>
      <c r="L27" s="169">
        <f>'Savings and Cost Analysis'!BU32</f>
        <v>2.3255813953488373</v>
      </c>
      <c r="S27" s="51" t="str">
        <f>'Savings and Cost Analysis'!BW32</f>
        <v>L</v>
      </c>
    </row>
    <row r="28" spans="1:19">
      <c r="A28" t="str">
        <f>'Savings and Cost Analysis'!AM33</f>
        <v>INC 75W-NR</v>
      </c>
      <c r="B28" s="358">
        <f>VLOOKUP(A28,CostMatrix,MATCH($B$7,'Savings and Cost Analysis'!$AM$12:$CW$12,0),FALSE)</f>
        <v>6.150829076602693E-3</v>
      </c>
      <c r="C28" s="45" t="str">
        <f>'Savings and Cost Analysis'!AQ33</f>
        <v>Exterior Lighting: Walkway - INC 75W - NR</v>
      </c>
      <c r="D28" s="45" t="str">
        <f>'Savings and Cost Analysis'!AT33</f>
        <v>Exterior Lighting: Walkway - INC 75W to LED 12W - NR</v>
      </c>
      <c r="E28" s="332">
        <f>'Savings and Cost Analysis'!BB33*$B28</f>
        <v>1.7156302515732005</v>
      </c>
      <c r="F28" s="169">
        <f>'Savings and Cost Analysis'!BK33</f>
        <v>6.6762790697674417</v>
      </c>
      <c r="G28" s="362">
        <f>'Savings and Cost Analysis'!BQ33*$B28</f>
        <v>2.9394812076628273E-2</v>
      </c>
      <c r="I28" s="49" t="str">
        <f>'Savings and Cost Analysis'!BV33</f>
        <v>S-All-Lgt-Streetlight-All-All-U</v>
      </c>
      <c r="K28" s="170">
        <f>(-1)*'Savings and Cost Analysis'!BT33*$B28</f>
        <v>-5.5390635160910709E-2</v>
      </c>
      <c r="L28" s="169">
        <f>'Savings and Cost Analysis'!BU33</f>
        <v>0.23255813953488372</v>
      </c>
      <c r="S28" s="51" t="str">
        <f>'Savings and Cost Analysis'!BW33</f>
        <v>L</v>
      </c>
    </row>
    <row r="29" spans="1:19">
      <c r="A29" t="str">
        <f>'Savings and Cost Analysis'!AM34</f>
        <v>HID 150W-Retro</v>
      </c>
      <c r="B29" s="358">
        <f>VLOOKUP(A29,CostMatrix,MATCH($B$7,'Savings and Cost Analysis'!$AM$12:$CW$12,0),FALSE)</f>
        <v>0.10307864807900002</v>
      </c>
      <c r="C29" s="45" t="str">
        <f>'Savings and Cost Analysis'!AQ34</f>
        <v>Exterior Lighting: Walkway - HID 150W - Retro</v>
      </c>
      <c r="D29" s="45" t="str">
        <f>'Savings and Cost Analysis'!AT34</f>
        <v>Exterior Lighting: Walkway - HID 150W to LED 29W - Retro</v>
      </c>
      <c r="E29" s="332">
        <f>'Savings and Cost Analysis'!BB34*$B29</f>
        <v>65.987461954092865</v>
      </c>
      <c r="F29" s="169">
        <f>'Savings and Cost Analysis'!BK34</f>
        <v>13.953488372093023</v>
      </c>
      <c r="G29" s="362">
        <f>'Savings and Cost Analysis'!BQ34*$B29</f>
        <v>21.673265650078871</v>
      </c>
      <c r="I29" s="49" t="str">
        <f>'Savings and Cost Analysis'!BV34</f>
        <v>S-All-Lgt-Streetlight-All-All-U</v>
      </c>
      <c r="K29" s="170">
        <f>(-1)*'Savings and Cost Analysis'!BT34*$B29</f>
        <v>-4.0543416127582557</v>
      </c>
      <c r="L29" s="169">
        <f>'Savings and Cost Analysis'!BU34</f>
        <v>5.5813953488372094</v>
      </c>
      <c r="S29" s="51" t="str">
        <f>'Savings and Cost Analysis'!BW34</f>
        <v>R</v>
      </c>
    </row>
    <row r="30" spans="1:19">
      <c r="A30" t="str">
        <f>'Savings and Cost Analysis'!AM35</f>
        <v>CFL 26W-Retro</v>
      </c>
      <c r="B30" s="358">
        <f>VLOOKUP(A30,CostMatrix,MATCH($B$7,'Savings and Cost Analysis'!$AM$12:$CW$12,0),FALSE)</f>
        <v>3.3875741585912798E-2</v>
      </c>
      <c r="C30" s="45" t="str">
        <f>'Savings and Cost Analysis'!AQ35</f>
        <v>Exterior Lighting: Walkway - CFL 26W - Retro</v>
      </c>
      <c r="D30" s="45" t="str">
        <f>'Savings and Cost Analysis'!AT35</f>
        <v>Exterior Lighting: Walkway - CFL 26W to LED 12W - Retro</v>
      </c>
      <c r="E30" s="332">
        <f>'Savings and Cost Analysis'!BB35*$B30</f>
        <v>2.3112289292682102</v>
      </c>
      <c r="F30" s="169">
        <f>'Savings and Cost Analysis'!BK35</f>
        <v>6.6762790697674417</v>
      </c>
      <c r="G30" s="362">
        <f>'Savings and Cost Analysis'!BQ35*$B30</f>
        <v>1.0315522391340137</v>
      </c>
      <c r="I30" s="49" t="str">
        <f>'Savings and Cost Analysis'!BV35</f>
        <v>S-All-Lgt-Streetlight-All-All-U</v>
      </c>
      <c r="K30" s="170">
        <f>(-1)*'Savings and Cost Analysis'!BT35*$B30</f>
        <v>-0.33142343072491642</v>
      </c>
      <c r="L30" s="169">
        <f>'Savings and Cost Analysis'!BU35</f>
        <v>2.3255813953488373</v>
      </c>
      <c r="S30" s="51" t="str">
        <f>'Savings and Cost Analysis'!BW35</f>
        <v>R</v>
      </c>
    </row>
    <row r="31" spans="1:19">
      <c r="A31" t="str">
        <f>'Savings and Cost Analysis'!AM36</f>
        <v>INC 75W-Retro</v>
      </c>
      <c r="B31" s="358">
        <f>VLOOKUP(A31,CostMatrix,MATCH($B$7,'Savings and Cost Analysis'!$AM$12:$CW$12,0),FALSE)</f>
        <v>6.150829076602693E-3</v>
      </c>
      <c r="C31" s="45" t="str">
        <f>'Savings and Cost Analysis'!AQ36</f>
        <v>Exterior Lighting: Walkway - INC 75W - Retro</v>
      </c>
      <c r="D31" s="45" t="str">
        <f>'Savings and Cost Analysis'!AT36</f>
        <v>Exterior Lighting: Walkway - INC 75W to LED 12W - Retro</v>
      </c>
      <c r="E31" s="332">
        <f>'Savings and Cost Analysis'!BB36*$B31</f>
        <v>1.7156302515732005</v>
      </c>
      <c r="F31" s="169">
        <f>'Savings and Cost Analysis'!BK36</f>
        <v>6.6762790697674417</v>
      </c>
      <c r="G31" s="362">
        <f>'Savings and Cost Analysis'!BQ36*$B31</f>
        <v>0.18729926518091722</v>
      </c>
      <c r="I31" s="49" t="str">
        <f>'Savings and Cost Analysis'!BV36</f>
        <v>S-All-Lgt-Streetlight-All-All-U</v>
      </c>
      <c r="K31" s="170">
        <f>(-1)*'Savings and Cost Analysis'!BT36*$B31</f>
        <v>-5.5390635160910709E-2</v>
      </c>
      <c r="L31" s="169">
        <f>'Savings and Cost Analysis'!BU36</f>
        <v>0.23255813953488372</v>
      </c>
      <c r="S31" s="51" t="str">
        <f>'Savings and Cost Analysis'!BW36</f>
        <v>R</v>
      </c>
    </row>
    <row r="34" spans="3:107">
      <c r="C34" s="24"/>
      <c r="D34" s="24"/>
      <c r="E34" s="24"/>
      <c r="F34" s="24"/>
      <c r="G34" s="24"/>
      <c r="H34" s="24"/>
      <c r="I34" s="24"/>
      <c r="J34" s="24"/>
      <c r="K34" s="24"/>
      <c r="L34" s="24"/>
      <c r="M34" s="24"/>
      <c r="N34" s="24"/>
      <c r="O34" s="24"/>
      <c r="P34" s="24"/>
      <c r="Q34" s="24"/>
      <c r="R34" s="24"/>
      <c r="S34" s="24"/>
      <c r="T34" s="24"/>
      <c r="U34" s="24"/>
      <c r="V34" s="24"/>
      <c r="W34" s="24"/>
      <c r="X34" s="24"/>
      <c r="Y34" s="24"/>
      <c r="Z34" s="24"/>
      <c r="AA34" s="24"/>
      <c r="AB34" s="24"/>
      <c r="AC34" s="24"/>
      <c r="AD34" s="24"/>
      <c r="AE34" s="24"/>
      <c r="AF34" s="24"/>
      <c r="AG34" s="24"/>
      <c r="AH34" s="24"/>
      <c r="AI34" s="24"/>
      <c r="AJ34" s="24"/>
      <c r="AK34" s="24"/>
      <c r="AL34" s="24"/>
      <c r="AM34" s="24"/>
      <c r="AN34" s="24"/>
      <c r="AO34" s="24"/>
      <c r="AP34" s="24"/>
      <c r="AQ34" s="24"/>
      <c r="AR34" s="24"/>
      <c r="AS34" s="24"/>
      <c r="AT34" s="24"/>
      <c r="AU34" s="24"/>
      <c r="AV34" s="24"/>
      <c r="AW34" s="24"/>
      <c r="AX34" s="24"/>
      <c r="AY34" s="24"/>
      <c r="AZ34" s="24"/>
      <c r="BA34" s="24"/>
      <c r="BB34" s="24"/>
      <c r="BC34" s="24"/>
      <c r="BD34" s="24"/>
      <c r="BE34" s="24"/>
      <c r="BF34" s="24"/>
      <c r="BG34" s="24"/>
      <c r="BH34" s="24"/>
      <c r="BI34" s="24"/>
      <c r="BJ34" s="24"/>
      <c r="BK34" s="24"/>
      <c r="BL34" s="24"/>
      <c r="BM34" s="24"/>
      <c r="BN34" s="24"/>
      <c r="BO34" s="24"/>
      <c r="BP34" s="24"/>
      <c r="BQ34" s="24"/>
      <c r="BR34" s="24"/>
      <c r="BS34" s="24"/>
      <c r="BT34" s="24"/>
      <c r="BU34" s="24"/>
      <c r="BV34" s="24"/>
      <c r="BW34" s="24"/>
      <c r="BX34" s="24"/>
      <c r="BY34" s="24"/>
      <c r="BZ34" s="24"/>
      <c r="CA34" s="24"/>
      <c r="CB34" s="24"/>
      <c r="CC34" s="24"/>
      <c r="CD34" s="24"/>
      <c r="CE34" s="24"/>
      <c r="CF34" s="24"/>
      <c r="CG34" s="24"/>
      <c r="CH34" s="24"/>
      <c r="CI34" s="24"/>
      <c r="CJ34" s="24"/>
      <c r="CK34" s="24"/>
      <c r="CL34" s="24"/>
      <c r="CM34" s="24"/>
      <c r="CN34" s="24"/>
      <c r="CO34" s="24"/>
      <c r="CP34" s="24"/>
      <c r="CQ34" s="24"/>
      <c r="CR34" s="24"/>
      <c r="CS34" s="24"/>
      <c r="CT34" s="24"/>
      <c r="CU34" s="24"/>
      <c r="CV34" s="24"/>
      <c r="CW34" s="24"/>
      <c r="CX34" s="24"/>
      <c r="CY34" s="24"/>
      <c r="CZ34" s="24"/>
      <c r="DA34" s="24"/>
      <c r="DB34" s="24"/>
      <c r="DC34" s="24"/>
    </row>
  </sheetData>
  <mergeCells count="3">
    <mergeCell ref="K6:P6"/>
    <mergeCell ref="Q6:R6"/>
    <mergeCell ref="T6:V6"/>
  </mergeCells>
  <pageMargins left="0.7" right="0.7" top="0.75" bottom="0.75" header="0.3" footer="0.3"/>
  <pageSetup orientation="portrait" r:id="rId1"/>
  <legacyDrawing r:id="rId2"/>
</worksheet>
</file>

<file path=xl/worksheets/sheet12.xml><?xml version="1.0" encoding="utf-8"?>
<worksheet xmlns="http://schemas.openxmlformats.org/spreadsheetml/2006/main" xmlns:r="http://schemas.openxmlformats.org/officeDocument/2006/relationships">
  <sheetPr>
    <tabColor theme="8" tint="0.39997558519241921"/>
  </sheetPr>
  <dimension ref="B6:AE97"/>
  <sheetViews>
    <sheetView topLeftCell="C16" workbookViewId="0">
      <selection activeCell="G42" sqref="G42"/>
    </sheetView>
  </sheetViews>
  <sheetFormatPr defaultRowHeight="12.75"/>
  <cols>
    <col min="2" max="2" width="14.28515625" customWidth="1"/>
    <col min="3" max="3" width="37.140625" customWidth="1"/>
    <col min="4" max="6" width="10.85546875" customWidth="1"/>
    <col min="13" max="13" width="16.28515625" customWidth="1"/>
    <col min="14" max="14" width="11.28515625" bestFit="1" customWidth="1"/>
    <col min="15" max="15" width="15.85546875" customWidth="1"/>
  </cols>
  <sheetData>
    <row r="6" spans="2:14">
      <c r="B6" s="287" t="s">
        <v>831</v>
      </c>
      <c r="C6" s="287" t="s">
        <v>832</v>
      </c>
    </row>
    <row r="7" spans="2:14">
      <c r="C7" t="s">
        <v>909</v>
      </c>
    </row>
    <row r="8" spans="2:14">
      <c r="C8" t="s">
        <v>857</v>
      </c>
    </row>
    <row r="9" spans="2:14">
      <c r="C9" s="58" t="s">
        <v>856</v>
      </c>
      <c r="D9" s="58" t="s">
        <v>69</v>
      </c>
      <c r="E9" s="58"/>
      <c r="F9" s="58"/>
      <c r="G9" s="58"/>
      <c r="H9" s="58"/>
      <c r="I9" s="58"/>
      <c r="J9" s="58"/>
      <c r="K9" s="58"/>
    </row>
    <row r="10" spans="2:14">
      <c r="C10" s="58" t="s">
        <v>74</v>
      </c>
      <c r="D10" s="58" t="s">
        <v>88</v>
      </c>
      <c r="E10" s="58" t="s">
        <v>93</v>
      </c>
      <c r="F10" s="58" t="s">
        <v>845</v>
      </c>
      <c r="G10" s="58" t="s">
        <v>91</v>
      </c>
      <c r="H10" s="58" t="s">
        <v>111</v>
      </c>
      <c r="I10" s="58" t="s">
        <v>116</v>
      </c>
      <c r="J10" s="58" t="s">
        <v>100</v>
      </c>
      <c r="K10" s="58" t="s">
        <v>106</v>
      </c>
      <c r="M10" s="328"/>
      <c r="N10" s="314" t="s">
        <v>872</v>
      </c>
    </row>
    <row r="11" spans="2:14">
      <c r="C11" s="319" t="s">
        <v>973</v>
      </c>
      <c r="D11" s="118">
        <v>12156.941598520787</v>
      </c>
      <c r="E11" s="118">
        <v>955.38441372277657</v>
      </c>
      <c r="F11" s="118">
        <v>1973.2842359846493</v>
      </c>
      <c r="G11" s="118">
        <v>74600.544045817704</v>
      </c>
      <c r="H11" s="118">
        <v>19857.920282204697</v>
      </c>
      <c r="I11" s="118">
        <v>1701.8183008765125</v>
      </c>
      <c r="J11" s="118">
        <v>373.66118108287299</v>
      </c>
      <c r="K11" s="118">
        <v>111619.55405821001</v>
      </c>
      <c r="M11" s="328" t="str">
        <f>C11</f>
        <v>BuildingFacade</v>
      </c>
      <c r="N11" s="329">
        <f t="shared" ref="N11:N18" si="0">K11/1000*4300/8760</f>
        <v>54.790420371039161</v>
      </c>
    </row>
    <row r="12" spans="2:14">
      <c r="C12" s="319" t="s">
        <v>983</v>
      </c>
      <c r="D12" s="118">
        <v>86.935985960733333</v>
      </c>
      <c r="E12" s="118">
        <v>47.252748945831982</v>
      </c>
      <c r="F12" s="118">
        <v>1287.8793633961031</v>
      </c>
      <c r="G12" s="118">
        <v>14783.096749927387</v>
      </c>
      <c r="H12" s="118">
        <v>451.34393111543517</v>
      </c>
      <c r="I12" s="118">
        <v>797.11319195608633</v>
      </c>
      <c r="J12" s="118">
        <v>27.831500917663025</v>
      </c>
      <c r="K12" s="118">
        <v>17481.45347221924</v>
      </c>
      <c r="M12" s="328" t="str">
        <f t="shared" ref="M12:M18" si="1">C12</f>
        <v>ExteriorSales</v>
      </c>
      <c r="N12" s="329">
        <f t="shared" si="0"/>
        <v>8.5810787591943765</v>
      </c>
    </row>
    <row r="13" spans="2:14">
      <c r="C13" s="319" t="s">
        <v>100</v>
      </c>
      <c r="D13" s="118">
        <v>49.681854820087572</v>
      </c>
      <c r="E13" s="118">
        <v>573.64444167055251</v>
      </c>
      <c r="F13" s="118">
        <v>2233.6104210209833</v>
      </c>
      <c r="G13" s="118">
        <v>20042.636574785167</v>
      </c>
      <c r="H13" s="118">
        <v>2067.6337629950917</v>
      </c>
      <c r="I13" s="118">
        <v>174.58210522197783</v>
      </c>
      <c r="J13" s="118">
        <v>290.45288185850762</v>
      </c>
      <c r="K13" s="118">
        <v>25432.242042372363</v>
      </c>
      <c r="M13" s="328" t="str">
        <f t="shared" si="1"/>
        <v>Other</v>
      </c>
      <c r="N13" s="329">
        <f t="shared" si="0"/>
        <v>12.483863102991</v>
      </c>
    </row>
    <row r="14" spans="2:14">
      <c r="C14" s="319" t="s">
        <v>972</v>
      </c>
      <c r="D14" s="118">
        <v>781.31516266882375</v>
      </c>
      <c r="E14" s="118">
        <v>594.60584411421371</v>
      </c>
      <c r="F14" s="118">
        <v>7423.4815300453902</v>
      </c>
      <c r="G14" s="118">
        <v>200294.03158237319</v>
      </c>
      <c r="H14" s="118">
        <v>4033.8592267521426</v>
      </c>
      <c r="I14" s="118">
        <v>4101.3667181239807</v>
      </c>
      <c r="J14" s="118">
        <v>878.35851870818453</v>
      </c>
      <c r="K14" s="118">
        <v>218107.01858278591</v>
      </c>
      <c r="M14" s="328" t="str">
        <f t="shared" si="1"/>
        <v>ParkingLot</v>
      </c>
      <c r="N14" s="329">
        <f t="shared" si="0"/>
        <v>107.0616643728287</v>
      </c>
    </row>
    <row r="15" spans="2:14">
      <c r="C15" s="319" t="s">
        <v>850</v>
      </c>
      <c r="D15" s="118">
        <v>169.51741776593255</v>
      </c>
      <c r="E15" s="118">
        <v>254.92146574448151</v>
      </c>
      <c r="F15" s="118">
        <v>1547.6650977915476</v>
      </c>
      <c r="G15" s="118">
        <v>2093.0724276126703</v>
      </c>
      <c r="H15" s="118">
        <v>477.49043029811691</v>
      </c>
      <c r="I15" s="118">
        <v>184.44845554245185</v>
      </c>
      <c r="J15" s="118">
        <v>28.082165916764033</v>
      </c>
      <c r="K15" s="118">
        <v>4755.1974606719641</v>
      </c>
      <c r="M15" s="328" t="str">
        <f t="shared" si="1"/>
        <v>Signage</v>
      </c>
      <c r="N15" s="329">
        <f t="shared" si="0"/>
        <v>2.3341722695079277</v>
      </c>
    </row>
    <row r="16" spans="2:14">
      <c r="C16" s="319" t="s">
        <v>984</v>
      </c>
      <c r="D16" s="118">
        <v>68.595163603680959</v>
      </c>
      <c r="E16" s="118">
        <v>0</v>
      </c>
      <c r="F16" s="118">
        <v>8.5313151799055866</v>
      </c>
      <c r="G16" s="118">
        <v>9791.2809358036066</v>
      </c>
      <c r="H16" s="118">
        <v>2321.7181259108829</v>
      </c>
      <c r="I16" s="118">
        <v>0</v>
      </c>
      <c r="J16" s="118">
        <v>0</v>
      </c>
      <c r="K16" s="118">
        <v>12190.125540498077</v>
      </c>
      <c r="M16" s="328" t="str">
        <f t="shared" si="1"/>
        <v>SportingField</v>
      </c>
      <c r="N16" s="329">
        <f t="shared" si="0"/>
        <v>5.9837374228472289</v>
      </c>
    </row>
    <row r="17" spans="3:14">
      <c r="C17" s="319" t="s">
        <v>974</v>
      </c>
      <c r="D17" s="118">
        <v>12034.56722107731</v>
      </c>
      <c r="E17" s="118">
        <v>1617.1674000642831</v>
      </c>
      <c r="F17" s="118">
        <v>3645.0193153057376</v>
      </c>
      <c r="G17" s="118">
        <v>56394.011711955231</v>
      </c>
      <c r="H17" s="118">
        <v>10505.385400709776</v>
      </c>
      <c r="I17" s="118">
        <v>2905.3013289985897</v>
      </c>
      <c r="J17" s="118">
        <v>287.47215458833523</v>
      </c>
      <c r="K17" s="118">
        <v>87388.924532699268</v>
      </c>
      <c r="M17" s="328" t="str">
        <f t="shared" si="1"/>
        <v>Walkway/Area</v>
      </c>
      <c r="N17" s="329">
        <f t="shared" si="0"/>
        <v>42.896389896187991</v>
      </c>
    </row>
    <row r="18" spans="3:14" ht="15">
      <c r="C18" s="303" t="s">
        <v>106</v>
      </c>
      <c r="D18" s="304">
        <v>25347.554404417355</v>
      </c>
      <c r="E18" s="304">
        <v>4042.9763142621396</v>
      </c>
      <c r="F18" s="304">
        <v>18119.471278724315</v>
      </c>
      <c r="G18" s="304">
        <v>377998.67402827495</v>
      </c>
      <c r="H18" s="304">
        <v>39715.351159986138</v>
      </c>
      <c r="I18" s="304">
        <v>9864.630100719598</v>
      </c>
      <c r="J18" s="304">
        <v>1885.8584030723277</v>
      </c>
      <c r="K18" s="304">
        <v>476974.51568945678</v>
      </c>
      <c r="M18" s="328" t="str">
        <f t="shared" si="1"/>
        <v>Grand Total</v>
      </c>
      <c r="N18" s="329">
        <f t="shared" si="0"/>
        <v>234.13132619459637</v>
      </c>
    </row>
    <row r="21" spans="3:14">
      <c r="C21" t="s">
        <v>906</v>
      </c>
    </row>
    <row r="22" spans="3:14">
      <c r="C22" t="s">
        <v>858</v>
      </c>
    </row>
    <row r="23" spans="3:14">
      <c r="C23" s="58" t="s">
        <v>856</v>
      </c>
      <c r="D23" s="58" t="s">
        <v>69</v>
      </c>
      <c r="E23" s="58"/>
      <c r="F23" s="58"/>
      <c r="G23" s="58"/>
      <c r="H23" s="58"/>
      <c r="I23" s="58"/>
      <c r="J23" s="58"/>
      <c r="K23" s="58"/>
    </row>
    <row r="24" spans="3:14">
      <c r="C24" s="58" t="s">
        <v>74</v>
      </c>
      <c r="D24" s="58" t="s">
        <v>88</v>
      </c>
      <c r="E24" s="58" t="s">
        <v>93</v>
      </c>
      <c r="F24" s="58" t="s">
        <v>845</v>
      </c>
      <c r="G24" s="58" t="s">
        <v>91</v>
      </c>
      <c r="H24" s="58" t="s">
        <v>111</v>
      </c>
      <c r="I24" s="58" t="s">
        <v>116</v>
      </c>
      <c r="J24" s="58" t="s">
        <v>100</v>
      </c>
      <c r="K24" s="58" t="s">
        <v>106</v>
      </c>
    </row>
    <row r="25" spans="3:14">
      <c r="C25" s="319" t="s">
        <v>973</v>
      </c>
      <c r="D25" s="305">
        <f t="shared" ref="D25:K32" si="2">D11/$K$18</f>
        <v>2.5487612437633443E-2</v>
      </c>
      <c r="E25" s="305">
        <f t="shared" si="2"/>
        <v>2.0030093480818112E-3</v>
      </c>
      <c r="F25" s="305">
        <f t="shared" si="2"/>
        <v>4.1370852552411689E-3</v>
      </c>
      <c r="G25" s="305">
        <f t="shared" si="2"/>
        <v>0.15640362659205004</v>
      </c>
      <c r="H25" s="305">
        <f t="shared" si="2"/>
        <v>4.163308442905065E-2</v>
      </c>
      <c r="I25" s="305">
        <f t="shared" si="2"/>
        <v>3.5679438730947068E-3</v>
      </c>
      <c r="J25" s="305">
        <f t="shared" si="2"/>
        <v>7.8339862779199746E-4</v>
      </c>
      <c r="K25" s="307">
        <f t="shared" si="2"/>
        <v>0.23401576056294382</v>
      </c>
    </row>
    <row r="26" spans="3:14">
      <c r="C26" s="319" t="s">
        <v>983</v>
      </c>
      <c r="D26" s="305">
        <f t="shared" si="2"/>
        <v>1.8226547352340024E-4</v>
      </c>
      <c r="E26" s="305">
        <f t="shared" si="2"/>
        <v>9.9067659574074128E-5</v>
      </c>
      <c r="F26" s="305">
        <f t="shared" si="2"/>
        <v>2.7001009928895262E-3</v>
      </c>
      <c r="G26" s="305">
        <f t="shared" si="2"/>
        <v>3.0993472950140169E-2</v>
      </c>
      <c r="H26" s="305">
        <f t="shared" si="2"/>
        <v>9.4626424739490929E-4</v>
      </c>
      <c r="I26" s="305">
        <f t="shared" si="2"/>
        <v>1.6711861236524885E-3</v>
      </c>
      <c r="J26" s="305">
        <f t="shared" si="2"/>
        <v>5.835007951616276E-5</v>
      </c>
      <c r="K26" s="307">
        <f t="shared" si="2"/>
        <v>3.665070752669073E-2</v>
      </c>
    </row>
    <row r="27" spans="3:14">
      <c r="C27" s="319" t="s">
        <v>100</v>
      </c>
      <c r="D27" s="305">
        <f t="shared" si="2"/>
        <v>1.0416039680500222E-4</v>
      </c>
      <c r="E27" s="305">
        <f t="shared" si="2"/>
        <v>1.2026731466803029E-3</v>
      </c>
      <c r="F27" s="305">
        <f t="shared" si="2"/>
        <v>4.682871615881502E-3</v>
      </c>
      <c r="G27" s="305">
        <f t="shared" si="2"/>
        <v>4.2020351015638543E-2</v>
      </c>
      <c r="H27" s="305">
        <f t="shared" si="2"/>
        <v>4.3348935739394171E-3</v>
      </c>
      <c r="I27" s="305">
        <f t="shared" si="2"/>
        <v>3.6601977564697144E-4</v>
      </c>
      <c r="J27" s="305">
        <f t="shared" si="2"/>
        <v>6.0894842869888758E-4</v>
      </c>
      <c r="K27" s="307">
        <f t="shared" si="2"/>
        <v>5.3319917953290615E-2</v>
      </c>
    </row>
    <row r="28" spans="3:14">
      <c r="C28" s="319" t="s">
        <v>972</v>
      </c>
      <c r="D28" s="305">
        <f t="shared" si="2"/>
        <v>1.6380647958506732E-3</v>
      </c>
      <c r="E28" s="305">
        <f t="shared" si="2"/>
        <v>1.2466197345045223E-3</v>
      </c>
      <c r="F28" s="305">
        <f t="shared" si="2"/>
        <v>1.5563685869705012E-2</v>
      </c>
      <c r="G28" s="305">
        <f t="shared" si="2"/>
        <v>0.41992606521724191</v>
      </c>
      <c r="H28" s="305">
        <f t="shared" si="2"/>
        <v>8.4571797738948011E-3</v>
      </c>
      <c r="I28" s="305">
        <f t="shared" si="2"/>
        <v>8.5987124745973906E-3</v>
      </c>
      <c r="J28" s="305">
        <f t="shared" si="2"/>
        <v>1.8415208565986706E-3</v>
      </c>
      <c r="K28" s="307">
        <f t="shared" si="2"/>
        <v>0.4572718487223929</v>
      </c>
    </row>
    <row r="29" spans="3:14">
      <c r="C29" s="319" t="s">
        <v>850</v>
      </c>
      <c r="D29" s="305">
        <f t="shared" si="2"/>
        <v>3.5540141493911603E-4</v>
      </c>
      <c r="E29" s="305">
        <f t="shared" si="2"/>
        <v>5.3445510684359688E-4</v>
      </c>
      <c r="F29" s="305">
        <f t="shared" si="2"/>
        <v>3.244754272782121E-3</v>
      </c>
      <c r="G29" s="305">
        <f t="shared" si="2"/>
        <v>4.3882269571303562E-3</v>
      </c>
      <c r="H29" s="305">
        <f t="shared" si="2"/>
        <v>1.0010816397767381E-3</v>
      </c>
      <c r="I29" s="305">
        <f t="shared" si="2"/>
        <v>3.8670505336293581E-4</v>
      </c>
      <c r="J29" s="305">
        <f t="shared" si="2"/>
        <v>5.8875610736082714E-5</v>
      </c>
      <c r="K29" s="307">
        <f t="shared" si="2"/>
        <v>9.9695000555709446E-3</v>
      </c>
    </row>
    <row r="30" spans="3:14">
      <c r="C30" s="319" t="s">
        <v>984</v>
      </c>
      <c r="D30" s="305">
        <f t="shared" si="2"/>
        <v>1.4381305782034933E-4</v>
      </c>
      <c r="E30" s="305">
        <f t="shared" si="2"/>
        <v>0</v>
      </c>
      <c r="F30" s="305">
        <f t="shared" si="2"/>
        <v>1.788631236948529E-5</v>
      </c>
      <c r="G30" s="305">
        <f t="shared" si="2"/>
        <v>2.0527891142465993E-2</v>
      </c>
      <c r="H30" s="305">
        <f t="shared" si="2"/>
        <v>4.8675936544636715E-3</v>
      </c>
      <c r="I30" s="305">
        <f t="shared" si="2"/>
        <v>0</v>
      </c>
      <c r="J30" s="305">
        <f t="shared" si="2"/>
        <v>0</v>
      </c>
      <c r="K30" s="307">
        <f t="shared" si="2"/>
        <v>2.5557184167119499E-2</v>
      </c>
    </row>
    <row r="31" spans="3:14">
      <c r="C31" s="319" t="s">
        <v>974</v>
      </c>
      <c r="D31" s="305">
        <f t="shared" si="2"/>
        <v>2.523104867286587E-2</v>
      </c>
      <c r="E31" s="305">
        <f t="shared" si="2"/>
        <v>3.3904691904277132E-3</v>
      </c>
      <c r="F31" s="305">
        <f t="shared" si="2"/>
        <v>7.6419582082638896E-3</v>
      </c>
      <c r="G31" s="305">
        <f t="shared" si="2"/>
        <v>0.11823275637785145</v>
      </c>
      <c r="H31" s="305">
        <f t="shared" si="2"/>
        <v>2.2025045479682408E-2</v>
      </c>
      <c r="I31" s="305">
        <f t="shared" si="2"/>
        <v>6.0911038922048842E-3</v>
      </c>
      <c r="J31" s="305">
        <f t="shared" si="2"/>
        <v>6.0269919069533555E-4</v>
      </c>
      <c r="K31" s="307">
        <f t="shared" si="2"/>
        <v>0.18321508101199158</v>
      </c>
    </row>
    <row r="32" spans="3:14" ht="15">
      <c r="C32" s="303" t="s">
        <v>106</v>
      </c>
      <c r="D32" s="306">
        <f t="shared" si="2"/>
        <v>5.3142366249437856E-2</v>
      </c>
      <c r="E32" s="306">
        <f t="shared" si="2"/>
        <v>8.4762941861120222E-3</v>
      </c>
      <c r="F32" s="306">
        <f t="shared" si="2"/>
        <v>3.79883425271327E-2</v>
      </c>
      <c r="G32" s="306">
        <f t="shared" si="2"/>
        <v>0.79249239025251839</v>
      </c>
      <c r="H32" s="306">
        <f t="shared" si="2"/>
        <v>8.3265142798202588E-2</v>
      </c>
      <c r="I32" s="306">
        <f t="shared" si="2"/>
        <v>2.0681671192559377E-2</v>
      </c>
      <c r="J32" s="306">
        <f t="shared" si="2"/>
        <v>3.9537927940371375E-3</v>
      </c>
      <c r="K32" s="308">
        <f t="shared" si="2"/>
        <v>1</v>
      </c>
    </row>
    <row r="35" spans="2:14">
      <c r="C35" t="s">
        <v>907</v>
      </c>
    </row>
    <row r="36" spans="2:14">
      <c r="C36" t="s">
        <v>861</v>
      </c>
      <c r="N36" s="106">
        <f>P96</f>
        <v>3349.27364795836</v>
      </c>
    </row>
    <row r="37" spans="2:14">
      <c r="C37" s="58" t="s">
        <v>856</v>
      </c>
      <c r="D37" s="58" t="s">
        <v>69</v>
      </c>
      <c r="E37" s="58"/>
      <c r="F37" s="58"/>
      <c r="G37" s="58"/>
      <c r="H37" s="58"/>
      <c r="I37" s="58"/>
      <c r="J37" s="58"/>
      <c r="K37" s="58"/>
    </row>
    <row r="38" spans="2:14">
      <c r="B38" t="s">
        <v>866</v>
      </c>
      <c r="C38" s="316" t="s">
        <v>74</v>
      </c>
      <c r="D38" s="317" t="s">
        <v>88</v>
      </c>
      <c r="E38" s="317" t="s">
        <v>93</v>
      </c>
      <c r="F38" s="317" t="s">
        <v>845</v>
      </c>
      <c r="G38" s="317" t="s">
        <v>91</v>
      </c>
      <c r="H38" s="317" t="s">
        <v>111</v>
      </c>
      <c r="I38" s="317" t="s">
        <v>116</v>
      </c>
      <c r="J38" s="317" t="s">
        <v>100</v>
      </c>
      <c r="K38" s="318" t="s">
        <v>106</v>
      </c>
      <c r="M38" s="328"/>
      <c r="N38" s="314" t="s">
        <v>872</v>
      </c>
    </row>
    <row r="39" spans="2:14">
      <c r="C39" s="319" t="s">
        <v>973</v>
      </c>
      <c r="D39" s="320">
        <f>D25*$E$58*1000</f>
        <v>4.3151684233926169</v>
      </c>
      <c r="E39" s="320">
        <f t="shared" ref="E39:K39" si="3">E25*$E$58*1000</f>
        <v>0.33911857031538445</v>
      </c>
      <c r="F39" s="320">
        <f t="shared" si="3"/>
        <v>0.7004273037336517</v>
      </c>
      <c r="G39" s="320">
        <f t="shared" si="3"/>
        <v>26.479843587764876</v>
      </c>
      <c r="H39" s="320">
        <f t="shared" si="3"/>
        <v>7.04867008380167</v>
      </c>
      <c r="I39" s="320">
        <f t="shared" si="3"/>
        <v>0.60406908553279137</v>
      </c>
      <c r="J39" s="320">
        <f t="shared" si="3"/>
        <v>0.1326329419771661</v>
      </c>
      <c r="K39" s="321">
        <f t="shared" si="3"/>
        <v>39.619929996518159</v>
      </c>
      <c r="M39" s="328" t="str">
        <f>C39</f>
        <v>BuildingFacade</v>
      </c>
      <c r="N39" s="329">
        <f>K39/1000*$N$36*1000*4300/8760/1000</f>
        <v>65.137139968785476</v>
      </c>
    </row>
    <row r="40" spans="2:14">
      <c r="C40" s="319" t="s">
        <v>983</v>
      </c>
      <c r="D40" s="320">
        <f t="shared" ref="D40:K46" si="4">D26*$E$58*1000</f>
        <v>3.0858371608851562E-2</v>
      </c>
      <c r="E40" s="320">
        <f t="shared" si="4"/>
        <v>1.6772604237431165E-2</v>
      </c>
      <c r="F40" s="320">
        <f t="shared" si="4"/>
        <v>0.45713934849716287</v>
      </c>
      <c r="G40" s="320">
        <f t="shared" si="4"/>
        <v>5.2473355883363473</v>
      </c>
      <c r="H40" s="320">
        <f t="shared" si="4"/>
        <v>0.16020683029983451</v>
      </c>
      <c r="I40" s="320">
        <f t="shared" si="4"/>
        <v>0.28293939293227582</v>
      </c>
      <c r="J40" s="320">
        <f t="shared" si="4"/>
        <v>9.8789331973212074E-3</v>
      </c>
      <c r="K40" s="321">
        <f t="shared" si="4"/>
        <v>6.2051310691092247</v>
      </c>
      <c r="M40" s="328" t="str">
        <f t="shared" ref="M40:M46" si="5">C40</f>
        <v>ExteriorSales</v>
      </c>
      <c r="N40" s="329">
        <f t="shared" ref="N40:N46" si="6">K40/1000*$N$36*1000*4300/8760/1000</f>
        <v>10.201544803555867</v>
      </c>
    </row>
    <row r="41" spans="2:14">
      <c r="C41" s="319" t="s">
        <v>100</v>
      </c>
      <c r="D41" s="320">
        <f t="shared" si="4"/>
        <v>1.7634827756456764E-2</v>
      </c>
      <c r="E41" s="320">
        <f t="shared" si="4"/>
        <v>0.20361802028008846</v>
      </c>
      <c r="F41" s="320">
        <f t="shared" si="4"/>
        <v>0.79283141083142195</v>
      </c>
      <c r="G41" s="320">
        <f t="shared" si="4"/>
        <v>7.1142360739456372</v>
      </c>
      <c r="H41" s="320">
        <f t="shared" si="4"/>
        <v>0.73391714954873977</v>
      </c>
      <c r="I41" s="320">
        <f t="shared" si="4"/>
        <v>6.1968808654551011E-2</v>
      </c>
      <c r="J41" s="320">
        <f t="shared" si="4"/>
        <v>0.10309773178738656</v>
      </c>
      <c r="K41" s="321">
        <f t="shared" si="4"/>
        <v>9.0273040228042785</v>
      </c>
      <c r="M41" s="328" t="str">
        <f t="shared" si="5"/>
        <v>Other</v>
      </c>
      <c r="N41" s="329">
        <f t="shared" si="6"/>
        <v>14.841337824823464</v>
      </c>
    </row>
    <row r="42" spans="2:14">
      <c r="C42" s="319" t="s">
        <v>972</v>
      </c>
      <c r="D42" s="320">
        <f t="shared" si="4"/>
        <v>0.2773318018634397</v>
      </c>
      <c r="E42" s="320">
        <f t="shared" si="4"/>
        <v>0.21105837698509372</v>
      </c>
      <c r="F42" s="320">
        <f t="shared" si="4"/>
        <v>2.6350026304303307</v>
      </c>
      <c r="G42" s="320">
        <f t="shared" si="4"/>
        <v>71.095388052487294</v>
      </c>
      <c r="H42" s="320">
        <f t="shared" si="4"/>
        <v>1.4318389060789598</v>
      </c>
      <c r="I42" s="320">
        <f t="shared" si="4"/>
        <v>1.4558010344440129</v>
      </c>
      <c r="J42" s="320">
        <f t="shared" si="4"/>
        <v>0.31177783603144543</v>
      </c>
      <c r="K42" s="321">
        <f t="shared" si="4"/>
        <v>77.418198638320561</v>
      </c>
      <c r="M42" s="328" t="str">
        <f t="shared" si="5"/>
        <v>ParkingLot</v>
      </c>
      <c r="N42" s="329">
        <f t="shared" si="6"/>
        <v>127.27937786055378</v>
      </c>
    </row>
    <row r="43" spans="2:14">
      <c r="C43" s="319" t="s">
        <v>850</v>
      </c>
      <c r="D43" s="320">
        <f t="shared" si="4"/>
        <v>6.0171072011040397E-2</v>
      </c>
      <c r="E43" s="320">
        <f t="shared" si="4"/>
        <v>9.0485674419904835E-2</v>
      </c>
      <c r="F43" s="320">
        <f t="shared" si="4"/>
        <v>0.54935161988353565</v>
      </c>
      <c r="G43" s="320">
        <f t="shared" si="4"/>
        <v>0.74294673329736993</v>
      </c>
      <c r="H43" s="320">
        <f t="shared" si="4"/>
        <v>0.16948766353745551</v>
      </c>
      <c r="I43" s="320">
        <f t="shared" si="4"/>
        <v>6.5470920021296369E-2</v>
      </c>
      <c r="J43" s="320">
        <f t="shared" si="4"/>
        <v>9.9679080171971232E-3</v>
      </c>
      <c r="K43" s="321">
        <f t="shared" si="4"/>
        <v>1.6878815911877996</v>
      </c>
      <c r="M43" s="328" t="str">
        <f t="shared" si="5"/>
        <v>Signage</v>
      </c>
      <c r="N43" s="329">
        <f t="shared" si="6"/>
        <v>2.7749614768526354</v>
      </c>
    </row>
    <row r="44" spans="2:14">
      <c r="C44" s="319" t="s">
        <v>984</v>
      </c>
      <c r="D44" s="320">
        <f t="shared" si="4"/>
        <v>2.4348203171106031E-2</v>
      </c>
      <c r="E44" s="320">
        <f t="shared" si="4"/>
        <v>0</v>
      </c>
      <c r="F44" s="320">
        <f t="shared" si="4"/>
        <v>3.0282338346363448E-3</v>
      </c>
      <c r="G44" s="320">
        <f t="shared" si="4"/>
        <v>3.475465105786705</v>
      </c>
      <c r="H44" s="320">
        <f t="shared" si="4"/>
        <v>0.82410569005019774</v>
      </c>
      <c r="I44" s="320">
        <f t="shared" si="4"/>
        <v>0</v>
      </c>
      <c r="J44" s="320">
        <f t="shared" si="4"/>
        <v>0</v>
      </c>
      <c r="K44" s="321">
        <f t="shared" si="4"/>
        <v>4.3269472328426453</v>
      </c>
      <c r="M44" s="328" t="str">
        <f t="shared" si="5"/>
        <v>SportingField</v>
      </c>
      <c r="N44" s="329">
        <f t="shared" si="6"/>
        <v>7.1137169492220025</v>
      </c>
    </row>
    <row r="45" spans="2:14">
      <c r="C45" s="319" t="s">
        <v>974</v>
      </c>
      <c r="D45" s="320">
        <f t="shared" si="4"/>
        <v>4.2717310139836036</v>
      </c>
      <c r="E45" s="320">
        <f t="shared" si="4"/>
        <v>0.57402181655182349</v>
      </c>
      <c r="F45" s="320">
        <f t="shared" si="4"/>
        <v>1.2938181963444928</v>
      </c>
      <c r="G45" s="320">
        <f t="shared" si="4"/>
        <v>20.017342078658384</v>
      </c>
      <c r="H45" s="320">
        <f t="shared" si="4"/>
        <v>3.7289401276903824</v>
      </c>
      <c r="I45" s="320">
        <f t="shared" si="4"/>
        <v>1.0312515243851104</v>
      </c>
      <c r="J45" s="320">
        <f t="shared" si="4"/>
        <v>0.10203970744049341</v>
      </c>
      <c r="K45" s="321">
        <f t="shared" si="4"/>
        <v>31.019144465054293</v>
      </c>
      <c r="M45" s="328" t="str">
        <f t="shared" si="5"/>
        <v>Walkway/Area</v>
      </c>
      <c r="N45" s="329">
        <f t="shared" si="6"/>
        <v>50.997019805683216</v>
      </c>
    </row>
    <row r="46" spans="2:14" ht="15">
      <c r="C46" s="322" t="s">
        <v>106</v>
      </c>
      <c r="D46" s="323">
        <f t="shared" si="4"/>
        <v>8.997243713787114</v>
      </c>
      <c r="E46" s="323">
        <f t="shared" si="4"/>
        <v>1.4350750627897264</v>
      </c>
      <c r="F46" s="323">
        <f t="shared" si="4"/>
        <v>6.4315987435552318</v>
      </c>
      <c r="G46" s="323">
        <f t="shared" si="4"/>
        <v>134.17255722027659</v>
      </c>
      <c r="H46" s="323">
        <f t="shared" si="4"/>
        <v>14.09716645100724</v>
      </c>
      <c r="I46" s="323">
        <f t="shared" si="4"/>
        <v>3.5015007659700377</v>
      </c>
      <c r="J46" s="323">
        <f t="shared" si="4"/>
        <v>0.66939505845100988</v>
      </c>
      <c r="K46" s="324">
        <f t="shared" si="4"/>
        <v>169.30453701583696</v>
      </c>
      <c r="M46" s="328" t="str">
        <f t="shared" si="5"/>
        <v>Grand Total</v>
      </c>
      <c r="N46" s="329">
        <f t="shared" si="6"/>
        <v>278.34509868947652</v>
      </c>
    </row>
    <row r="51" spans="2:30">
      <c r="C51" t="s">
        <v>908</v>
      </c>
    </row>
    <row r="52" spans="2:30">
      <c r="C52" s="300" t="s">
        <v>853</v>
      </c>
      <c r="D52" s="300"/>
      <c r="E52" s="300"/>
      <c r="F52" s="300"/>
      <c r="G52" s="301">
        <v>324</v>
      </c>
      <c r="H52" s="301">
        <v>316</v>
      </c>
      <c r="I52" s="301">
        <v>95</v>
      </c>
      <c r="J52" s="301">
        <v>135</v>
      </c>
      <c r="K52" s="301">
        <v>191</v>
      </c>
      <c r="L52" s="301">
        <v>186</v>
      </c>
      <c r="M52" s="301">
        <v>59</v>
      </c>
      <c r="N52" s="301">
        <v>245</v>
      </c>
      <c r="O52" s="301">
        <v>124</v>
      </c>
      <c r="P52" s="301">
        <v>442</v>
      </c>
      <c r="Q52" s="301">
        <v>65</v>
      </c>
      <c r="R52" s="301">
        <v>12</v>
      </c>
      <c r="S52" s="301">
        <v>53</v>
      </c>
      <c r="T52" s="301">
        <v>171</v>
      </c>
      <c r="U52" s="301">
        <v>104</v>
      </c>
      <c r="V52" s="301">
        <v>125</v>
      </c>
      <c r="W52" s="301">
        <v>369</v>
      </c>
      <c r="X52" s="301">
        <v>333</v>
      </c>
      <c r="Z52" s="59">
        <f>SUM(G52:X52)</f>
        <v>3349</v>
      </c>
    </row>
    <row r="55" spans="2:30">
      <c r="G55" s="286" t="s">
        <v>92</v>
      </c>
      <c r="H55" s="286" t="s">
        <v>92</v>
      </c>
      <c r="I55" s="286" t="s">
        <v>92</v>
      </c>
      <c r="J55" s="286" t="s">
        <v>827</v>
      </c>
      <c r="K55" s="286" t="s">
        <v>827</v>
      </c>
      <c r="L55" s="286" t="s">
        <v>827</v>
      </c>
      <c r="M55" s="286" t="s">
        <v>827</v>
      </c>
      <c r="N55" s="286" t="s">
        <v>828</v>
      </c>
      <c r="O55" s="286" t="s">
        <v>827</v>
      </c>
      <c r="P55" s="286" t="s">
        <v>108</v>
      </c>
      <c r="Q55" s="286" t="s">
        <v>113</v>
      </c>
      <c r="R55" s="286" t="s">
        <v>113</v>
      </c>
      <c r="S55" s="286" t="s">
        <v>829</v>
      </c>
      <c r="T55" s="286" t="s">
        <v>122</v>
      </c>
      <c r="U55" s="286" t="s">
        <v>827</v>
      </c>
      <c r="V55" s="286" t="s">
        <v>830</v>
      </c>
      <c r="W55" s="286" t="s">
        <v>127</v>
      </c>
      <c r="X55" s="286" t="s">
        <v>100</v>
      </c>
    </row>
    <row r="56" spans="2:30">
      <c r="B56" s="287" t="s">
        <v>831</v>
      </c>
      <c r="C56" s="287" t="s">
        <v>832</v>
      </c>
      <c r="D56" s="287"/>
      <c r="E56" s="288" t="s">
        <v>834</v>
      </c>
      <c r="F56" s="302"/>
      <c r="G56" s="460" t="s">
        <v>92</v>
      </c>
      <c r="H56" s="461"/>
      <c r="I56" s="462"/>
      <c r="J56" s="460" t="s">
        <v>827</v>
      </c>
      <c r="K56" s="461"/>
      <c r="L56" s="461"/>
      <c r="M56" s="462"/>
      <c r="N56" s="460" t="s">
        <v>828</v>
      </c>
      <c r="O56" s="462"/>
      <c r="P56" s="288" t="s">
        <v>108</v>
      </c>
      <c r="Q56" s="460" t="s">
        <v>113</v>
      </c>
      <c r="R56" s="462"/>
      <c r="S56" s="288" t="s">
        <v>118</v>
      </c>
      <c r="T56" s="288" t="s">
        <v>122</v>
      </c>
      <c r="U56" s="460" t="s">
        <v>833</v>
      </c>
      <c r="V56" s="462"/>
      <c r="W56" s="288" t="s">
        <v>127</v>
      </c>
      <c r="X56" s="288" t="s">
        <v>100</v>
      </c>
    </row>
    <row r="57" spans="2:30" ht="25.5">
      <c r="B57" s="288" t="s">
        <v>835</v>
      </c>
      <c r="C57" s="288" t="s">
        <v>836</v>
      </c>
      <c r="D57" s="288"/>
      <c r="E57" s="288" t="s">
        <v>834</v>
      </c>
      <c r="F57" s="288"/>
      <c r="G57" s="288" t="s">
        <v>803</v>
      </c>
      <c r="H57" s="288" t="s">
        <v>804</v>
      </c>
      <c r="I57" s="288" t="s">
        <v>805</v>
      </c>
      <c r="J57" s="289" t="s">
        <v>837</v>
      </c>
      <c r="K57" s="289" t="s">
        <v>838</v>
      </c>
      <c r="L57" s="289" t="s">
        <v>839</v>
      </c>
      <c r="M57" s="289" t="s">
        <v>840</v>
      </c>
      <c r="N57" s="288" t="s">
        <v>841</v>
      </c>
      <c r="O57" s="288" t="s">
        <v>813</v>
      </c>
      <c r="P57" s="288" t="s">
        <v>108</v>
      </c>
      <c r="Q57" s="288" t="s">
        <v>816</v>
      </c>
      <c r="R57" s="288" t="s">
        <v>818</v>
      </c>
      <c r="S57" s="288" t="s">
        <v>118</v>
      </c>
      <c r="T57" s="288" t="s">
        <v>122</v>
      </c>
      <c r="U57" s="288" t="s">
        <v>822</v>
      </c>
      <c r="V57" s="288" t="s">
        <v>842</v>
      </c>
      <c r="W57" s="290" t="s">
        <v>127</v>
      </c>
      <c r="X57" s="288" t="s">
        <v>100</v>
      </c>
    </row>
    <row r="58" spans="2:30">
      <c r="C58" s="291" t="s">
        <v>843</v>
      </c>
      <c r="D58" s="291"/>
      <c r="E58" s="309">
        <f>SUMPRODUCT(G58:X58,G52:X52)/SUM(G52:X52)</f>
        <v>0.16930453701583695</v>
      </c>
      <c r="F58" s="293"/>
      <c r="G58" s="292">
        <f>VLOOKUP(G55,$Q$64:$T$75,2,FALSE)</f>
        <v>0.13694201484289967</v>
      </c>
      <c r="H58" s="292">
        <f t="shared" ref="H58:X58" si="7">VLOOKUP(H55,$Q$64:$T$75,2,FALSE)</f>
        <v>0.13694201484289967</v>
      </c>
      <c r="I58" s="292">
        <f t="shared" si="7"/>
        <v>0.13694201484289967</v>
      </c>
      <c r="J58" s="292">
        <f t="shared" si="7"/>
        <v>0.28431590929099099</v>
      </c>
      <c r="K58" s="292">
        <f t="shared" si="7"/>
        <v>0.28431590929099099</v>
      </c>
      <c r="L58" s="292">
        <f t="shared" si="7"/>
        <v>0.28431590929099099</v>
      </c>
      <c r="M58" s="292">
        <f t="shared" si="7"/>
        <v>0.28431590929099099</v>
      </c>
      <c r="N58" s="292">
        <f t="shared" si="7"/>
        <v>0.10641166515684555</v>
      </c>
      <c r="O58" s="310">
        <f t="shared" si="7"/>
        <v>0.28431590929099099</v>
      </c>
      <c r="P58" s="292">
        <f t="shared" si="7"/>
        <v>8.3532634554250654E-2</v>
      </c>
      <c r="Q58" s="292">
        <f t="shared" si="7"/>
        <v>0.26032202198271615</v>
      </c>
      <c r="R58" s="292">
        <f t="shared" si="7"/>
        <v>0.26032202198271615</v>
      </c>
      <c r="S58" s="292">
        <f t="shared" si="7"/>
        <v>0.43664170869555319</v>
      </c>
      <c r="T58" s="292">
        <f t="shared" si="7"/>
        <v>0.10259832460348207</v>
      </c>
      <c r="U58" s="310">
        <f t="shared" si="7"/>
        <v>0.28431590929099099</v>
      </c>
      <c r="V58" s="292">
        <f t="shared" si="7"/>
        <v>7.0371990255371983E-2</v>
      </c>
      <c r="W58" s="292">
        <f t="shared" si="7"/>
        <v>0.15772286537406049</v>
      </c>
      <c r="X58" s="292">
        <f t="shared" si="7"/>
        <v>0.14552691811087146</v>
      </c>
      <c r="Y58" s="291"/>
    </row>
    <row r="62" spans="2:30">
      <c r="C62" s="287" t="s">
        <v>832</v>
      </c>
      <c r="D62" s="287"/>
      <c r="E62" s="287"/>
      <c r="F62" s="287"/>
      <c r="Q62" s="287" t="s">
        <v>832</v>
      </c>
      <c r="W62" s="58"/>
      <c r="X62" s="58" t="s">
        <v>69</v>
      </c>
      <c r="Y62" s="58"/>
      <c r="Z62" s="58"/>
      <c r="AA62" s="58"/>
      <c r="AB62" s="58"/>
      <c r="AC62" s="58"/>
      <c r="AD62" s="58"/>
    </row>
    <row r="63" spans="2:30" ht="15">
      <c r="C63" s="294" t="s">
        <v>844</v>
      </c>
      <c r="D63" s="294"/>
      <c r="E63" s="294"/>
      <c r="F63" s="294"/>
      <c r="G63" s="294" t="s">
        <v>69</v>
      </c>
      <c r="H63" s="294"/>
      <c r="I63" s="294"/>
      <c r="J63" s="294"/>
      <c r="K63" s="294"/>
      <c r="L63" s="294"/>
      <c r="M63" s="294"/>
      <c r="N63" s="295"/>
      <c r="W63" s="58"/>
      <c r="X63" s="58" t="s">
        <v>844</v>
      </c>
      <c r="Y63" s="58"/>
      <c r="Z63" s="58"/>
      <c r="AA63" s="58"/>
      <c r="AB63" s="58"/>
      <c r="AC63" s="58"/>
      <c r="AD63" s="58"/>
    </row>
    <row r="64" spans="2:30" ht="45">
      <c r="C64" s="294" t="s">
        <v>74</v>
      </c>
      <c r="D64" s="294"/>
      <c r="E64" s="294"/>
      <c r="F64" s="294"/>
      <c r="G64" s="295" t="s">
        <v>88</v>
      </c>
      <c r="H64" s="295" t="s">
        <v>93</v>
      </c>
      <c r="I64" s="295" t="s">
        <v>845</v>
      </c>
      <c r="J64" s="295" t="s">
        <v>91</v>
      </c>
      <c r="K64" s="295" t="s">
        <v>111</v>
      </c>
      <c r="L64" s="295" t="s">
        <v>116</v>
      </c>
      <c r="M64" s="295" t="s">
        <v>100</v>
      </c>
      <c r="N64" s="82"/>
      <c r="Q64" s="58" t="s">
        <v>846</v>
      </c>
      <c r="R64" s="58" t="s">
        <v>847</v>
      </c>
      <c r="S64" s="58" t="s">
        <v>848</v>
      </c>
      <c r="T64" s="58" t="s">
        <v>849</v>
      </c>
      <c r="W64" s="58" t="s">
        <v>74</v>
      </c>
      <c r="X64" s="82" t="s">
        <v>88</v>
      </c>
      <c r="Y64" s="82" t="s">
        <v>93</v>
      </c>
      <c r="Z64" s="82" t="s">
        <v>845</v>
      </c>
      <c r="AA64" s="82" t="s">
        <v>91</v>
      </c>
      <c r="AB64" s="82" t="s">
        <v>111</v>
      </c>
      <c r="AC64" s="82" t="s">
        <v>116</v>
      </c>
      <c r="AD64" s="82" t="s">
        <v>100</v>
      </c>
    </row>
    <row r="65" spans="3:30" ht="15">
      <c r="C65" s="296" t="s">
        <v>973</v>
      </c>
      <c r="D65" s="296"/>
      <c r="E65" s="296"/>
      <c r="F65" s="296"/>
      <c r="G65" s="297">
        <v>0.1089140850014586</v>
      </c>
      <c r="H65" s="297">
        <v>8.5592925162963854E-3</v>
      </c>
      <c r="I65" s="297">
        <v>1.7678660810233792E-2</v>
      </c>
      <c r="J65" s="297">
        <v>0.66834655159895417</v>
      </c>
      <c r="K65" s="297">
        <v>0.17790718167399883</v>
      </c>
      <c r="L65" s="297">
        <v>1.5246596487825137E-2</v>
      </c>
      <c r="M65" s="297">
        <v>3.3476319112331105E-3</v>
      </c>
      <c r="Q65" t="s">
        <v>834</v>
      </c>
      <c r="R65" s="158">
        <v>0.16121646249693089</v>
      </c>
      <c r="S65">
        <v>796</v>
      </c>
      <c r="T65">
        <v>2.0181831717537343E-2</v>
      </c>
      <c r="W65" t="s">
        <v>834</v>
      </c>
      <c r="X65" s="60">
        <v>5.3037436102564554E-2</v>
      </c>
      <c r="Y65" s="60">
        <v>8.4074369491614377E-3</v>
      </c>
      <c r="Z65" s="60">
        <v>3.7768033231273375E-2</v>
      </c>
      <c r="AA65" s="60">
        <v>0.79354210391568925</v>
      </c>
      <c r="AB65" s="60">
        <v>8.2809652184077126E-2</v>
      </c>
      <c r="AC65" s="60">
        <v>2.0513663487473657E-2</v>
      </c>
      <c r="AD65" s="60">
        <v>3.9216741297606432E-3</v>
      </c>
    </row>
    <row r="66" spans="3:30" ht="15">
      <c r="C66" s="296" t="s">
        <v>983</v>
      </c>
      <c r="D66" s="296"/>
      <c r="E66" s="296"/>
      <c r="F66" s="296"/>
      <c r="G66" s="297">
        <v>4.9730410631408989E-3</v>
      </c>
      <c r="H66" s="297">
        <v>2.7030217493599134E-3</v>
      </c>
      <c r="I66" s="297">
        <v>7.3671183316807415E-2</v>
      </c>
      <c r="J66" s="297">
        <v>0.84564460120092622</v>
      </c>
      <c r="K66" s="297">
        <v>2.5818444206180634E-2</v>
      </c>
      <c r="L66" s="297">
        <v>4.559764971618771E-2</v>
      </c>
      <c r="M66" s="297">
        <v>1.5920587473971558E-3</v>
      </c>
      <c r="Q66" t="s">
        <v>127</v>
      </c>
      <c r="R66" s="158">
        <v>0.15772286537406049</v>
      </c>
      <c r="S66">
        <v>102</v>
      </c>
      <c r="T66">
        <v>5.3641846503626224E-2</v>
      </c>
      <c r="W66" t="s">
        <v>127</v>
      </c>
      <c r="X66" s="60">
        <v>6.2547021252822466E-2</v>
      </c>
      <c r="Y66" s="60">
        <v>5.1902790124572305E-4</v>
      </c>
      <c r="Z66" s="60">
        <v>7.2625874955335604E-4</v>
      </c>
      <c r="AA66" s="60">
        <v>0.77023039780739733</v>
      </c>
      <c r="AB66" s="60">
        <v>0.15125098453579933</v>
      </c>
      <c r="AC66" s="60">
        <v>1.271125955623144E-2</v>
      </c>
      <c r="AD66" s="60">
        <v>2.0150501969504681E-3</v>
      </c>
    </row>
    <row r="67" spans="3:30" ht="15">
      <c r="C67" s="296" t="s">
        <v>100</v>
      </c>
      <c r="D67" s="296"/>
      <c r="E67" s="296"/>
      <c r="F67" s="296"/>
      <c r="G67" s="297">
        <v>1.9534988200141067E-3</v>
      </c>
      <c r="H67" s="297">
        <v>2.2555795148332187E-2</v>
      </c>
      <c r="I67" s="297">
        <v>8.7825934390667978E-2</v>
      </c>
      <c r="J67" s="297">
        <v>0.78807981385960235</v>
      </c>
      <c r="K67" s="297">
        <v>8.129970450698884E-2</v>
      </c>
      <c r="L67" s="297">
        <v>6.8645975030871675E-3</v>
      </c>
      <c r="M67" s="297">
        <v>1.1420655771307438E-2</v>
      </c>
      <c r="Q67" t="s">
        <v>829</v>
      </c>
      <c r="R67" s="158">
        <v>0.43664170869555319</v>
      </c>
      <c r="S67">
        <v>43</v>
      </c>
      <c r="T67">
        <v>0.20150230835461891</v>
      </c>
      <c r="W67" t="s">
        <v>829</v>
      </c>
      <c r="X67" s="60">
        <v>7.0640063063622471E-2</v>
      </c>
      <c r="Y67" s="60">
        <v>4.9748407491122401E-2</v>
      </c>
      <c r="Z67" s="60">
        <v>5.4484348111404471E-2</v>
      </c>
      <c r="AA67" s="60">
        <v>0.56226646790425538</v>
      </c>
      <c r="AB67" s="60">
        <v>0.25377893571511911</v>
      </c>
      <c r="AC67" s="60">
        <v>9.0817777144761493E-3</v>
      </c>
      <c r="AD67" s="60">
        <v>0</v>
      </c>
    </row>
    <row r="68" spans="3:30" ht="15">
      <c r="C68" s="296" t="s">
        <v>972</v>
      </c>
      <c r="D68" s="296"/>
      <c r="E68" s="296"/>
      <c r="F68" s="296"/>
      <c r="G68" s="297">
        <v>3.582255939059858E-3</v>
      </c>
      <c r="H68" s="297">
        <v>2.7262114166606783E-3</v>
      </c>
      <c r="I68" s="297">
        <v>3.4035958944749367E-2</v>
      </c>
      <c r="J68" s="297">
        <v>0.91832914357292195</v>
      </c>
      <c r="K68" s="297">
        <v>1.8494862077173498E-2</v>
      </c>
      <c r="L68" s="297">
        <v>1.8804377524271384E-2</v>
      </c>
      <c r="M68" s="297">
        <v>4.0271905251631768E-3</v>
      </c>
      <c r="Q68" t="s">
        <v>113</v>
      </c>
      <c r="R68" s="158">
        <v>0.26032202198271615</v>
      </c>
      <c r="S68">
        <v>74</v>
      </c>
      <c r="T68">
        <v>0.11904090633134305</v>
      </c>
      <c r="W68" t="s">
        <v>113</v>
      </c>
      <c r="X68" s="60">
        <v>2.7991114297219195E-2</v>
      </c>
      <c r="Y68" s="60">
        <v>6.6008185228435184E-2</v>
      </c>
      <c r="Z68" s="60">
        <v>4.4737070325351673E-2</v>
      </c>
      <c r="AA68" s="60">
        <v>0.74709526501563361</v>
      </c>
      <c r="AB68" s="60">
        <v>4.8602167990716753E-2</v>
      </c>
      <c r="AC68" s="60">
        <v>6.3533575113378732E-2</v>
      </c>
      <c r="AD68" s="60">
        <v>2.0326220292648609E-3</v>
      </c>
    </row>
    <row r="69" spans="3:30" ht="15">
      <c r="C69" s="296" t="s">
        <v>850</v>
      </c>
      <c r="D69" s="296"/>
      <c r="E69" s="296"/>
      <c r="F69" s="296"/>
      <c r="G69" s="297">
        <v>3.5648870350376102E-2</v>
      </c>
      <c r="H69" s="297">
        <v>5.3609017891016901E-2</v>
      </c>
      <c r="I69" s="297">
        <v>0.325468103184267</v>
      </c>
      <c r="J69" s="297">
        <v>0.44016519711820645</v>
      </c>
      <c r="K69" s="297">
        <v>0.10041442742330241</v>
      </c>
      <c r="L69" s="297">
        <v>3.8788810994273018E-2</v>
      </c>
      <c r="M69" s="297">
        <v>5.9055730385580447E-3</v>
      </c>
      <c r="Q69" t="s">
        <v>122</v>
      </c>
      <c r="R69" s="158">
        <v>0.10259832460348207</v>
      </c>
      <c r="S69">
        <v>71</v>
      </c>
      <c r="T69">
        <v>1.9361976277696355E-2</v>
      </c>
      <c r="W69" t="s">
        <v>122</v>
      </c>
      <c r="X69" s="60">
        <v>0.1166365993854387</v>
      </c>
      <c r="Y69" s="60">
        <v>1.0059765988074971E-2</v>
      </c>
      <c r="Z69" s="60">
        <v>8.9394703366540845E-3</v>
      </c>
      <c r="AA69" s="60">
        <v>0.7410017724589677</v>
      </c>
      <c r="AB69" s="60">
        <v>0.1199457361866169</v>
      </c>
      <c r="AC69" s="60">
        <v>2.8661910179148689E-3</v>
      </c>
      <c r="AD69" s="60">
        <v>5.5046462633274421E-4</v>
      </c>
    </row>
    <row r="70" spans="3:30" ht="15">
      <c r="C70" s="296" t="s">
        <v>984</v>
      </c>
      <c r="D70" s="296"/>
      <c r="E70" s="296"/>
      <c r="F70" s="296"/>
      <c r="G70" s="297">
        <v>5.6271088739647404E-3</v>
      </c>
      <c r="H70" s="297">
        <v>0</v>
      </c>
      <c r="I70" s="297">
        <v>6.9985457914791959E-4</v>
      </c>
      <c r="J70" s="297">
        <v>0.80321411812166987</v>
      </c>
      <c r="K70" s="297">
        <v>0.19045891842521745</v>
      </c>
      <c r="L70" s="297">
        <v>0</v>
      </c>
      <c r="M70" s="297">
        <v>0</v>
      </c>
      <c r="Q70" t="s">
        <v>92</v>
      </c>
      <c r="R70" s="158">
        <v>0.13694201484289967</v>
      </c>
      <c r="S70">
        <v>114</v>
      </c>
      <c r="T70">
        <v>3.9621553031031376E-2</v>
      </c>
      <c r="W70" t="s">
        <v>92</v>
      </c>
      <c r="X70" s="60">
        <v>6.8515778730052407E-2</v>
      </c>
      <c r="Y70" s="60">
        <v>0</v>
      </c>
      <c r="Z70" s="60">
        <v>7.7263492076643176E-3</v>
      </c>
      <c r="AA70" s="60">
        <v>0.83211401378239691</v>
      </c>
      <c r="AB70" s="60">
        <v>8.1562294896726145E-2</v>
      </c>
      <c r="AC70" s="60">
        <v>9.6251302927147751E-3</v>
      </c>
      <c r="AD70" s="60">
        <v>4.5643309044550998E-4</v>
      </c>
    </row>
    <row r="71" spans="3:30" ht="15">
      <c r="C71" s="296" t="s">
        <v>974</v>
      </c>
      <c r="D71" s="296"/>
      <c r="E71" s="296"/>
      <c r="F71" s="296"/>
      <c r="G71" s="297">
        <v>0.13771272830545253</v>
      </c>
      <c r="H71" s="297">
        <v>1.850540453165973E-2</v>
      </c>
      <c r="I71" s="297">
        <v>4.171031208813928E-2</v>
      </c>
      <c r="J71" s="297">
        <v>0.64532218485940596</v>
      </c>
      <c r="K71" s="297">
        <v>0.12021415135711919</v>
      </c>
      <c r="L71" s="297">
        <v>3.3245646911600125E-2</v>
      </c>
      <c r="M71" s="297">
        <v>3.2895719466231516E-3</v>
      </c>
      <c r="Q71" t="s">
        <v>830</v>
      </c>
      <c r="R71" s="158">
        <v>7.0371990255371983E-2</v>
      </c>
      <c r="S71">
        <v>67</v>
      </c>
      <c r="T71">
        <v>1.4524641761212502E-2</v>
      </c>
      <c r="W71" t="s">
        <v>830</v>
      </c>
      <c r="X71" s="60">
        <v>0.12010125974760372</v>
      </c>
      <c r="Y71" s="60">
        <v>0</v>
      </c>
      <c r="Z71" s="60">
        <v>1.2279610386050516E-2</v>
      </c>
      <c r="AA71" s="60">
        <v>0.57198272152067897</v>
      </c>
      <c r="AB71" s="60">
        <v>0.26832137641468617</v>
      </c>
      <c r="AC71" s="60">
        <v>1.8619903808939501E-3</v>
      </c>
      <c r="AD71" s="60">
        <v>2.5453041550086639E-2</v>
      </c>
    </row>
    <row r="72" spans="3:30" ht="15">
      <c r="C72" s="296" t="s">
        <v>106</v>
      </c>
      <c r="D72" s="296"/>
      <c r="E72" s="296"/>
      <c r="F72" s="296"/>
      <c r="G72" s="297">
        <v>0.29841158835346687</v>
      </c>
      <c r="H72" s="297">
        <v>0.10865874325332579</v>
      </c>
      <c r="I72" s="297">
        <v>0.58109000731401272</v>
      </c>
      <c r="J72" s="297">
        <v>5.1091016103316873</v>
      </c>
      <c r="K72" s="297">
        <v>0.71460768966998078</v>
      </c>
      <c r="L72" s="297">
        <v>0.15854767913724452</v>
      </c>
      <c r="M72" s="297">
        <v>2.9582681940282081E-2</v>
      </c>
      <c r="Q72" t="s">
        <v>827</v>
      </c>
      <c r="R72" s="158">
        <v>0.28431590929099099</v>
      </c>
      <c r="S72">
        <v>130</v>
      </c>
      <c r="T72">
        <v>8.2287697444958355E-2</v>
      </c>
      <c r="W72" t="s">
        <v>827</v>
      </c>
      <c r="X72" s="60">
        <v>2.8870584428816626E-2</v>
      </c>
      <c r="Y72" s="60">
        <v>7.8609697747620468E-3</v>
      </c>
      <c r="Z72" s="60">
        <v>7.7580653565702873E-2</v>
      </c>
      <c r="AA72" s="60">
        <v>0.83461613460039141</v>
      </c>
      <c r="AB72" s="60">
        <v>3.6941018913235112E-2</v>
      </c>
      <c r="AC72" s="60">
        <v>4.599949066946999E-3</v>
      </c>
      <c r="AD72" s="60">
        <v>9.5306896501449849E-3</v>
      </c>
    </row>
    <row r="73" spans="3:30">
      <c r="Q73" t="s">
        <v>828</v>
      </c>
      <c r="R73" s="158">
        <v>0.10641166515684555</v>
      </c>
      <c r="S73">
        <v>74</v>
      </c>
      <c r="T73">
        <v>2.0666258072524368E-2</v>
      </c>
      <c r="W73" t="s">
        <v>828</v>
      </c>
      <c r="X73" s="60">
        <v>5.5055999898805642E-2</v>
      </c>
      <c r="Y73" s="60">
        <v>6.0763462590469669E-3</v>
      </c>
      <c r="Z73" s="60">
        <v>3.0156828843977627E-2</v>
      </c>
      <c r="AA73" s="60">
        <v>0.80395924165029553</v>
      </c>
      <c r="AB73" s="60">
        <v>6.0656724500699657E-2</v>
      </c>
      <c r="AC73" s="60">
        <v>4.3695375399598245E-2</v>
      </c>
      <c r="AD73" s="60">
        <v>3.9948344757638861E-4</v>
      </c>
    </row>
    <row r="74" spans="3:30">
      <c r="Q74" t="s">
        <v>108</v>
      </c>
      <c r="R74" s="158">
        <v>8.3532634554250654E-2</v>
      </c>
      <c r="S74">
        <v>43</v>
      </c>
      <c r="T74">
        <v>2.2922980433797369E-2</v>
      </c>
      <c r="W74" t="s">
        <v>108</v>
      </c>
      <c r="X74" s="60">
        <v>2.8953895134294538E-2</v>
      </c>
      <c r="Y74" s="60">
        <v>0</v>
      </c>
      <c r="Z74" s="60">
        <v>4.1426624794347902E-2</v>
      </c>
      <c r="AA74" s="60">
        <v>0.8516084532655307</v>
      </c>
      <c r="AB74" s="60">
        <v>7.3834583918693811E-2</v>
      </c>
      <c r="AC74" s="60">
        <v>4.1764428871330752E-3</v>
      </c>
      <c r="AD74" s="60">
        <v>0</v>
      </c>
    </row>
    <row r="75" spans="3:30">
      <c r="C75" s="58" t="s">
        <v>854</v>
      </c>
      <c r="D75" s="58" t="s">
        <v>855</v>
      </c>
      <c r="E75" s="58" t="s">
        <v>848</v>
      </c>
      <c r="F75" s="58" t="s">
        <v>849</v>
      </c>
      <c r="Q75" t="s">
        <v>100</v>
      </c>
      <c r="R75" s="158">
        <v>0.14552691811087146</v>
      </c>
      <c r="S75">
        <v>78</v>
      </c>
      <c r="T75">
        <v>3.5074311983207408E-2</v>
      </c>
      <c r="W75" t="s">
        <v>100</v>
      </c>
      <c r="X75" s="60">
        <v>7.6730553507968632E-2</v>
      </c>
      <c r="Y75" s="60">
        <v>1.7273973533904041E-4</v>
      </c>
      <c r="Z75" s="60">
        <v>1.4959610455695618E-2</v>
      </c>
      <c r="AA75" s="60">
        <v>0.74622527906407787</v>
      </c>
      <c r="AB75" s="60">
        <v>6.2171587244101198E-2</v>
      </c>
      <c r="AC75" s="60">
        <v>9.9740229992817647E-2</v>
      </c>
      <c r="AD75" s="60">
        <v>0</v>
      </c>
    </row>
    <row r="76" spans="3:30">
      <c r="C76" t="s">
        <v>973</v>
      </c>
      <c r="D76" s="158">
        <v>3.839461944580088E-2</v>
      </c>
      <c r="E76">
        <v>796</v>
      </c>
      <c r="F76" s="158">
        <v>6.2691778561376034E-3</v>
      </c>
    </row>
    <row r="77" spans="3:30">
      <c r="C77" t="s">
        <v>983</v>
      </c>
      <c r="D77" s="158">
        <v>6.01322733358442E-3</v>
      </c>
      <c r="E77">
        <v>796</v>
      </c>
      <c r="F77" s="158">
        <v>4.7751692576991763E-3</v>
      </c>
    </row>
    <row r="78" spans="3:30">
      <c r="C78" t="s">
        <v>100</v>
      </c>
      <c r="D78" s="158">
        <v>7.5023915366810592E-2</v>
      </c>
      <c r="E78">
        <v>796</v>
      </c>
      <c r="F78" s="158">
        <v>1.5275971704079305E-2</v>
      </c>
    </row>
    <row r="79" spans="3:30">
      <c r="C79" t="s">
        <v>972</v>
      </c>
      <c r="D79" s="158">
        <v>1.6356811172791978E-3</v>
      </c>
      <c r="E79">
        <v>796</v>
      </c>
      <c r="F79" s="158">
        <v>7.534257233445976E-4</v>
      </c>
    </row>
    <row r="80" spans="3:30">
      <c r="C80" t="s">
        <v>850</v>
      </c>
      <c r="D80" s="158">
        <v>4.1931293765954253E-3</v>
      </c>
      <c r="E80">
        <v>796</v>
      </c>
      <c r="F80" s="158">
        <v>3.2784623855457015E-3</v>
      </c>
    </row>
    <row r="81" spans="3:31">
      <c r="C81" t="s">
        <v>984</v>
      </c>
      <c r="D81" s="158">
        <v>3.0059827146962242E-2</v>
      </c>
      <c r="E81">
        <v>796</v>
      </c>
      <c r="F81" s="158">
        <v>6.6012757624277418E-3</v>
      </c>
    </row>
    <row r="82" spans="3:31">
      <c r="C82" t="s">
        <v>974</v>
      </c>
      <c r="D82" s="158">
        <v>8.7481200145375655E-3</v>
      </c>
      <c r="E82">
        <v>796</v>
      </c>
      <c r="F82" s="158">
        <v>5.0128634101077735E-3</v>
      </c>
      <c r="N82" t="s">
        <v>859</v>
      </c>
      <c r="W82" t="s">
        <v>851</v>
      </c>
    </row>
    <row r="83" spans="3:31" ht="25.5">
      <c r="N83" s="58" t="s">
        <v>74</v>
      </c>
      <c r="O83" s="58" t="s">
        <v>860</v>
      </c>
      <c r="P83" s="58"/>
      <c r="W83" s="58" t="s">
        <v>74</v>
      </c>
      <c r="X83" s="82" t="s">
        <v>88</v>
      </c>
      <c r="Y83" s="82" t="s">
        <v>93</v>
      </c>
      <c r="Z83" s="82" t="s">
        <v>845</v>
      </c>
      <c r="AA83" s="82" t="s">
        <v>91</v>
      </c>
      <c r="AB83" s="82" t="s">
        <v>111</v>
      </c>
      <c r="AC83" s="82" t="s">
        <v>116</v>
      </c>
      <c r="AD83" s="82" t="s">
        <v>100</v>
      </c>
      <c r="AE83" s="82" t="s">
        <v>852</v>
      </c>
    </row>
    <row r="84" spans="3:31">
      <c r="N84" s="311" t="s">
        <v>127</v>
      </c>
      <c r="O84" s="312">
        <v>368872051.45900011</v>
      </c>
      <c r="P84" s="313">
        <f>O84/1000000</f>
        <v>368.87205145900009</v>
      </c>
      <c r="T84" t="s">
        <v>106</v>
      </c>
      <c r="U84" s="106">
        <f>VLOOKUP(T84,$N$84:$P$96,3,FALSE)</f>
        <v>3349.27364795836</v>
      </c>
      <c r="W84" t="s">
        <v>834</v>
      </c>
      <c r="X84" s="298">
        <f>X65*$R65</f>
        <v>8.5505078283624678E-3</v>
      </c>
      <c r="Y84" s="298">
        <f t="shared" ref="Y84:AD84" si="8">Y65*$R65</f>
        <v>1.355417243609796E-3</v>
      </c>
      <c r="Z84" s="298">
        <f t="shared" si="8"/>
        <v>6.0888287130124235E-3</v>
      </c>
      <c r="AA84" s="298">
        <f t="shared" si="8"/>
        <v>0.12793205083565934</v>
      </c>
      <c r="AB84" s="298">
        <f t="shared" si="8"/>
        <v>1.3350279185718161E-2</v>
      </c>
      <c r="AC84" s="298">
        <f t="shared" si="8"/>
        <v>3.3071402603029572E-3</v>
      </c>
      <c r="AD84" s="298">
        <f t="shared" si="8"/>
        <v>6.3223843026574082E-4</v>
      </c>
      <c r="AE84" s="298">
        <f>SUM(X84:AD84)</f>
        <v>0.16121646249693089</v>
      </c>
    </row>
    <row r="85" spans="3:31">
      <c r="N85" s="311" t="s">
        <v>113</v>
      </c>
      <c r="O85" s="312">
        <v>77120837.687360033</v>
      </c>
      <c r="P85" s="313">
        <f t="shared" ref="P85:P96" si="9">O85/1000000</f>
        <v>77.120837687360037</v>
      </c>
      <c r="U85" s="106"/>
      <c r="X85" s="298"/>
      <c r="Y85" s="298"/>
      <c r="Z85" s="298"/>
      <c r="AA85" s="298"/>
      <c r="AB85" s="298"/>
      <c r="AC85" s="298"/>
      <c r="AD85" s="298"/>
      <c r="AE85" s="298"/>
    </row>
    <row r="86" spans="3:31">
      <c r="N86" s="311" t="s">
        <v>822</v>
      </c>
      <c r="O86" s="312">
        <v>103754034.99999991</v>
      </c>
      <c r="P86" s="313">
        <f t="shared" si="9"/>
        <v>103.75403499999992</v>
      </c>
      <c r="T86" t="s">
        <v>127</v>
      </c>
      <c r="U86" s="106">
        <f t="shared" ref="U86:U95" si="10">VLOOKUP(T86,$N$84:$P$96,3,FALSE)</f>
        <v>368.87205145900009</v>
      </c>
      <c r="W86" t="s">
        <v>127</v>
      </c>
      <c r="X86" s="298">
        <f>X66*$R66</f>
        <v>9.8650954126074178E-3</v>
      </c>
      <c r="Y86" s="298">
        <f t="shared" ref="X86:AD95" si="11">Y66*$R66</f>
        <v>8.1862567793560348E-5</v>
      </c>
      <c r="Z86" s="298">
        <f t="shared" si="11"/>
        <v>1.145476109825375E-4</v>
      </c>
      <c r="AA86" s="298">
        <f t="shared" si="11"/>
        <v>0.12148294534038519</v>
      </c>
      <c r="AB86" s="298">
        <f t="shared" si="11"/>
        <v>2.3855738671633982E-2</v>
      </c>
      <c r="AC86" s="298">
        <f t="shared" si="11"/>
        <v>2.0048562797222312E-3</v>
      </c>
      <c r="AD86" s="298">
        <f t="shared" si="11"/>
        <v>3.1781949093559274E-4</v>
      </c>
      <c r="AE86" s="298">
        <f t="shared" ref="AE86:AE95" si="12">SUM(X86:AD86)</f>
        <v>0.15772286537406052</v>
      </c>
    </row>
    <row r="87" spans="3:31">
      <c r="N87" s="311" t="s">
        <v>122</v>
      </c>
      <c r="O87" s="312">
        <v>171040928.8844001</v>
      </c>
      <c r="P87" s="313">
        <f t="shared" si="9"/>
        <v>171.0409288844001</v>
      </c>
      <c r="T87" t="s">
        <v>118</v>
      </c>
      <c r="U87" s="106">
        <f t="shared" si="10"/>
        <v>53.036739081999983</v>
      </c>
      <c r="W87" t="s">
        <v>829</v>
      </c>
      <c r="X87" s="298">
        <f t="shared" si="11"/>
        <v>3.0844397838461751E-2</v>
      </c>
      <c r="Y87" s="298">
        <f t="shared" si="11"/>
        <v>2.1722229651806344E-2</v>
      </c>
      <c r="Z87" s="298">
        <f t="shared" si="11"/>
        <v>2.3790138856526984E-2</v>
      </c>
      <c r="AA87" s="298">
        <f t="shared" si="11"/>
        <v>0.2455089912879275</v>
      </c>
      <c r="AB87" s="298">
        <f t="shared" si="11"/>
        <v>0.11081046812158855</v>
      </c>
      <c r="AC87" s="298">
        <f t="shared" si="11"/>
        <v>3.9654829392420619E-3</v>
      </c>
      <c r="AD87" s="298">
        <f t="shared" si="11"/>
        <v>0</v>
      </c>
      <c r="AE87" s="298">
        <f t="shared" si="12"/>
        <v>0.43664170869555319</v>
      </c>
    </row>
    <row r="88" spans="3:31">
      <c r="N88" s="311" t="s">
        <v>92</v>
      </c>
      <c r="O88" s="312">
        <v>734358126.13499999</v>
      </c>
      <c r="P88" s="313">
        <f t="shared" si="9"/>
        <v>734.35812613500002</v>
      </c>
      <c r="T88" t="s">
        <v>113</v>
      </c>
      <c r="U88" s="106">
        <f t="shared" si="10"/>
        <v>77.120837687360037</v>
      </c>
      <c r="W88" t="s">
        <v>113</v>
      </c>
      <c r="X88" s="298">
        <f t="shared" si="11"/>
        <v>7.2867034714014156E-3</v>
      </c>
      <c r="Y88" s="298">
        <f t="shared" si="11"/>
        <v>1.7183384246075902E-2</v>
      </c>
      <c r="Z88" s="298">
        <f t="shared" si="11"/>
        <v>1.1646044604678517E-2</v>
      </c>
      <c r="AA88" s="298">
        <f t="shared" si="11"/>
        <v>0.19448535000258291</v>
      </c>
      <c r="AB88" s="298">
        <f t="shared" si="11"/>
        <v>1.265221464408703E-2</v>
      </c>
      <c r="AC88" s="298">
        <f t="shared" si="11"/>
        <v>1.6539188737305525E-2</v>
      </c>
      <c r="AD88" s="298">
        <f t="shared" si="11"/>
        <v>5.2913627658484025E-4</v>
      </c>
      <c r="AE88" s="298">
        <f t="shared" si="12"/>
        <v>0.26032202198271615</v>
      </c>
    </row>
    <row r="89" spans="3:31">
      <c r="N89" s="311" t="s">
        <v>100</v>
      </c>
      <c r="O89" s="312">
        <v>333434464.10600013</v>
      </c>
      <c r="P89" s="313">
        <f t="shared" si="9"/>
        <v>333.43446410600012</v>
      </c>
      <c r="T89" t="s">
        <v>122</v>
      </c>
      <c r="U89" s="106">
        <f t="shared" si="10"/>
        <v>171.0409288844001</v>
      </c>
      <c r="W89" t="s">
        <v>122</v>
      </c>
      <c r="X89" s="298">
        <f t="shared" si="11"/>
        <v>1.1966719684393537E-2</v>
      </c>
      <c r="Y89" s="298">
        <f t="shared" si="11"/>
        <v>1.0321151362795845E-3</v>
      </c>
      <c r="Z89" s="298">
        <f t="shared" si="11"/>
        <v>9.1717467938323498E-4</v>
      </c>
      <c r="AA89" s="298">
        <f t="shared" si="11"/>
        <v>7.6025540382500728E-2</v>
      </c>
      <c r="AB89" s="298">
        <f t="shared" si="11"/>
        <v>1.2306231576078146E-2</v>
      </c>
      <c r="AC89" s="298">
        <f t="shared" si="11"/>
        <v>2.9406639643161442E-4</v>
      </c>
      <c r="AD89" s="298">
        <f t="shared" si="11"/>
        <v>5.6476748415221357E-5</v>
      </c>
      <c r="AE89" s="298">
        <f t="shared" si="12"/>
        <v>0.10259832460348207</v>
      </c>
    </row>
    <row r="90" spans="3:31">
      <c r="N90" s="311" t="s">
        <v>125</v>
      </c>
      <c r="O90" s="312">
        <v>125160635.43360004</v>
      </c>
      <c r="P90" s="313">
        <f t="shared" si="9"/>
        <v>125.16063543360004</v>
      </c>
      <c r="T90" t="s">
        <v>92</v>
      </c>
      <c r="U90" s="106">
        <f t="shared" si="10"/>
        <v>734.35812613500002</v>
      </c>
      <c r="W90" t="s">
        <v>92</v>
      </c>
      <c r="X90" s="298">
        <f t="shared" si="11"/>
        <v>9.3826887878236658E-3</v>
      </c>
      <c r="Y90" s="298">
        <f t="shared" si="11"/>
        <v>0</v>
      </c>
      <c r="Z90" s="298">
        <f t="shared" si="11"/>
        <v>1.0580618278773931E-3</v>
      </c>
      <c r="AA90" s="298">
        <f t="shared" si="11"/>
        <v>0.11395136962637381</v>
      </c>
      <c r="AB90" s="298">
        <f t="shared" si="11"/>
        <v>1.1169304998368431E-2</v>
      </c>
      <c r="AC90" s="298">
        <f t="shared" si="11"/>
        <v>1.3180847354097899E-3</v>
      </c>
      <c r="AD90" s="298">
        <f t="shared" si="11"/>
        <v>6.250486704657959E-5</v>
      </c>
      <c r="AE90" s="298">
        <f t="shared" si="12"/>
        <v>0.13694201484289967</v>
      </c>
    </row>
    <row r="91" spans="3:31">
      <c r="N91" s="311" t="s">
        <v>118</v>
      </c>
      <c r="O91" s="312">
        <v>53036739.08199998</v>
      </c>
      <c r="P91" s="313">
        <f t="shared" si="9"/>
        <v>53.036739081999983</v>
      </c>
      <c r="T91" t="s">
        <v>100</v>
      </c>
      <c r="U91" s="106">
        <f t="shared" si="10"/>
        <v>333.43446410600012</v>
      </c>
      <c r="W91" t="s">
        <v>100</v>
      </c>
      <c r="X91" s="298">
        <f t="shared" si="11"/>
        <v>8.4517646806162687E-3</v>
      </c>
      <c r="Y91" s="298">
        <f t="shared" si="11"/>
        <v>0</v>
      </c>
      <c r="Z91" s="298">
        <f t="shared" si="11"/>
        <v>8.6414062242691156E-4</v>
      </c>
      <c r="AA91" s="298">
        <f t="shared" si="11"/>
        <v>4.0251562505094367E-2</v>
      </c>
      <c r="AB91" s="298">
        <f t="shared" si="11"/>
        <v>1.8882309286362295E-2</v>
      </c>
      <c r="AC91" s="298">
        <f t="shared" si="11"/>
        <v>1.3103196893986542E-4</v>
      </c>
      <c r="AD91" s="298">
        <f t="shared" si="11"/>
        <v>1.7911811919322752E-3</v>
      </c>
      <c r="AE91" s="298">
        <f t="shared" si="12"/>
        <v>7.0371990255371983E-2</v>
      </c>
    </row>
    <row r="92" spans="3:31">
      <c r="N92" t="s">
        <v>98</v>
      </c>
      <c r="O92" s="59">
        <v>570929487.82300019</v>
      </c>
      <c r="P92" s="313">
        <f t="shared" si="9"/>
        <v>570.92948782300016</v>
      </c>
      <c r="T92" t="s">
        <v>125</v>
      </c>
      <c r="U92" s="106">
        <f t="shared" si="10"/>
        <v>125.16063543360004</v>
      </c>
      <c r="W92" t="s">
        <v>830</v>
      </c>
      <c r="X92" s="298">
        <f t="shared" si="11"/>
        <v>8.2083664636413249E-3</v>
      </c>
      <c r="Y92" s="298">
        <f t="shared" si="11"/>
        <v>2.2349987694204681E-3</v>
      </c>
      <c r="Z92" s="298">
        <f t="shared" si="11"/>
        <v>2.2057414061922173E-2</v>
      </c>
      <c r="AA92" s="298">
        <f t="shared" si="11"/>
        <v>0.23729464521784241</v>
      </c>
      <c r="AB92" s="298">
        <f t="shared" si="11"/>
        <v>1.0502919382452137E-2</v>
      </c>
      <c r="AC92" s="298">
        <f t="shared" si="11"/>
        <v>1.3078387016612816E-3</v>
      </c>
      <c r="AD92" s="298">
        <f t="shared" si="11"/>
        <v>2.709726694051208E-3</v>
      </c>
      <c r="AE92" s="298">
        <f t="shared" si="12"/>
        <v>0.28431590929099104</v>
      </c>
    </row>
    <row r="93" spans="3:31">
      <c r="N93" t="s">
        <v>103</v>
      </c>
      <c r="O93" s="59">
        <v>245353161.73799995</v>
      </c>
      <c r="P93" s="313">
        <f t="shared" si="9"/>
        <v>245.35316173799995</v>
      </c>
      <c r="T93" t="s">
        <v>98</v>
      </c>
      <c r="U93" s="106">
        <f t="shared" si="10"/>
        <v>570.92948782300016</v>
      </c>
      <c r="W93" t="s">
        <v>827</v>
      </c>
      <c r="X93" s="298">
        <f t="shared" si="11"/>
        <v>5.8586006261070285E-3</v>
      </c>
      <c r="Y93" s="298">
        <f t="shared" si="11"/>
        <v>6.4659412349475697E-4</v>
      </c>
      <c r="Z93" s="298">
        <f t="shared" si="11"/>
        <v>3.2090383731376492E-3</v>
      </c>
      <c r="AA93" s="298">
        <f t="shared" si="11"/>
        <v>8.5550641622242726E-2</v>
      </c>
      <c r="AB93" s="298">
        <f t="shared" si="11"/>
        <v>6.4545830570794816E-3</v>
      </c>
      <c r="AC93" s="298">
        <f t="shared" si="11"/>
        <v>4.6496976559247151E-3</v>
      </c>
      <c r="AD93" s="298">
        <f t="shared" si="11"/>
        <v>4.2509698859200926E-5</v>
      </c>
      <c r="AE93" s="298">
        <f t="shared" si="12"/>
        <v>0.10641166515684555</v>
      </c>
    </row>
    <row r="94" spans="3:31">
      <c r="N94" t="s">
        <v>813</v>
      </c>
      <c r="O94" s="59">
        <v>123989125.99999999</v>
      </c>
      <c r="P94" s="313">
        <f t="shared" si="9"/>
        <v>123.98912599999998</v>
      </c>
      <c r="T94" t="s">
        <v>103</v>
      </c>
      <c r="U94" s="106">
        <f t="shared" si="10"/>
        <v>245.35316173799995</v>
      </c>
      <c r="W94" t="s">
        <v>828</v>
      </c>
      <c r="X94" s="298">
        <f t="shared" si="11"/>
        <v>2.4185951411751219E-3</v>
      </c>
      <c r="Y94" s="298">
        <f t="shared" si="11"/>
        <v>0</v>
      </c>
      <c r="Z94" s="298">
        <f t="shared" si="11"/>
        <v>3.4604751097623222E-3</v>
      </c>
      <c r="AA94" s="298">
        <f t="shared" si="11"/>
        <v>7.1137097709940228E-2</v>
      </c>
      <c r="AB94" s="298">
        <f t="shared" si="11"/>
        <v>6.1675973159454021E-3</v>
      </c>
      <c r="AC94" s="298">
        <f t="shared" si="11"/>
        <v>3.4886927742758668E-4</v>
      </c>
      <c r="AD94" s="298">
        <f t="shared" si="11"/>
        <v>0</v>
      </c>
      <c r="AE94" s="298">
        <f t="shared" si="12"/>
        <v>8.3532634554250668E-2</v>
      </c>
    </row>
    <row r="95" spans="3:31">
      <c r="N95" t="s">
        <v>108</v>
      </c>
      <c r="O95" s="59">
        <v>442224054.61000007</v>
      </c>
      <c r="P95" s="313">
        <f t="shared" si="9"/>
        <v>442.22405461000005</v>
      </c>
      <c r="T95" t="s">
        <v>108</v>
      </c>
      <c r="U95" s="106">
        <f t="shared" si="10"/>
        <v>442.22405461000005</v>
      </c>
      <c r="W95" t="s">
        <v>108</v>
      </c>
      <c r="X95" s="298">
        <f t="shared" si="11"/>
        <v>1.1166360976955992E-2</v>
      </c>
      <c r="Y95" s="298">
        <f t="shared" si="11"/>
        <v>2.513828131917814E-5</v>
      </c>
      <c r="Z95" s="298">
        <f t="shared" si="11"/>
        <v>2.1770260057565527E-3</v>
      </c>
      <c r="AA95" s="298">
        <f t="shared" si="11"/>
        <v>0.10859586507862026</v>
      </c>
      <c r="AB95" s="298">
        <f t="shared" si="11"/>
        <v>9.0476394856952146E-3</v>
      </c>
      <c r="AC95" s="298">
        <f t="shared" si="11"/>
        <v>1.4514888282524259E-2</v>
      </c>
      <c r="AD95" s="298">
        <f t="shared" si="11"/>
        <v>0</v>
      </c>
      <c r="AE95" s="298">
        <f t="shared" si="12"/>
        <v>0.14552691811087146</v>
      </c>
    </row>
    <row r="96" spans="3:31">
      <c r="N96" t="s">
        <v>106</v>
      </c>
      <c r="O96" s="59">
        <v>3349273647.9583602</v>
      </c>
      <c r="P96" s="313">
        <f t="shared" si="9"/>
        <v>3349.27364795836</v>
      </c>
    </row>
    <row r="97" spans="24:31">
      <c r="X97" s="299"/>
      <c r="Y97" s="299"/>
      <c r="Z97" s="299"/>
      <c r="AA97" s="299"/>
      <c r="AB97" s="299"/>
      <c r="AC97" s="299"/>
      <c r="AD97" s="299"/>
      <c r="AE97" s="299"/>
    </row>
  </sheetData>
  <mergeCells count="5">
    <mergeCell ref="G56:I56"/>
    <mergeCell ref="J56:M56"/>
    <mergeCell ref="N56:O56"/>
    <mergeCell ref="Q56:R56"/>
    <mergeCell ref="U56:V56"/>
  </mergeCells>
  <pageMargins left="0.7" right="0.7" top="0.75" bottom="0.75" header="0.3" footer="0.3"/>
  <pageSetup orientation="portrait" r:id="rId1"/>
  <legacyDrawing r:id="rId2"/>
</worksheet>
</file>

<file path=xl/worksheets/sheet13.xml><?xml version="1.0" encoding="utf-8"?>
<worksheet xmlns="http://schemas.openxmlformats.org/spreadsheetml/2006/main" xmlns:r="http://schemas.openxmlformats.org/officeDocument/2006/relationships">
  <sheetPr>
    <tabColor rgb="FFFFFF00"/>
  </sheetPr>
  <dimension ref="A1:CW79"/>
  <sheetViews>
    <sheetView topLeftCell="J31" workbookViewId="0">
      <selection activeCell="U33" sqref="U33"/>
    </sheetView>
  </sheetViews>
  <sheetFormatPr defaultRowHeight="12.75"/>
  <cols>
    <col min="1" max="1" width="11.42578125" customWidth="1"/>
    <col min="4" max="4" width="8.5703125" customWidth="1"/>
    <col min="9" max="9" width="18.5703125" customWidth="1"/>
    <col min="10" max="10" width="13.5703125" customWidth="1"/>
    <col min="11" max="12" width="11.42578125" customWidth="1"/>
    <col min="13" max="13" width="39.140625" customWidth="1"/>
    <col min="14" max="14" width="12" customWidth="1"/>
    <col min="15" max="15" width="12.7109375" customWidth="1"/>
    <col min="16" max="17" width="13.85546875" customWidth="1"/>
    <col min="18" max="18" width="19.28515625" customWidth="1"/>
    <col min="19" max="19" width="13.42578125" customWidth="1"/>
    <col min="20" max="20" width="14.140625" customWidth="1"/>
    <col min="21" max="21" width="13.85546875" customWidth="1"/>
    <col min="22" max="22" width="17.42578125" customWidth="1"/>
    <col min="23" max="23" width="14.140625" customWidth="1"/>
    <col min="24" max="24" width="19.7109375" customWidth="1"/>
    <col min="26" max="26" width="18" customWidth="1"/>
    <col min="27" max="28" width="13.85546875" customWidth="1"/>
    <col min="29" max="29" width="46.7109375" customWidth="1"/>
    <col min="30" max="30" width="13.140625" customWidth="1"/>
    <col min="31" max="31" width="11.85546875" customWidth="1"/>
    <col min="32" max="32" width="16.85546875" customWidth="1"/>
    <col min="33" max="34" width="14.85546875" customWidth="1"/>
    <col min="35" max="35" width="27.5703125" customWidth="1"/>
    <col min="36" max="36" width="22.7109375" customWidth="1"/>
    <col min="38" max="38" width="11.7109375" customWidth="1"/>
    <col min="39" max="39" width="16.28515625" customWidth="1"/>
    <col min="40" max="40" width="29.5703125" customWidth="1"/>
    <col min="41" max="41" width="12.42578125" customWidth="1"/>
    <col min="42" max="42" width="8.42578125" customWidth="1"/>
    <col min="43" max="43" width="43.5703125" customWidth="1"/>
    <col min="44" max="44" width="15.5703125" customWidth="1"/>
    <col min="45" max="45" width="14.7109375" customWidth="1"/>
    <col min="46" max="46" width="58.5703125" customWidth="1"/>
    <col min="47" max="48" width="9.42578125" customWidth="1"/>
    <col min="49" max="49" width="9.85546875" customWidth="1"/>
    <col min="50" max="50" width="11.140625" customWidth="1"/>
    <col min="51" max="51" width="8.28515625" customWidth="1"/>
    <col min="52" max="52" width="12.140625" customWidth="1"/>
    <col min="53" max="53" width="12" customWidth="1"/>
    <col min="54" max="54" width="9.7109375" customWidth="1"/>
    <col min="55" max="55" width="12.28515625" customWidth="1"/>
    <col min="56" max="56" width="9.85546875" customWidth="1"/>
    <col min="57" max="57" width="14.140625" customWidth="1"/>
    <col min="58" max="58" width="13.140625" customWidth="1"/>
    <col min="59" max="59" width="10.7109375" customWidth="1"/>
    <col min="60" max="61" width="9.85546875" customWidth="1"/>
    <col min="62" max="62" width="7.7109375" customWidth="1"/>
    <col min="63" max="63" width="7.85546875" customWidth="1"/>
    <col min="64" max="64" width="7.5703125" customWidth="1"/>
    <col min="65" max="65" width="7.7109375" customWidth="1"/>
    <col min="66" max="66" width="10.28515625" customWidth="1"/>
    <col min="67" max="67" width="10.42578125" customWidth="1"/>
    <col min="68" max="68" width="9.28515625" customWidth="1"/>
    <col min="69" max="69" width="11.28515625" customWidth="1"/>
    <col min="70" max="70" width="8.28515625" customWidth="1"/>
    <col min="71" max="71" width="8" customWidth="1"/>
    <col min="73" max="73" width="8.28515625" customWidth="1"/>
    <col min="74" max="74" width="26" customWidth="1"/>
    <col min="75" max="75" width="12.42578125" customWidth="1"/>
    <col min="76" max="76" width="9.140625" customWidth="1"/>
    <col min="80" max="80" width="38.42578125" customWidth="1"/>
    <col min="81" max="81" width="13.85546875" customWidth="1"/>
    <col min="83" max="83" width="17.7109375" customWidth="1"/>
    <col min="84" max="84" width="14.28515625" customWidth="1"/>
    <col min="90" max="90" width="12.85546875" bestFit="1" customWidth="1"/>
    <col min="91" max="94" width="12.85546875" customWidth="1"/>
    <col min="99" max="99" width="10.140625" customWidth="1"/>
    <col min="101" max="101" width="12.42578125" customWidth="1"/>
  </cols>
  <sheetData>
    <row r="1" spans="1:101">
      <c r="P1" s="125"/>
      <c r="Q1" s="125"/>
      <c r="R1" s="125"/>
      <c r="S1" s="126" t="s">
        <v>245</v>
      </c>
      <c r="T1" s="133">
        <f>[3]Efficacy!$R$25/[3]Efficacy!$U$25</f>
        <v>0.86734693877551017</v>
      </c>
      <c r="AF1" s="47"/>
      <c r="AG1" s="47"/>
      <c r="AH1" s="47"/>
      <c r="AI1" s="48"/>
    </row>
    <row r="2" spans="1:101">
      <c r="P2" s="125"/>
      <c r="Q2" s="125"/>
      <c r="R2" s="125"/>
      <c r="S2" s="126" t="s">
        <v>253</v>
      </c>
      <c r="T2" s="133">
        <f>[3]Efficacy!$R$16/[3]Efficacy!$U$16</f>
        <v>0.82666666666666666</v>
      </c>
      <c r="AF2" s="47"/>
      <c r="AG2" s="47"/>
      <c r="AH2" s="47"/>
      <c r="AI2" s="48"/>
    </row>
    <row r="3" spans="1:101">
      <c r="P3" s="125"/>
      <c r="Q3" s="125"/>
      <c r="R3" s="125"/>
      <c r="S3" s="126" t="s">
        <v>288</v>
      </c>
      <c r="T3" s="133">
        <f>[3]Efficacy!$R$8/[3]Efficacy!$U$8</f>
        <v>0.84444444444444444</v>
      </c>
      <c r="AF3" s="47"/>
      <c r="AG3" s="47"/>
      <c r="AH3" s="47"/>
      <c r="AI3" s="48"/>
      <c r="BM3" s="160" t="s">
        <v>325</v>
      </c>
      <c r="BN3" s="47">
        <v>100</v>
      </c>
      <c r="BO3" s="47" t="s">
        <v>326</v>
      </c>
      <c r="BP3" t="s">
        <v>329</v>
      </c>
    </row>
    <row r="4" spans="1:101">
      <c r="O4" s="127"/>
      <c r="P4" s="127"/>
      <c r="Q4" s="127"/>
      <c r="R4" s="120" t="s">
        <v>251</v>
      </c>
      <c r="S4" s="132">
        <f>[3]Prices!$U$21</f>
        <v>0.81005788606478368</v>
      </c>
      <c r="T4" s="122"/>
      <c r="AF4" s="47"/>
      <c r="AG4" s="47"/>
      <c r="AH4" s="47"/>
      <c r="AI4" s="48"/>
      <c r="BM4" s="160" t="s">
        <v>327</v>
      </c>
      <c r="BN4" s="47">
        <v>30</v>
      </c>
      <c r="BO4" s="47" t="s">
        <v>326</v>
      </c>
      <c r="BP4" t="s">
        <v>329</v>
      </c>
    </row>
    <row r="5" spans="1:101">
      <c r="O5" s="127"/>
      <c r="P5" s="127"/>
      <c r="Q5" s="127"/>
      <c r="R5" s="120" t="s">
        <v>252</v>
      </c>
      <c r="S5" s="132">
        <f>[3]Prices!$U$22</f>
        <v>0.61169856272276224</v>
      </c>
      <c r="T5" s="122"/>
      <c r="AF5" s="47"/>
      <c r="AG5" s="47"/>
      <c r="AH5" s="47"/>
      <c r="AI5" s="48"/>
      <c r="BM5" s="160" t="s">
        <v>328</v>
      </c>
      <c r="BN5" s="47">
        <f>SUM(BN3:BN4)</f>
        <v>130</v>
      </c>
      <c r="BO5" s="47" t="s">
        <v>326</v>
      </c>
      <c r="BP5" t="s">
        <v>329</v>
      </c>
    </row>
    <row r="6" spans="1:101">
      <c r="O6" s="122"/>
      <c r="P6" s="122"/>
      <c r="Q6" s="122"/>
      <c r="R6" s="121"/>
      <c r="S6" s="148"/>
      <c r="T6" s="122"/>
      <c r="AF6" s="47"/>
      <c r="AG6" s="47"/>
      <c r="AH6" s="47"/>
      <c r="AI6" s="48"/>
    </row>
    <row r="7" spans="1:101">
      <c r="O7" s="122"/>
      <c r="P7" s="122"/>
      <c r="Q7" s="122"/>
      <c r="R7" s="121"/>
      <c r="S7" s="122"/>
      <c r="T7" s="122"/>
      <c r="AF7" s="47"/>
      <c r="AG7" s="47"/>
      <c r="AH7" s="47"/>
      <c r="AI7" s="48"/>
      <c r="CA7" s="141"/>
      <c r="CB7" s="141"/>
      <c r="CC7" s="141"/>
      <c r="CD7" s="141"/>
      <c r="CE7" s="141"/>
      <c r="CF7" s="141"/>
      <c r="CG7" s="141"/>
    </row>
    <row r="8" spans="1:101">
      <c r="P8" s="119" t="s">
        <v>225</v>
      </c>
      <c r="Q8">
        <f>0.974</f>
        <v>0.97399999999999998</v>
      </c>
      <c r="AF8" s="47"/>
      <c r="AG8" s="47"/>
      <c r="AH8" s="47"/>
      <c r="AI8" s="48"/>
    </row>
    <row r="9" spans="1:101">
      <c r="P9" s="119" t="s">
        <v>287</v>
      </c>
      <c r="Q9">
        <v>1.107</v>
      </c>
      <c r="AF9" s="47"/>
      <c r="AG9" s="47"/>
      <c r="AH9" s="47"/>
      <c r="AI9" s="48"/>
      <c r="AM9">
        <f>COLUMN()</f>
        <v>39</v>
      </c>
      <c r="AN9">
        <f>COLUMN()</f>
        <v>40</v>
      </c>
      <c r="AO9">
        <f>COLUMN()</f>
        <v>41</v>
      </c>
      <c r="AP9">
        <f>COLUMN()</f>
        <v>42</v>
      </c>
      <c r="AQ9">
        <f>COLUMN()</f>
        <v>43</v>
      </c>
      <c r="AR9">
        <f>COLUMN()</f>
        <v>44</v>
      </c>
      <c r="AS9">
        <f>COLUMN()</f>
        <v>45</v>
      </c>
      <c r="AT9">
        <f>COLUMN()</f>
        <v>46</v>
      </c>
      <c r="AU9">
        <f>COLUMN()</f>
        <v>47</v>
      </c>
      <c r="AV9">
        <f>COLUMN()</f>
        <v>48</v>
      </c>
      <c r="AW9">
        <f>COLUMN()</f>
        <v>49</v>
      </c>
      <c r="AX9">
        <f>COLUMN()</f>
        <v>50</v>
      </c>
      <c r="AY9">
        <f>COLUMN()</f>
        <v>51</v>
      </c>
      <c r="AZ9">
        <f>COLUMN()</f>
        <v>52</v>
      </c>
      <c r="BA9">
        <f>COLUMN()</f>
        <v>53</v>
      </c>
      <c r="BB9">
        <f>COLUMN()</f>
        <v>54</v>
      </c>
      <c r="BC9">
        <f>COLUMN()</f>
        <v>55</v>
      </c>
      <c r="BD9">
        <f>COLUMN()</f>
        <v>56</v>
      </c>
      <c r="BE9">
        <f>COLUMN()</f>
        <v>57</v>
      </c>
      <c r="BF9">
        <f>COLUMN()</f>
        <v>58</v>
      </c>
      <c r="BG9">
        <f>COLUMN()</f>
        <v>59</v>
      </c>
      <c r="BH9">
        <f>COLUMN()</f>
        <v>60</v>
      </c>
      <c r="BI9">
        <f>COLUMN()</f>
        <v>61</v>
      </c>
      <c r="BJ9">
        <f>COLUMN()</f>
        <v>62</v>
      </c>
      <c r="BK9">
        <f>COLUMN()</f>
        <v>63</v>
      </c>
      <c r="BL9">
        <f>COLUMN()</f>
        <v>64</v>
      </c>
      <c r="BM9">
        <f>COLUMN()</f>
        <v>65</v>
      </c>
      <c r="BN9">
        <f>COLUMN()</f>
        <v>66</v>
      </c>
      <c r="BO9">
        <f>COLUMN()</f>
        <v>67</v>
      </c>
      <c r="BP9">
        <f>COLUMN()</f>
        <v>68</v>
      </c>
      <c r="BQ9">
        <f>COLUMN()</f>
        <v>69</v>
      </c>
      <c r="BR9">
        <f>COLUMN()</f>
        <v>70</v>
      </c>
      <c r="BS9">
        <f>COLUMN()</f>
        <v>71</v>
      </c>
      <c r="BT9">
        <f>COLUMN()</f>
        <v>72</v>
      </c>
      <c r="BU9">
        <f>COLUMN()</f>
        <v>73</v>
      </c>
      <c r="BV9">
        <f>COLUMN()</f>
        <v>74</v>
      </c>
      <c r="BW9">
        <f>COLUMN()</f>
        <v>75</v>
      </c>
      <c r="BX9">
        <f>COLUMN()</f>
        <v>76</v>
      </c>
      <c r="BY9">
        <f>COLUMN()</f>
        <v>77</v>
      </c>
      <c r="BZ9">
        <f>COLUMN()</f>
        <v>78</v>
      </c>
      <c r="CA9">
        <f>COLUMN()</f>
        <v>79</v>
      </c>
      <c r="CB9">
        <f>COLUMN()</f>
        <v>80</v>
      </c>
      <c r="CC9">
        <f>COLUMN()</f>
        <v>81</v>
      </c>
      <c r="CD9">
        <f>COLUMN()</f>
        <v>82</v>
      </c>
      <c r="CE9">
        <f>COLUMN()</f>
        <v>83</v>
      </c>
      <c r="CF9">
        <f>COLUMN()</f>
        <v>84</v>
      </c>
      <c r="CG9">
        <f>COLUMN()</f>
        <v>85</v>
      </c>
      <c r="CH9">
        <f>COLUMN()</f>
        <v>86</v>
      </c>
      <c r="CI9">
        <f>COLUMN()</f>
        <v>87</v>
      </c>
      <c r="CJ9">
        <f>COLUMN()</f>
        <v>88</v>
      </c>
      <c r="CK9">
        <f>COLUMN()</f>
        <v>89</v>
      </c>
      <c r="CL9">
        <f>COLUMN()</f>
        <v>90</v>
      </c>
      <c r="CM9">
        <f>COLUMN()</f>
        <v>91</v>
      </c>
      <c r="CN9">
        <f>COLUMN()</f>
        <v>92</v>
      </c>
      <c r="CO9">
        <f>COLUMN()</f>
        <v>93</v>
      </c>
      <c r="CP9">
        <f>COLUMN()</f>
        <v>94</v>
      </c>
      <c r="CQ9">
        <f>COLUMN()</f>
        <v>95</v>
      </c>
      <c r="CR9">
        <f>COLUMN()</f>
        <v>96</v>
      </c>
      <c r="CS9">
        <f>COLUMN()</f>
        <v>97</v>
      </c>
      <c r="CT9">
        <f>COLUMN()</f>
        <v>98</v>
      </c>
      <c r="CU9">
        <f>COLUMN()</f>
        <v>99</v>
      </c>
      <c r="CV9">
        <f>COLUMN()</f>
        <v>100</v>
      </c>
    </row>
    <row r="10" spans="1:101">
      <c r="A10" s="146" t="s">
        <v>178</v>
      </c>
      <c r="P10" s="119" t="s">
        <v>224</v>
      </c>
      <c r="AW10" t="s">
        <v>316</v>
      </c>
      <c r="BC10" t="s">
        <v>318</v>
      </c>
      <c r="BH10" t="s">
        <v>319</v>
      </c>
      <c r="BL10" t="s">
        <v>337</v>
      </c>
      <c r="BR10" t="s">
        <v>365</v>
      </c>
      <c r="BV10" t="s">
        <v>367</v>
      </c>
      <c r="BX10" s="233" t="s">
        <v>686</v>
      </c>
      <c r="BY10" s="233"/>
      <c r="BZ10" s="233"/>
      <c r="CA10" s="233"/>
      <c r="CB10" s="233"/>
      <c r="CC10" s="233"/>
      <c r="CD10" s="233"/>
      <c r="CE10" s="233"/>
      <c r="CF10" s="233"/>
      <c r="CG10" s="233"/>
      <c r="CH10" s="233"/>
      <c r="CI10" s="233"/>
      <c r="CJ10" s="233"/>
      <c r="CK10" s="233"/>
      <c r="CL10" s="233"/>
      <c r="CM10" s="233"/>
      <c r="CN10" s="233"/>
      <c r="CO10" s="233"/>
      <c r="CP10" s="233"/>
      <c r="CQ10" s="233"/>
      <c r="CR10" s="233"/>
      <c r="CS10" s="233"/>
      <c r="CT10" s="233"/>
      <c r="CU10" s="233"/>
      <c r="CV10" s="233"/>
    </row>
    <row r="11" spans="1:101" ht="76.5">
      <c r="A11" s="58" t="s">
        <v>370</v>
      </c>
      <c r="D11" s="230" t="s">
        <v>667</v>
      </c>
      <c r="E11" s="230" t="s">
        <v>668</v>
      </c>
      <c r="I11" s="146" t="s">
        <v>176</v>
      </c>
      <c r="Z11" s="146" t="s">
        <v>177</v>
      </c>
      <c r="AM11" s="146" t="s">
        <v>281</v>
      </c>
      <c r="AO11" s="146"/>
      <c r="AU11" s="152" t="s">
        <v>320</v>
      </c>
      <c r="AV11" s="156" t="s">
        <v>216</v>
      </c>
      <c r="AW11" s="154" t="s">
        <v>222</v>
      </c>
      <c r="AX11" s="154" t="s">
        <v>240</v>
      </c>
      <c r="AY11" s="154"/>
      <c r="AZ11" s="153"/>
      <c r="BA11" s="153"/>
      <c r="BB11" s="153"/>
      <c r="BC11" s="154" t="s">
        <v>238</v>
      </c>
      <c r="BD11" s="154" t="s">
        <v>239</v>
      </c>
      <c r="BE11" s="154" t="s">
        <v>238</v>
      </c>
      <c r="BF11" s="154" t="s">
        <v>239</v>
      </c>
      <c r="BH11" s="154" t="s">
        <v>208</v>
      </c>
      <c r="BI11" s="154" t="s">
        <v>208</v>
      </c>
      <c r="BR11" s="168" t="s">
        <v>366</v>
      </c>
      <c r="CB11" s="154" t="s">
        <v>300</v>
      </c>
      <c r="CH11" s="154" t="s">
        <v>687</v>
      </c>
      <c r="CJ11" s="154"/>
      <c r="CQ11" s="330">
        <f>'Watt Allocation'!$E$58*1000</f>
        <v>169.30453701583696</v>
      </c>
      <c r="CR11" s="330"/>
      <c r="CS11" s="330"/>
      <c r="CT11" s="330"/>
      <c r="CU11" s="330"/>
      <c r="CV11" s="330"/>
      <c r="CW11" s="118">
        <f>3300000</f>
        <v>3300000</v>
      </c>
    </row>
    <row r="12" spans="1:101" ht="63.75">
      <c r="A12" s="82" t="s">
        <v>152</v>
      </c>
      <c r="B12" s="82" t="s">
        <v>155</v>
      </c>
      <c r="C12" s="82" t="s">
        <v>143</v>
      </c>
      <c r="D12" s="82" t="s">
        <v>144</v>
      </c>
      <c r="E12" s="82" t="s">
        <v>147</v>
      </c>
      <c r="F12" s="82" t="s">
        <v>145</v>
      </c>
      <c r="G12" s="82" t="s">
        <v>146</v>
      </c>
      <c r="I12" s="82" t="s">
        <v>180</v>
      </c>
      <c r="J12" s="82" t="s">
        <v>179</v>
      </c>
      <c r="K12" s="82" t="s">
        <v>183</v>
      </c>
      <c r="L12" s="82" t="s">
        <v>222</v>
      </c>
      <c r="M12" s="82" t="s">
        <v>163</v>
      </c>
      <c r="N12" s="82" t="s">
        <v>216</v>
      </c>
      <c r="O12" s="82" t="s">
        <v>207</v>
      </c>
      <c r="P12" s="82" t="s">
        <v>235</v>
      </c>
      <c r="Q12" s="82" t="s">
        <v>223</v>
      </c>
      <c r="R12" s="82" t="s">
        <v>238</v>
      </c>
      <c r="S12" s="82" t="s">
        <v>239</v>
      </c>
      <c r="T12" s="82" t="s">
        <v>240</v>
      </c>
      <c r="U12" s="82" t="s">
        <v>208</v>
      </c>
      <c r="V12" s="82" t="s">
        <v>164</v>
      </c>
      <c r="W12" s="82" t="s">
        <v>165</v>
      </c>
      <c r="X12" s="82" t="s">
        <v>171</v>
      </c>
      <c r="Z12" s="116" t="s">
        <v>203</v>
      </c>
      <c r="AA12" s="116" t="s">
        <v>183</v>
      </c>
      <c r="AB12" s="82" t="s">
        <v>222</v>
      </c>
      <c r="AC12" s="116" t="s">
        <v>204</v>
      </c>
      <c r="AD12" s="116" t="s">
        <v>216</v>
      </c>
      <c r="AE12" s="82" t="s">
        <v>207</v>
      </c>
      <c r="AF12" s="82" t="s">
        <v>235</v>
      </c>
      <c r="AG12" s="82" t="s">
        <v>238</v>
      </c>
      <c r="AH12" s="82" t="s">
        <v>208</v>
      </c>
      <c r="AI12" s="116" t="s">
        <v>164</v>
      </c>
      <c r="AJ12" s="116" t="s">
        <v>165</v>
      </c>
      <c r="AK12" s="116" t="s">
        <v>171</v>
      </c>
      <c r="AM12" s="116" t="s">
        <v>862</v>
      </c>
      <c r="AN12" s="116" t="s">
        <v>300</v>
      </c>
      <c r="AO12" s="116" t="s">
        <v>302</v>
      </c>
      <c r="AP12" s="116" t="s">
        <v>42</v>
      </c>
      <c r="AQ12" s="116" t="s">
        <v>301</v>
      </c>
      <c r="AR12" s="116" t="s">
        <v>298</v>
      </c>
      <c r="AS12" s="116" t="s">
        <v>299</v>
      </c>
      <c r="AT12" s="151" t="s">
        <v>23</v>
      </c>
      <c r="AU12" s="151" t="s">
        <v>305</v>
      </c>
      <c r="AV12" s="151" t="s">
        <v>317</v>
      </c>
      <c r="AW12" s="151" t="s">
        <v>306</v>
      </c>
      <c r="AX12" s="151" t="s">
        <v>307</v>
      </c>
      <c r="AY12" s="151" t="s">
        <v>311</v>
      </c>
      <c r="AZ12" s="151" t="s">
        <v>308</v>
      </c>
      <c r="BA12" s="151" t="s">
        <v>309</v>
      </c>
      <c r="BB12" s="151" t="s">
        <v>310</v>
      </c>
      <c r="BC12" s="151" t="s">
        <v>312</v>
      </c>
      <c r="BD12" s="151" t="s">
        <v>313</v>
      </c>
      <c r="BE12" s="151" t="s">
        <v>314</v>
      </c>
      <c r="BF12" s="151" t="s">
        <v>315</v>
      </c>
      <c r="BG12" s="151" t="s">
        <v>334</v>
      </c>
      <c r="BH12" s="151" t="s">
        <v>321</v>
      </c>
      <c r="BI12" s="151" t="s">
        <v>322</v>
      </c>
      <c r="BJ12" s="151" t="s">
        <v>323</v>
      </c>
      <c r="BK12" s="151" t="s">
        <v>324</v>
      </c>
      <c r="BL12" s="151" t="s">
        <v>330</v>
      </c>
      <c r="BM12" s="151" t="s">
        <v>331</v>
      </c>
      <c r="BN12" s="151" t="s">
        <v>332</v>
      </c>
      <c r="BO12" s="151" t="s">
        <v>333</v>
      </c>
      <c r="BP12" s="151" t="s">
        <v>335</v>
      </c>
      <c r="BQ12" s="151" t="s">
        <v>336</v>
      </c>
      <c r="BR12" s="151" t="s">
        <v>339</v>
      </c>
      <c r="BS12" s="151" t="s">
        <v>338</v>
      </c>
      <c r="BT12" s="151" t="s">
        <v>341</v>
      </c>
      <c r="BU12" s="151" t="s">
        <v>340</v>
      </c>
      <c r="BV12" s="151" t="s">
        <v>28</v>
      </c>
      <c r="BW12" s="151" t="s">
        <v>369</v>
      </c>
      <c r="BX12" s="232" t="s">
        <v>669</v>
      </c>
      <c r="BY12" s="232" t="s">
        <v>685</v>
      </c>
      <c r="BZ12" s="232" t="s">
        <v>684</v>
      </c>
      <c r="CA12" s="232" t="s">
        <v>311</v>
      </c>
      <c r="CB12" s="232" t="str">
        <f t="shared" ref="CB12" si="0">AN12</f>
        <v>Application</v>
      </c>
      <c r="CC12" s="232" t="str">
        <f t="shared" ref="CC12:CC36" si="1">AO12</f>
        <v>Reference Fixture</v>
      </c>
      <c r="CD12" s="232" t="str">
        <f t="shared" ref="CD12:CD36" si="2">AP12</f>
        <v>MOPP</v>
      </c>
      <c r="CE12" s="232" t="s">
        <v>863</v>
      </c>
      <c r="CF12" s="232" t="s">
        <v>865</v>
      </c>
      <c r="CG12" s="232" t="s">
        <v>870</v>
      </c>
      <c r="CH12" s="232" t="s">
        <v>867</v>
      </c>
      <c r="CI12" s="232" t="s">
        <v>868</v>
      </c>
      <c r="CJ12" s="232" t="s">
        <v>869</v>
      </c>
      <c r="CK12" s="232" t="s">
        <v>871</v>
      </c>
      <c r="CL12" s="232" t="s">
        <v>874</v>
      </c>
      <c r="CM12" s="232" t="s">
        <v>875</v>
      </c>
      <c r="CN12" s="232" t="s">
        <v>876</v>
      </c>
      <c r="CO12" s="232" t="s">
        <v>877</v>
      </c>
      <c r="CP12" s="232" t="s">
        <v>878</v>
      </c>
      <c r="CQ12" s="232" t="s">
        <v>929</v>
      </c>
      <c r="CR12" s="232" t="s">
        <v>985</v>
      </c>
      <c r="CS12" s="232" t="s">
        <v>986</v>
      </c>
      <c r="CT12" s="232" t="s">
        <v>939</v>
      </c>
      <c r="CU12" s="232"/>
      <c r="CV12" s="232"/>
      <c r="CW12" t="s">
        <v>873</v>
      </c>
    </row>
    <row r="13" spans="1:101">
      <c r="A13" t="s">
        <v>153</v>
      </c>
      <c r="B13" t="s">
        <v>91</v>
      </c>
      <c r="C13">
        <v>250</v>
      </c>
      <c r="D13">
        <v>1.5</v>
      </c>
      <c r="E13">
        <v>0.33</v>
      </c>
      <c r="F13" s="60">
        <v>0.7</v>
      </c>
      <c r="G13" s="60">
        <v>0.77</v>
      </c>
      <c r="I13" t="s">
        <v>241</v>
      </c>
      <c r="P13" t="s">
        <v>242</v>
      </c>
      <c r="R13" t="s">
        <v>242</v>
      </c>
      <c r="S13" t="s">
        <v>242</v>
      </c>
      <c r="T13" t="s">
        <v>249</v>
      </c>
      <c r="Z13" t="s">
        <v>241</v>
      </c>
      <c r="AF13" t="s">
        <v>242</v>
      </c>
      <c r="AG13" t="s">
        <v>242</v>
      </c>
      <c r="AH13" s="105"/>
      <c r="AJ13" s="104"/>
      <c r="AM13" t="str">
        <f>CONCATENATE(AO13,"-",AP13)</f>
        <v>HPS 250W-New</v>
      </c>
      <c r="AN13" s="173" t="str">
        <f>$A$11</f>
        <v>Exterior Lighting: Parking Lot</v>
      </c>
      <c r="AO13" s="173" t="str">
        <f>I14</f>
        <v>HPS 250W</v>
      </c>
      <c r="AP13" s="173" t="s">
        <v>41</v>
      </c>
      <c r="AQ13" s="173" t="str">
        <f>CONCATENATE(AN13," - ",AO13," - ",AP13)</f>
        <v>Exterior Lighting: Parking Lot - HPS 250W - New</v>
      </c>
      <c r="AR13" s="173" t="str">
        <f>AO13</f>
        <v>HPS 250W</v>
      </c>
      <c r="AS13" s="173" t="str">
        <f>J14</f>
        <v>LED 135W</v>
      </c>
      <c r="AT13" s="173" t="str">
        <f>CONCATENATE(AN13," - ",AR13," to ",AS13," - ",AP13)</f>
        <v>Exterior Lighting: Parking Lot - HPS 250W to LED 135W - New</v>
      </c>
      <c r="AU13" s="174">
        <v>4300</v>
      </c>
      <c r="AV13" s="174">
        <f t="shared" ref="AV13:AV21" si="3">INDEX($K$14:$X$16,MATCH($AS13,$J$14:$J$16,0),MATCH(AV$11,$K$12:$X$12,0))</f>
        <v>12000</v>
      </c>
      <c r="AW13" s="173">
        <f t="shared" ref="AW13:AW21" si="4">INDEX($AA$14:$AK$16,MATCH(AR13,$Z$14:$Z$16,0),MATCH(AW$11,$AA$12:$AK$12,0))</f>
        <v>290</v>
      </c>
      <c r="AX13" s="175">
        <f t="shared" ref="AX13:AX21" si="5">INDEX($K$14:$X$16,MATCH(AS13,$J$14:$J$16,0),MATCH(AX$11,$K$12:$X$12,0))</f>
        <v>117.09183673469387</v>
      </c>
      <c r="AY13" s="176">
        <f>(AW13-AX13)/AW13</f>
        <v>0.59623504574243502</v>
      </c>
      <c r="AZ13" s="174">
        <f t="shared" ref="AZ13:AZ36" si="6">(AW13/1000)*AU13</f>
        <v>1247</v>
      </c>
      <c r="BA13" s="174">
        <f t="shared" ref="BA13:BA36" si="7">(AX13/1000)*AU13</f>
        <v>503.49489795918362</v>
      </c>
      <c r="BB13" s="157">
        <f>AZ13-BA13</f>
        <v>743.50510204081638</v>
      </c>
      <c r="BC13" s="180">
        <f t="shared" ref="BC13:BC21" si="8">INDEX($AA$19:$AK$21,MATCH($AR13,$Z$19:$Z$21,0),MATCH(BC$11,$AA$12:$AK$12,0))</f>
        <v>15</v>
      </c>
      <c r="BD13" s="173" t="s">
        <v>274</v>
      </c>
      <c r="BE13" s="177">
        <f>INDEX($AA$14:$AK$16,MATCH($AR13,$Z$14:$Z$16,0),MATCH(BE$11,$AA$12:$AK$12,0))</f>
        <v>160</v>
      </c>
      <c r="BF13" s="177">
        <f t="shared" ref="BF13:BF21" si="9">INDEX($K$14:$X$16,MATCH($AS13,$J$14:$J$16,0),MATCH(BF$11,$K$12:$X$12,0))</f>
        <v>243.0173658194351</v>
      </c>
      <c r="BG13" s="180">
        <f>IF(AP13="New",BF13-BE13,IF(AP13="NR",BF13-BC13,IF(AP13="Retro",BF13,"ERROR")))</f>
        <v>83.017365819435099</v>
      </c>
      <c r="BH13" s="174">
        <f t="shared" ref="BH13:BH21" si="10">INDEX($AA$14:$AK$16,MATCH($AR13,$Z$14:$Z$16,0),MATCH(BH$11,$AA$12:$AK$12,0))</f>
        <v>24000</v>
      </c>
      <c r="BI13" s="174">
        <f t="shared" ref="BI13:BI21" si="11">INDEX($K$14:$X$16,MATCH($AS13,$J$14:$J$16,0),MATCH(BI$11,$K$12:$X$12,0))</f>
        <v>50000</v>
      </c>
      <c r="BJ13" s="178">
        <f>BH13/AU13</f>
        <v>5.5813953488372094</v>
      </c>
      <c r="BK13" s="163">
        <f>BI13/AU13</f>
        <v>11.627906976744185</v>
      </c>
      <c r="BL13" s="179">
        <v>8.3333333333333329E-2</v>
      </c>
      <c r="BM13" s="173">
        <v>0.33</v>
      </c>
      <c r="BN13" s="180">
        <f>BL13*$BN$5</f>
        <v>10.833333333333332</v>
      </c>
      <c r="BO13" s="180">
        <f>BM13*$BN$5</f>
        <v>42.9</v>
      </c>
      <c r="BP13" s="177">
        <f>IF($AP13="New",0,IF($AP13="NR",BO13-BN13,IF($AP13="Retro",BO13,"ERROR")))</f>
        <v>0</v>
      </c>
      <c r="BQ13" s="186">
        <f>BP13+BG13</f>
        <v>83.017365819435099</v>
      </c>
      <c r="BR13" s="181">
        <f>BC13</f>
        <v>15</v>
      </c>
      <c r="BS13" s="181">
        <f>BN13</f>
        <v>10.833333333333332</v>
      </c>
      <c r="BT13" s="167">
        <f>BR13+BS13</f>
        <v>25.833333333333332</v>
      </c>
      <c r="BU13" s="163">
        <f>BJ13</f>
        <v>5.5813953488372094</v>
      </c>
      <c r="BV13" s="171" t="s">
        <v>368</v>
      </c>
      <c r="BW13" s="183" t="str">
        <f>IF($AP13="New","L",IF($AP13="NR","L",IF($AP13="Retro","R","ERROR")))</f>
        <v>L</v>
      </c>
      <c r="BX13" s="161">
        <f>BQ13/(AW13-AX13)</f>
        <v>0.48012403955766531</v>
      </c>
      <c r="BY13" s="110">
        <f>BQ13/AW13</f>
        <v>0.28626677868770722</v>
      </c>
      <c r="BZ13" s="155">
        <f>AX13/AW13</f>
        <v>0.40376495425756509</v>
      </c>
      <c r="CA13" s="155">
        <f>AY13</f>
        <v>0.59623504574243502</v>
      </c>
      <c r="CB13" t="str">
        <f>CONCATENATE(AN13," - ",AO13)</f>
        <v>Exterior Lighting: Parking Lot - HPS 250W</v>
      </c>
      <c r="CC13" t="str">
        <f t="shared" si="1"/>
        <v>HPS 250W</v>
      </c>
      <c r="CD13" t="str">
        <f t="shared" si="2"/>
        <v>New</v>
      </c>
      <c r="CE13" s="315" t="s">
        <v>972</v>
      </c>
      <c r="CF13" t="s">
        <v>91</v>
      </c>
      <c r="CG13" s="159">
        <f>VLOOKUP(CE13,Watt_Allocation,MATCH(CF13,'Watt Allocation'!$C$38:$K$38,0))</f>
        <v>71.095388052487294</v>
      </c>
      <c r="CH13" s="325">
        <f t="shared" ref="CH13:CH36" si="12">VLOOKUP(CONCATENATE(CC13,CE13),Watt_Class_Ext,9,FALSE)</f>
        <v>0.7142857142857143</v>
      </c>
      <c r="CI13" s="159">
        <f>CG13*CH13</f>
        <v>50.782420037490922</v>
      </c>
      <c r="CJ13" s="159">
        <f>CA13*CI13</f>
        <v>30.278258533964948</v>
      </c>
      <c r="CK13" s="59">
        <f>CJ13*AU13/1000</f>
        <v>130.19651169604927</v>
      </c>
      <c r="CL13" s="110">
        <f>BX13*CJ13</f>
        <v>14.537319798098604</v>
      </c>
      <c r="CM13" s="331">
        <f>CL13/CK13</f>
        <v>0.11165675338550357</v>
      </c>
      <c r="CN13" s="298">
        <f>BQ13/BB13</f>
        <v>0.11165675338550357</v>
      </c>
      <c r="CO13" s="353">
        <f>CK13/BB13</f>
        <v>0.17511179323272733</v>
      </c>
      <c r="CP13" s="353">
        <f>CL13/BQ13</f>
        <v>0.17511179323272733</v>
      </c>
      <c r="CQ13" s="155">
        <f>CG13/$CQ$11</f>
        <v>0.41992606521724191</v>
      </c>
      <c r="CR13" s="353">
        <f>CK13/BB13</f>
        <v>0.17511179323272733</v>
      </c>
      <c r="CS13" s="357">
        <f>CK13/BB13</f>
        <v>0.17511179323272733</v>
      </c>
      <c r="CT13" s="305"/>
      <c r="CU13" s="305"/>
      <c r="CV13" s="305"/>
      <c r="CW13" s="118"/>
    </row>
    <row r="14" spans="1:101">
      <c r="A14" t="s">
        <v>153</v>
      </c>
      <c r="B14" t="s">
        <v>91</v>
      </c>
      <c r="C14">
        <v>400</v>
      </c>
      <c r="D14">
        <v>1.5</v>
      </c>
      <c r="E14">
        <v>0.24</v>
      </c>
      <c r="F14" s="60">
        <v>0.25</v>
      </c>
      <c r="G14" s="60">
        <v>0.2</v>
      </c>
      <c r="I14" s="47" t="s">
        <v>277</v>
      </c>
      <c r="J14" t="s">
        <v>270</v>
      </c>
      <c r="K14">
        <v>135</v>
      </c>
      <c r="L14">
        <f>K14</f>
        <v>135</v>
      </c>
      <c r="M14" t="s">
        <v>273</v>
      </c>
      <c r="N14">
        <v>12000</v>
      </c>
      <c r="O14" s="106">
        <f>N14/K14</f>
        <v>88.888888888888886</v>
      </c>
      <c r="P14" t="s">
        <v>274</v>
      </c>
      <c r="Q14" s="105">
        <f>R14/(N14/1000)</f>
        <v>25</v>
      </c>
      <c r="R14" s="131">
        <v>300</v>
      </c>
      <c r="S14" s="135">
        <f>$S$4*R14</f>
        <v>243.0173658194351</v>
      </c>
      <c r="T14" s="136">
        <f>$T$1*L14</f>
        <v>117.09183673469387</v>
      </c>
      <c r="U14" s="149">
        <v>50000</v>
      </c>
      <c r="V14" s="122" t="s">
        <v>275</v>
      </c>
      <c r="W14" s="104" t="s">
        <v>289</v>
      </c>
      <c r="X14" t="s">
        <v>276</v>
      </c>
      <c r="Z14" s="47" t="s">
        <v>277</v>
      </c>
      <c r="AA14">
        <v>250</v>
      </c>
      <c r="AB14" s="146">
        <v>290</v>
      </c>
      <c r="AC14" t="s">
        <v>280</v>
      </c>
      <c r="AF14" t="s">
        <v>274</v>
      </c>
      <c r="AG14" s="135">
        <v>160</v>
      </c>
      <c r="AH14" s="137">
        <v>24000</v>
      </c>
      <c r="AI14" s="122" t="s">
        <v>275</v>
      </c>
      <c r="AJ14" s="150" t="s">
        <v>289</v>
      </c>
      <c r="AK14" t="s">
        <v>276</v>
      </c>
      <c r="AM14" t="str">
        <f t="shared" ref="AM14:AM36" si="13">CONCATENATE(AO14,"-",AP14)</f>
        <v>MH 400W-New</v>
      </c>
      <c r="AN14" s="173" t="str">
        <f t="shared" ref="AN14:AN21" si="14">$A$11</f>
        <v>Exterior Lighting: Parking Lot</v>
      </c>
      <c r="AO14" s="173" t="str">
        <f t="shared" ref="AO14:AO15" si="15">I15</f>
        <v>MH 400W</v>
      </c>
      <c r="AP14" s="173" t="s">
        <v>41</v>
      </c>
      <c r="AQ14" s="173" t="str">
        <f>CONCATENATE(AN14," - ",AO14," - ",AP14)</f>
        <v>Exterior Lighting: Parking Lot - MH 400W - New</v>
      </c>
      <c r="AR14" s="173" t="str">
        <f t="shared" ref="AR14:AR21" si="16">AO14</f>
        <v>MH 400W</v>
      </c>
      <c r="AS14" s="173" t="str">
        <f t="shared" ref="AS14:AS15" si="17">J15</f>
        <v>LED 180W</v>
      </c>
      <c r="AT14" s="173" t="str">
        <f t="shared" ref="AT14:AT36" si="18">CONCATENATE(AN14," - ",AR14," to ",AS14," - ",AP14)</f>
        <v>Exterior Lighting: Parking Lot - MH 400W to LED 180W - New</v>
      </c>
      <c r="AU14" s="174">
        <v>4300</v>
      </c>
      <c r="AV14" s="174">
        <f t="shared" si="3"/>
        <v>17000</v>
      </c>
      <c r="AW14" s="173">
        <f t="shared" si="4"/>
        <v>458</v>
      </c>
      <c r="AX14" s="175">
        <f t="shared" si="5"/>
        <v>156.12244897959184</v>
      </c>
      <c r="AY14" s="176">
        <f t="shared" ref="AY14:AY36" si="19">(AW14-AX14)/AW14</f>
        <v>0.6591212904375725</v>
      </c>
      <c r="AZ14" s="174">
        <f t="shared" si="6"/>
        <v>1969.4</v>
      </c>
      <c r="BA14" s="174">
        <f t="shared" si="7"/>
        <v>671.32653061224494</v>
      </c>
      <c r="BB14" s="157">
        <f t="shared" ref="BB14:BB36" si="20">AZ14-BA14</f>
        <v>1298.0734693877553</v>
      </c>
      <c r="BC14" s="180">
        <f t="shared" si="8"/>
        <v>18</v>
      </c>
      <c r="BD14" s="173" t="s">
        <v>274</v>
      </c>
      <c r="BE14" s="177">
        <f t="shared" ref="BE14:BE21" si="21">INDEX($AA$14:$AK$16,MATCH($AR14,$Z$14:$Z$16,0),MATCH(BE$11,$AA$12:$AK$12,0))</f>
        <v>190</v>
      </c>
      <c r="BF14" s="177">
        <f t="shared" si="9"/>
        <v>324.02315442591345</v>
      </c>
      <c r="BG14" s="180">
        <f t="shared" ref="BG14:BG31" si="22">IF(AP14="New",BF14-BE14,IF(AP14="NR",BF14-BC14,IF(AP14="Retro",BF14,"ERROR")))</f>
        <v>134.02315442591345</v>
      </c>
      <c r="BH14" s="174">
        <f t="shared" si="10"/>
        <v>16000</v>
      </c>
      <c r="BI14" s="174">
        <f t="shared" si="11"/>
        <v>50000</v>
      </c>
      <c r="BJ14" s="178">
        <f t="shared" ref="BJ14:BJ36" si="23">BH14/AU14</f>
        <v>3.7209302325581395</v>
      </c>
      <c r="BK14" s="163">
        <f t="shared" ref="BK14:BK36" si="24">BI14/AU14</f>
        <v>11.627906976744185</v>
      </c>
      <c r="BL14" s="179">
        <v>8.3333333333333329E-2</v>
      </c>
      <c r="BM14" s="173">
        <v>0.33</v>
      </c>
      <c r="BN14" s="180">
        <f t="shared" ref="BN14:BN27" si="25">BL14*$BN$5</f>
        <v>10.833333333333332</v>
      </c>
      <c r="BO14" s="180">
        <f t="shared" ref="BO14:BO27" si="26">BM14*$BN$5</f>
        <v>42.9</v>
      </c>
      <c r="BP14" s="177">
        <f t="shared" ref="BP14:BP30" si="27">IF($AP14="New",0,IF($AP14="NR",BO14-BN14,IF($AP14="Retro",BO14,"ERROR")))</f>
        <v>0</v>
      </c>
      <c r="BQ14" s="186">
        <f t="shared" ref="BQ14:BQ36" si="28">BP14+BG14</f>
        <v>134.02315442591345</v>
      </c>
      <c r="BR14" s="181">
        <f t="shared" ref="BR14:BR36" si="29">BC14</f>
        <v>18</v>
      </c>
      <c r="BS14" s="181">
        <f t="shared" ref="BS14:BS36" si="30">BN14</f>
        <v>10.833333333333332</v>
      </c>
      <c r="BT14" s="167">
        <f t="shared" ref="BT14:BT36" si="31">BR14+BS14</f>
        <v>28.833333333333332</v>
      </c>
      <c r="BU14" s="163">
        <f t="shared" ref="BU14:BU36" si="32">BJ14</f>
        <v>3.7209302325581395</v>
      </c>
      <c r="BV14" s="171" t="s">
        <v>368</v>
      </c>
      <c r="BW14" s="183" t="str">
        <f t="shared" ref="BW14:BW36" si="33">IF($AP14="New","L",IF($AP14="NR","L",IF($AP14="Retro","R","ERROR")))</f>
        <v>L</v>
      </c>
      <c r="BX14" s="161">
        <f t="shared" ref="BX14:BX36" si="34">BQ14/(AW14-AX14)</f>
        <v>0.44396528981001609</v>
      </c>
      <c r="BY14" s="110">
        <f t="shared" ref="BY14:BY36" si="35">BQ14/AW14</f>
        <v>0.29262697472906868</v>
      </c>
      <c r="BZ14" s="155">
        <f t="shared" ref="BZ14:BZ36" si="36">AX14/AW14</f>
        <v>0.34087870956242761</v>
      </c>
      <c r="CA14" s="155">
        <f t="shared" ref="CA14:CA36" si="37">AY14</f>
        <v>0.6591212904375725</v>
      </c>
      <c r="CB14" t="str">
        <f t="shared" ref="CB14:CB36" si="38">CONCATENATE(AN14," - ",AO14)</f>
        <v>Exterior Lighting: Parking Lot - MH 400W</v>
      </c>
      <c r="CC14" t="str">
        <f t="shared" si="1"/>
        <v>MH 400W</v>
      </c>
      <c r="CD14" t="str">
        <f t="shared" si="2"/>
        <v>New</v>
      </c>
      <c r="CE14" s="315" t="s">
        <v>972</v>
      </c>
      <c r="CF14" t="s">
        <v>91</v>
      </c>
      <c r="CG14" s="159">
        <f>VLOOKUP(CE14,Watt_Allocation,MATCH(CF14,'Watt Allocation'!$C$38:$K$38,0))</f>
        <v>71.095388052487294</v>
      </c>
      <c r="CH14" s="326">
        <f t="shared" si="12"/>
        <v>0.25510204081632654</v>
      </c>
      <c r="CI14" s="159">
        <f t="shared" ref="CI14:CI36" si="39">CG14*CH14</f>
        <v>18.136578584818189</v>
      </c>
      <c r="CJ14" s="159">
        <f t="shared" ref="CJ14:CJ36" si="40">CA14*CI14</f>
        <v>11.954205080947807</v>
      </c>
      <c r="CK14" s="59">
        <f t="shared" ref="CK14:CK36" si="41">CJ14*AU14/1000</f>
        <v>51.403081848075573</v>
      </c>
      <c r="CL14" s="110">
        <f t="shared" ref="CL14:CL36" si="42">BX14*CJ14</f>
        <v>5.3072521232113603</v>
      </c>
      <c r="CM14" s="331">
        <f t="shared" ref="CM14:CM36" si="43">CL14/CK14</f>
        <v>0.10324774181628281</v>
      </c>
      <c r="CN14" s="298">
        <f t="shared" ref="CN14:CN36" si="44">BQ14/BB14</f>
        <v>0.10324774181628281</v>
      </c>
      <c r="CO14" s="353">
        <f t="shared" ref="CO14:CO36" si="45">CK14/BB14</f>
        <v>3.9599516560738408E-2</v>
      </c>
      <c r="CP14" s="353">
        <f t="shared" ref="CP14:CP36" si="46">CL14/BQ14</f>
        <v>3.9599516560738408E-2</v>
      </c>
      <c r="CQ14" s="155">
        <f t="shared" ref="CQ14:CQ36" si="47">CG14/$CQ$11</f>
        <v>0.41992606521724191</v>
      </c>
      <c r="CR14" s="353">
        <f t="shared" ref="CR14:CR36" si="48">CK14/BB14</f>
        <v>3.9599516560738408E-2</v>
      </c>
      <c r="CS14" s="357">
        <f t="shared" ref="CS14:CS36" si="49">CK14/BB14</f>
        <v>3.9599516560738408E-2</v>
      </c>
      <c r="CT14" s="305"/>
      <c r="CU14" s="305"/>
      <c r="CV14" s="305"/>
      <c r="CW14" s="118"/>
    </row>
    <row r="15" spans="1:101">
      <c r="A15" t="s">
        <v>153</v>
      </c>
      <c r="B15" t="s">
        <v>91</v>
      </c>
      <c r="C15">
        <v>1000</v>
      </c>
      <c r="D15">
        <v>3.5</v>
      </c>
      <c r="E15">
        <v>0.45</v>
      </c>
      <c r="F15" s="60">
        <v>0.03</v>
      </c>
      <c r="G15" s="60">
        <v>0.03</v>
      </c>
      <c r="I15" s="47" t="s">
        <v>278</v>
      </c>
      <c r="J15" t="s">
        <v>271</v>
      </c>
      <c r="K15">
        <v>180</v>
      </c>
      <c r="L15">
        <f t="shared" ref="L15:L16" si="50">K15</f>
        <v>180</v>
      </c>
      <c r="M15" t="s">
        <v>273</v>
      </c>
      <c r="N15">
        <v>17000</v>
      </c>
      <c r="O15" s="106">
        <f t="shared" ref="O15:O16" si="51">N15/K15</f>
        <v>94.444444444444443</v>
      </c>
      <c r="P15" t="s">
        <v>274</v>
      </c>
      <c r="Q15" s="105">
        <f t="shared" ref="Q15:Q16" si="52">R15/(N15/1000)</f>
        <v>23.529411764705884</v>
      </c>
      <c r="R15" s="131">
        <v>400</v>
      </c>
      <c r="S15" s="135">
        <f t="shared" ref="S15:S16" si="53">$S$4*R15</f>
        <v>324.02315442591345</v>
      </c>
      <c r="T15" s="136">
        <f t="shared" ref="T15:T16" si="54">$T$1*L15</f>
        <v>156.12244897959184</v>
      </c>
      <c r="U15" s="149">
        <v>50000</v>
      </c>
      <c r="V15" s="122" t="s">
        <v>275</v>
      </c>
      <c r="W15" s="104" t="s">
        <v>289</v>
      </c>
      <c r="X15" t="s">
        <v>276</v>
      </c>
      <c r="Z15" s="47" t="s">
        <v>278</v>
      </c>
      <c r="AA15">
        <v>400</v>
      </c>
      <c r="AB15" s="146">
        <v>458</v>
      </c>
      <c r="AC15" t="s">
        <v>280</v>
      </c>
      <c r="AF15" t="s">
        <v>274</v>
      </c>
      <c r="AG15" s="135">
        <v>190</v>
      </c>
      <c r="AH15" s="137">
        <v>16000</v>
      </c>
      <c r="AI15" s="122" t="s">
        <v>275</v>
      </c>
      <c r="AJ15" s="150" t="s">
        <v>289</v>
      </c>
      <c r="AK15" t="s">
        <v>276</v>
      </c>
      <c r="AM15" t="str">
        <f t="shared" si="13"/>
        <v>MH 1000W-New</v>
      </c>
      <c r="AN15" s="173" t="str">
        <f t="shared" si="14"/>
        <v>Exterior Lighting: Parking Lot</v>
      </c>
      <c r="AO15" s="173" t="str">
        <f t="shared" si="15"/>
        <v>MH 1000W</v>
      </c>
      <c r="AP15" s="173" t="s">
        <v>41</v>
      </c>
      <c r="AQ15" s="173" t="str">
        <f t="shared" ref="AQ15:AQ36" si="55">CONCATENATE(AN15," - ",AO15," - ",AP15)</f>
        <v>Exterior Lighting: Parking Lot - MH 1000W - New</v>
      </c>
      <c r="AR15" s="173" t="str">
        <f t="shared" si="16"/>
        <v>MH 1000W</v>
      </c>
      <c r="AS15" s="173" t="str">
        <f t="shared" si="17"/>
        <v>LED 421W</v>
      </c>
      <c r="AT15" s="173" t="str">
        <f t="shared" si="18"/>
        <v>Exterior Lighting: Parking Lot - MH 1000W to LED 421W - New</v>
      </c>
      <c r="AU15" s="174">
        <v>4300</v>
      </c>
      <c r="AV15" s="174">
        <f t="shared" si="3"/>
        <v>41000</v>
      </c>
      <c r="AW15" s="173">
        <f t="shared" si="4"/>
        <v>1100</v>
      </c>
      <c r="AX15" s="175">
        <f t="shared" si="5"/>
        <v>365.15306122448976</v>
      </c>
      <c r="AY15" s="176">
        <f t="shared" si="19"/>
        <v>0.66804267161410025</v>
      </c>
      <c r="AZ15" s="174">
        <f t="shared" si="6"/>
        <v>4730</v>
      </c>
      <c r="BA15" s="174">
        <f t="shared" si="7"/>
        <v>1570.158163265306</v>
      </c>
      <c r="BB15" s="157">
        <f t="shared" si="20"/>
        <v>3159.841836734694</v>
      </c>
      <c r="BC15" s="180">
        <f t="shared" si="8"/>
        <v>20</v>
      </c>
      <c r="BD15" s="173" t="s">
        <v>274</v>
      </c>
      <c r="BE15" s="177">
        <f t="shared" si="21"/>
        <v>440</v>
      </c>
      <c r="BF15" s="177">
        <f t="shared" si="9"/>
        <v>972.0694632777404</v>
      </c>
      <c r="BG15" s="180">
        <f t="shared" si="22"/>
        <v>532.0694632777404</v>
      </c>
      <c r="BH15" s="174">
        <f t="shared" si="10"/>
        <v>16000</v>
      </c>
      <c r="BI15" s="174">
        <f t="shared" si="11"/>
        <v>50000</v>
      </c>
      <c r="BJ15" s="178">
        <f t="shared" si="23"/>
        <v>3.7209302325581395</v>
      </c>
      <c r="BK15" s="163">
        <f t="shared" si="24"/>
        <v>11.627906976744185</v>
      </c>
      <c r="BL15" s="179">
        <v>8.3333333333333329E-2</v>
      </c>
      <c r="BM15" s="173">
        <v>0.33</v>
      </c>
      <c r="BN15" s="180">
        <f t="shared" si="25"/>
        <v>10.833333333333332</v>
      </c>
      <c r="BO15" s="180">
        <f t="shared" si="26"/>
        <v>42.9</v>
      </c>
      <c r="BP15" s="177">
        <f t="shared" si="27"/>
        <v>0</v>
      </c>
      <c r="BQ15" s="186">
        <f t="shared" si="28"/>
        <v>532.0694632777404</v>
      </c>
      <c r="BR15" s="181">
        <f t="shared" si="29"/>
        <v>20</v>
      </c>
      <c r="BS15" s="181">
        <f t="shared" si="30"/>
        <v>10.833333333333332</v>
      </c>
      <c r="BT15" s="167">
        <f t="shared" si="31"/>
        <v>30.833333333333332</v>
      </c>
      <c r="BU15" s="163">
        <f t="shared" si="32"/>
        <v>3.7209302325581395</v>
      </c>
      <c r="BV15" s="171" t="s">
        <v>368</v>
      </c>
      <c r="BW15" s="183" t="str">
        <f t="shared" si="33"/>
        <v>L</v>
      </c>
      <c r="BX15" s="161">
        <f t="shared" si="34"/>
        <v>0.72405481359742496</v>
      </c>
      <c r="BY15" s="110">
        <f t="shared" si="35"/>
        <v>0.48369951207067308</v>
      </c>
      <c r="BZ15" s="155">
        <f t="shared" si="36"/>
        <v>0.33195732838589981</v>
      </c>
      <c r="CA15" s="155">
        <f t="shared" si="37"/>
        <v>0.66804267161410025</v>
      </c>
      <c r="CB15" t="str">
        <f t="shared" si="38"/>
        <v>Exterior Lighting: Parking Lot - MH 1000W</v>
      </c>
      <c r="CC15" t="str">
        <f t="shared" si="1"/>
        <v>MH 1000W</v>
      </c>
      <c r="CD15" t="str">
        <f t="shared" si="2"/>
        <v>New</v>
      </c>
      <c r="CE15" s="315" t="s">
        <v>972</v>
      </c>
      <c r="CF15" t="s">
        <v>91</v>
      </c>
      <c r="CG15" s="159">
        <f>VLOOKUP(CE15,Watt_Allocation,MATCH(CF15,'Watt Allocation'!$C$38:$K$38,0))</f>
        <v>71.095388052487294</v>
      </c>
      <c r="CH15" s="327">
        <f t="shared" si="12"/>
        <v>3.0612244897959183E-2</v>
      </c>
      <c r="CI15" s="159">
        <f t="shared" si="39"/>
        <v>2.1763894301781823</v>
      </c>
      <c r="CJ15" s="159">
        <f t="shared" si="40"/>
        <v>1.4539210094089221</v>
      </c>
      <c r="CK15" s="59">
        <f t="shared" si="41"/>
        <v>6.2518603404583653</v>
      </c>
      <c r="CL15" s="110">
        <f t="shared" si="42"/>
        <v>1.0527185054529571</v>
      </c>
      <c r="CM15" s="331">
        <f t="shared" si="43"/>
        <v>0.16838484037149418</v>
      </c>
      <c r="CN15" s="298">
        <f t="shared" si="44"/>
        <v>0.16838484037149418</v>
      </c>
      <c r="CO15" s="353">
        <f t="shared" si="45"/>
        <v>1.9785358456165295E-3</v>
      </c>
      <c r="CP15" s="353">
        <f t="shared" si="46"/>
        <v>1.9785358456165295E-3</v>
      </c>
      <c r="CQ15" s="155">
        <f t="shared" si="47"/>
        <v>0.41992606521724191</v>
      </c>
      <c r="CR15" s="353">
        <f t="shared" si="48"/>
        <v>1.9785358456165295E-3</v>
      </c>
      <c r="CS15" s="357">
        <f t="shared" si="49"/>
        <v>1.9785358456165295E-3</v>
      </c>
      <c r="CT15" s="305"/>
      <c r="CU15" s="305"/>
      <c r="CV15" s="305"/>
      <c r="CW15" s="118"/>
    </row>
    <row r="16" spans="1:101">
      <c r="B16" t="s">
        <v>116</v>
      </c>
      <c r="F16" s="60">
        <v>0.02</v>
      </c>
      <c r="I16" s="47" t="s">
        <v>279</v>
      </c>
      <c r="J16" t="s">
        <v>272</v>
      </c>
      <c r="K16">
        <v>421</v>
      </c>
      <c r="L16">
        <f t="shared" si="50"/>
        <v>421</v>
      </c>
      <c r="M16" t="s">
        <v>273</v>
      </c>
      <c r="N16" s="106">
        <v>41000</v>
      </c>
      <c r="O16" s="106">
        <f t="shared" si="51"/>
        <v>97.387173396674584</v>
      </c>
      <c r="P16" t="s">
        <v>274</v>
      </c>
      <c r="Q16" s="105">
        <f t="shared" si="52"/>
        <v>29.26829268292683</v>
      </c>
      <c r="R16" s="145">
        <v>1200</v>
      </c>
      <c r="S16" s="135">
        <f t="shared" si="53"/>
        <v>972.0694632777404</v>
      </c>
      <c r="T16" s="136">
        <f t="shared" si="54"/>
        <v>365.15306122448976</v>
      </c>
      <c r="U16" s="149">
        <v>50000</v>
      </c>
      <c r="V16" s="122" t="s">
        <v>275</v>
      </c>
      <c r="W16" s="104" t="s">
        <v>289</v>
      </c>
      <c r="X16" t="s">
        <v>276</v>
      </c>
      <c r="Z16" s="47" t="s">
        <v>279</v>
      </c>
      <c r="AA16">
        <v>1000</v>
      </c>
      <c r="AB16" s="146">
        <v>1100</v>
      </c>
      <c r="AC16" t="s">
        <v>280</v>
      </c>
      <c r="AF16" t="s">
        <v>274</v>
      </c>
      <c r="AG16" s="135">
        <v>440</v>
      </c>
      <c r="AH16" s="137">
        <v>16000</v>
      </c>
      <c r="AI16" s="122" t="s">
        <v>275</v>
      </c>
      <c r="AJ16" s="150" t="s">
        <v>289</v>
      </c>
      <c r="AK16" t="s">
        <v>276</v>
      </c>
      <c r="AM16" t="str">
        <f t="shared" si="13"/>
        <v>HPS 250W-NR</v>
      </c>
      <c r="AN16" s="173" t="str">
        <f t="shared" si="14"/>
        <v>Exterior Lighting: Parking Lot</v>
      </c>
      <c r="AO16" s="173" t="str">
        <f>AO13</f>
        <v>HPS 250W</v>
      </c>
      <c r="AP16" s="173" t="s">
        <v>303</v>
      </c>
      <c r="AQ16" s="173" t="str">
        <f t="shared" si="55"/>
        <v>Exterior Lighting: Parking Lot - HPS 250W - NR</v>
      </c>
      <c r="AR16" s="173" t="str">
        <f t="shared" si="16"/>
        <v>HPS 250W</v>
      </c>
      <c r="AS16" s="173" t="str">
        <f>AS13</f>
        <v>LED 135W</v>
      </c>
      <c r="AT16" s="173" t="str">
        <f t="shared" si="18"/>
        <v>Exterior Lighting: Parking Lot - HPS 250W to LED 135W - NR</v>
      </c>
      <c r="AU16" s="174">
        <v>4300</v>
      </c>
      <c r="AV16" s="174">
        <f t="shared" si="3"/>
        <v>12000</v>
      </c>
      <c r="AW16" s="173">
        <f t="shared" si="4"/>
        <v>290</v>
      </c>
      <c r="AX16" s="175">
        <f t="shared" si="5"/>
        <v>117.09183673469387</v>
      </c>
      <c r="AY16" s="176">
        <f t="shared" si="19"/>
        <v>0.59623504574243502</v>
      </c>
      <c r="AZ16" s="174">
        <f t="shared" si="6"/>
        <v>1247</v>
      </c>
      <c r="BA16" s="174">
        <f t="shared" si="7"/>
        <v>503.49489795918362</v>
      </c>
      <c r="BB16" s="157">
        <f t="shared" si="20"/>
        <v>743.50510204081638</v>
      </c>
      <c r="BC16" s="180">
        <f t="shared" si="8"/>
        <v>15</v>
      </c>
      <c r="BD16" s="173" t="s">
        <v>274</v>
      </c>
      <c r="BE16" s="177">
        <f t="shared" si="21"/>
        <v>160</v>
      </c>
      <c r="BF16" s="177">
        <f t="shared" si="9"/>
        <v>243.0173658194351</v>
      </c>
      <c r="BG16" s="180">
        <f t="shared" si="22"/>
        <v>228.0173658194351</v>
      </c>
      <c r="BH16" s="174">
        <f t="shared" si="10"/>
        <v>24000</v>
      </c>
      <c r="BI16" s="174">
        <f t="shared" si="11"/>
        <v>50000</v>
      </c>
      <c r="BJ16" s="178">
        <f t="shared" si="23"/>
        <v>5.5813953488372094</v>
      </c>
      <c r="BK16" s="163">
        <f t="shared" si="24"/>
        <v>11.627906976744185</v>
      </c>
      <c r="BL16" s="179">
        <v>8.3333333333333329E-2</v>
      </c>
      <c r="BM16" s="173">
        <v>0.33</v>
      </c>
      <c r="BN16" s="180">
        <f t="shared" si="25"/>
        <v>10.833333333333332</v>
      </c>
      <c r="BO16" s="180">
        <f t="shared" si="26"/>
        <v>42.9</v>
      </c>
      <c r="BP16" s="177">
        <f t="shared" si="27"/>
        <v>32.066666666666663</v>
      </c>
      <c r="BQ16" s="186">
        <f t="shared" si="28"/>
        <v>260.08403248610176</v>
      </c>
      <c r="BR16" s="181">
        <f t="shared" si="29"/>
        <v>15</v>
      </c>
      <c r="BS16" s="181">
        <f t="shared" si="30"/>
        <v>10.833333333333332</v>
      </c>
      <c r="BT16" s="167">
        <f t="shared" si="31"/>
        <v>25.833333333333332</v>
      </c>
      <c r="BU16" s="163">
        <f t="shared" si="32"/>
        <v>5.5813953488372094</v>
      </c>
      <c r="BV16" s="171" t="s">
        <v>368</v>
      </c>
      <c r="BW16" s="183" t="str">
        <f t="shared" si="33"/>
        <v>L</v>
      </c>
      <c r="BX16" s="161">
        <f t="shared" si="34"/>
        <v>1.504174398562288</v>
      </c>
      <c r="BY16" s="110">
        <f t="shared" si="35"/>
        <v>0.89684149133138535</v>
      </c>
      <c r="BZ16" s="155">
        <f t="shared" si="36"/>
        <v>0.40376495425756509</v>
      </c>
      <c r="CA16" s="155">
        <f t="shared" si="37"/>
        <v>0.59623504574243502</v>
      </c>
      <c r="CB16" t="str">
        <f t="shared" si="38"/>
        <v>Exterior Lighting: Parking Lot - HPS 250W</v>
      </c>
      <c r="CC16" t="str">
        <f t="shared" si="1"/>
        <v>HPS 250W</v>
      </c>
      <c r="CD16" t="str">
        <f t="shared" si="2"/>
        <v>NR</v>
      </c>
      <c r="CE16" s="315" t="s">
        <v>972</v>
      </c>
      <c r="CF16" t="s">
        <v>91</v>
      </c>
      <c r="CG16" s="159">
        <f>VLOOKUP(CE16,Watt_Allocation,MATCH(CF16,'Watt Allocation'!$C$38:$K$38,0))</f>
        <v>71.095388052487294</v>
      </c>
      <c r="CH16" s="325">
        <f t="shared" si="12"/>
        <v>0.7142857142857143</v>
      </c>
      <c r="CI16" s="159">
        <f t="shared" si="39"/>
        <v>50.782420037490922</v>
      </c>
      <c r="CJ16" s="159">
        <f t="shared" si="40"/>
        <v>30.278258533964948</v>
      </c>
      <c r="CK16" s="59">
        <f t="shared" si="41"/>
        <v>130.19651169604927</v>
      </c>
      <c r="CL16" s="110">
        <f t="shared" si="42"/>
        <v>45.543781319840186</v>
      </c>
      <c r="CM16" s="331">
        <f t="shared" si="43"/>
        <v>0.34980799966564835</v>
      </c>
      <c r="CN16" s="298">
        <f t="shared" si="44"/>
        <v>0.34980799966564841</v>
      </c>
      <c r="CO16" s="353">
        <f t="shared" si="45"/>
        <v>0.17511179323272733</v>
      </c>
      <c r="CP16" s="353">
        <f t="shared" si="46"/>
        <v>0.17511179323272733</v>
      </c>
      <c r="CQ16" s="155">
        <f t="shared" si="47"/>
        <v>0.41992606521724191</v>
      </c>
      <c r="CR16" s="353">
        <f t="shared" si="48"/>
        <v>0.17511179323272733</v>
      </c>
      <c r="CS16" s="357">
        <f t="shared" si="49"/>
        <v>0.17511179323272733</v>
      </c>
      <c r="CT16" s="307">
        <f>1/BJ16</f>
        <v>0.17916666666666667</v>
      </c>
      <c r="CU16" s="305"/>
      <c r="CV16" s="305"/>
      <c r="CW16" s="118">
        <f>$CW$11*CK16/8760/1000</f>
        <v>49.046631118374727</v>
      </c>
    </row>
    <row r="17" spans="1:101">
      <c r="F17" s="60"/>
      <c r="R17" s="62"/>
      <c r="S17" s="135"/>
      <c r="T17" s="136"/>
      <c r="U17" s="137"/>
      <c r="V17" s="123"/>
      <c r="AM17" t="str">
        <f t="shared" si="13"/>
        <v>MH 400W-NR</v>
      </c>
      <c r="AN17" s="173" t="str">
        <f t="shared" si="14"/>
        <v>Exterior Lighting: Parking Lot</v>
      </c>
      <c r="AO17" s="173" t="str">
        <f t="shared" ref="AO17:AO21" si="56">AO14</f>
        <v>MH 400W</v>
      </c>
      <c r="AP17" s="173" t="s">
        <v>303</v>
      </c>
      <c r="AQ17" s="173" t="str">
        <f t="shared" si="55"/>
        <v>Exterior Lighting: Parking Lot - MH 400W - NR</v>
      </c>
      <c r="AR17" s="173" t="str">
        <f t="shared" si="16"/>
        <v>MH 400W</v>
      </c>
      <c r="AS17" s="173" t="str">
        <f t="shared" ref="AS17:AS21" si="57">AS14</f>
        <v>LED 180W</v>
      </c>
      <c r="AT17" s="173" t="str">
        <f t="shared" si="18"/>
        <v>Exterior Lighting: Parking Lot - MH 400W to LED 180W - NR</v>
      </c>
      <c r="AU17" s="174">
        <v>4300</v>
      </c>
      <c r="AV17" s="174">
        <f t="shared" si="3"/>
        <v>17000</v>
      </c>
      <c r="AW17" s="173">
        <f t="shared" si="4"/>
        <v>458</v>
      </c>
      <c r="AX17" s="175">
        <f t="shared" si="5"/>
        <v>156.12244897959184</v>
      </c>
      <c r="AY17" s="176">
        <f t="shared" si="19"/>
        <v>0.6591212904375725</v>
      </c>
      <c r="AZ17" s="174">
        <f t="shared" si="6"/>
        <v>1969.4</v>
      </c>
      <c r="BA17" s="174">
        <f t="shared" si="7"/>
        <v>671.32653061224494</v>
      </c>
      <c r="BB17" s="157">
        <f t="shared" si="20"/>
        <v>1298.0734693877553</v>
      </c>
      <c r="BC17" s="180">
        <f t="shared" si="8"/>
        <v>18</v>
      </c>
      <c r="BD17" s="173" t="s">
        <v>274</v>
      </c>
      <c r="BE17" s="177">
        <f t="shared" si="21"/>
        <v>190</v>
      </c>
      <c r="BF17" s="177">
        <f t="shared" si="9"/>
        <v>324.02315442591345</v>
      </c>
      <c r="BG17" s="180">
        <f t="shared" si="22"/>
        <v>306.02315442591345</v>
      </c>
      <c r="BH17" s="174">
        <f t="shared" si="10"/>
        <v>16000</v>
      </c>
      <c r="BI17" s="174">
        <f t="shared" si="11"/>
        <v>50000</v>
      </c>
      <c r="BJ17" s="178">
        <f t="shared" si="23"/>
        <v>3.7209302325581395</v>
      </c>
      <c r="BK17" s="163">
        <f t="shared" si="24"/>
        <v>11.627906976744185</v>
      </c>
      <c r="BL17" s="179">
        <v>8.3333333333333329E-2</v>
      </c>
      <c r="BM17" s="173">
        <v>0.33</v>
      </c>
      <c r="BN17" s="180">
        <f t="shared" si="25"/>
        <v>10.833333333333332</v>
      </c>
      <c r="BO17" s="180">
        <f t="shared" si="26"/>
        <v>42.9</v>
      </c>
      <c r="BP17" s="177">
        <f t="shared" si="27"/>
        <v>32.066666666666663</v>
      </c>
      <c r="BQ17" s="186">
        <f t="shared" si="28"/>
        <v>338.08982109258011</v>
      </c>
      <c r="BR17" s="181">
        <f t="shared" si="29"/>
        <v>18</v>
      </c>
      <c r="BS17" s="181">
        <f t="shared" si="30"/>
        <v>10.833333333333332</v>
      </c>
      <c r="BT17" s="167">
        <f t="shared" si="31"/>
        <v>28.833333333333332</v>
      </c>
      <c r="BU17" s="163">
        <f t="shared" si="32"/>
        <v>3.7209302325581395</v>
      </c>
      <c r="BV17" s="171" t="s">
        <v>368</v>
      </c>
      <c r="BW17" s="183" t="str">
        <f t="shared" si="33"/>
        <v>L</v>
      </c>
      <c r="BX17" s="161">
        <f t="shared" si="34"/>
        <v>1.1199568167615213</v>
      </c>
      <c r="BY17" s="110">
        <f t="shared" si="35"/>
        <v>0.73818738229820979</v>
      </c>
      <c r="BZ17" s="155">
        <f t="shared" si="36"/>
        <v>0.34087870956242761</v>
      </c>
      <c r="CA17" s="155">
        <f t="shared" si="37"/>
        <v>0.6591212904375725</v>
      </c>
      <c r="CB17" t="str">
        <f t="shared" si="38"/>
        <v>Exterior Lighting: Parking Lot - MH 400W</v>
      </c>
      <c r="CC17" t="str">
        <f t="shared" si="1"/>
        <v>MH 400W</v>
      </c>
      <c r="CD17" t="str">
        <f t="shared" si="2"/>
        <v>NR</v>
      </c>
      <c r="CE17" s="315" t="s">
        <v>972</v>
      </c>
      <c r="CF17" t="s">
        <v>91</v>
      </c>
      <c r="CG17" s="159">
        <f>VLOOKUP(CE17,Watt_Allocation,MATCH(CF17,'Watt Allocation'!$C$38:$K$38,0))</f>
        <v>71.095388052487294</v>
      </c>
      <c r="CH17" s="326">
        <f t="shared" si="12"/>
        <v>0.25510204081632654</v>
      </c>
      <c r="CI17" s="159">
        <f t="shared" si="39"/>
        <v>18.136578584818189</v>
      </c>
      <c r="CJ17" s="159">
        <f t="shared" si="40"/>
        <v>11.954205080947807</v>
      </c>
      <c r="CK17" s="59">
        <f t="shared" si="41"/>
        <v>51.403081848075573</v>
      </c>
      <c r="CL17" s="110">
        <f t="shared" si="42"/>
        <v>13.388193469372709</v>
      </c>
      <c r="CM17" s="331">
        <f t="shared" si="43"/>
        <v>0.26045507366547005</v>
      </c>
      <c r="CN17" s="298">
        <f t="shared" si="44"/>
        <v>0.26045507366547005</v>
      </c>
      <c r="CO17" s="353">
        <f t="shared" si="45"/>
        <v>3.9599516560738408E-2</v>
      </c>
      <c r="CP17" s="353">
        <f t="shared" si="46"/>
        <v>3.9599516560738401E-2</v>
      </c>
      <c r="CQ17" s="155">
        <f t="shared" si="47"/>
        <v>0.41992606521724191</v>
      </c>
      <c r="CR17" s="353">
        <f t="shared" si="48"/>
        <v>3.9599516560738408E-2</v>
      </c>
      <c r="CS17" s="357">
        <f t="shared" si="49"/>
        <v>3.9599516560738408E-2</v>
      </c>
      <c r="CT17" s="307">
        <f t="shared" ref="CT17:CT18" si="58">1/BJ17</f>
        <v>0.26874999999999999</v>
      </c>
      <c r="CU17" s="305"/>
      <c r="CV17" s="305"/>
      <c r="CW17" s="118">
        <f>$CW$11*CK17/8760/1000</f>
        <v>19.364174668795592</v>
      </c>
    </row>
    <row r="18" spans="1:101">
      <c r="F18" s="60"/>
      <c r="R18" s="62"/>
      <c r="S18" s="122"/>
      <c r="T18" s="124"/>
      <c r="U18" s="123"/>
      <c r="V18" s="123"/>
      <c r="Z18" t="s">
        <v>234</v>
      </c>
      <c r="AA18" s="113"/>
      <c r="AB18" s="113"/>
      <c r="AC18" s="113"/>
      <c r="AD18" s="113"/>
      <c r="AE18" s="113"/>
      <c r="AF18" s="112" t="s">
        <v>236</v>
      </c>
      <c r="AG18" s="112" t="s">
        <v>236</v>
      </c>
      <c r="AM18" t="str">
        <f t="shared" si="13"/>
        <v>MH 1000W-NR</v>
      </c>
      <c r="AN18" s="173" t="str">
        <f t="shared" si="14"/>
        <v>Exterior Lighting: Parking Lot</v>
      </c>
      <c r="AO18" s="173" t="str">
        <f t="shared" si="56"/>
        <v>MH 1000W</v>
      </c>
      <c r="AP18" s="173" t="s">
        <v>303</v>
      </c>
      <c r="AQ18" s="173" t="str">
        <f t="shared" si="55"/>
        <v>Exterior Lighting: Parking Lot - MH 1000W - NR</v>
      </c>
      <c r="AR18" s="173" t="str">
        <f t="shared" si="16"/>
        <v>MH 1000W</v>
      </c>
      <c r="AS18" s="173" t="str">
        <f t="shared" si="57"/>
        <v>LED 421W</v>
      </c>
      <c r="AT18" s="173" t="str">
        <f t="shared" si="18"/>
        <v>Exterior Lighting: Parking Lot - MH 1000W to LED 421W - NR</v>
      </c>
      <c r="AU18" s="174">
        <v>4300</v>
      </c>
      <c r="AV18" s="174">
        <f t="shared" si="3"/>
        <v>41000</v>
      </c>
      <c r="AW18" s="173">
        <f t="shared" si="4"/>
        <v>1100</v>
      </c>
      <c r="AX18" s="175">
        <f t="shared" si="5"/>
        <v>365.15306122448976</v>
      </c>
      <c r="AY18" s="176">
        <f t="shared" si="19"/>
        <v>0.66804267161410025</v>
      </c>
      <c r="AZ18" s="174">
        <f t="shared" si="6"/>
        <v>4730</v>
      </c>
      <c r="BA18" s="174">
        <f t="shared" si="7"/>
        <v>1570.158163265306</v>
      </c>
      <c r="BB18" s="157">
        <f t="shared" si="20"/>
        <v>3159.841836734694</v>
      </c>
      <c r="BC18" s="180">
        <f t="shared" si="8"/>
        <v>20</v>
      </c>
      <c r="BD18" s="173" t="s">
        <v>274</v>
      </c>
      <c r="BE18" s="177">
        <f t="shared" si="21"/>
        <v>440</v>
      </c>
      <c r="BF18" s="177">
        <f t="shared" si="9"/>
        <v>972.0694632777404</v>
      </c>
      <c r="BG18" s="180">
        <f t="shared" si="22"/>
        <v>952.0694632777404</v>
      </c>
      <c r="BH18" s="174">
        <f t="shared" si="10"/>
        <v>16000</v>
      </c>
      <c r="BI18" s="174">
        <f t="shared" si="11"/>
        <v>50000</v>
      </c>
      <c r="BJ18" s="178">
        <f t="shared" si="23"/>
        <v>3.7209302325581395</v>
      </c>
      <c r="BK18" s="163">
        <f t="shared" si="24"/>
        <v>11.627906976744185</v>
      </c>
      <c r="BL18" s="179">
        <v>8.3333333333333329E-2</v>
      </c>
      <c r="BM18" s="173">
        <v>0.33</v>
      </c>
      <c r="BN18" s="180">
        <f t="shared" si="25"/>
        <v>10.833333333333332</v>
      </c>
      <c r="BO18" s="180">
        <f t="shared" si="26"/>
        <v>42.9</v>
      </c>
      <c r="BP18" s="177">
        <f t="shared" si="27"/>
        <v>32.066666666666663</v>
      </c>
      <c r="BQ18" s="186">
        <f t="shared" si="28"/>
        <v>984.136129944407</v>
      </c>
      <c r="BR18" s="181">
        <f t="shared" si="29"/>
        <v>20</v>
      </c>
      <c r="BS18" s="181">
        <f t="shared" si="30"/>
        <v>10.833333333333332</v>
      </c>
      <c r="BT18" s="167">
        <f t="shared" si="31"/>
        <v>30.833333333333332</v>
      </c>
      <c r="BU18" s="163">
        <f t="shared" si="32"/>
        <v>3.7209302325581395</v>
      </c>
      <c r="BV18" s="171" t="s">
        <v>368</v>
      </c>
      <c r="BW18" s="183" t="str">
        <f t="shared" si="33"/>
        <v>L</v>
      </c>
      <c r="BX18" s="161">
        <f t="shared" si="34"/>
        <v>1.3392396130604995</v>
      </c>
      <c r="BY18" s="110">
        <f t="shared" si="35"/>
        <v>0.89466920904036995</v>
      </c>
      <c r="BZ18" s="155">
        <f t="shared" si="36"/>
        <v>0.33195732838589981</v>
      </c>
      <c r="CA18" s="155">
        <f t="shared" si="37"/>
        <v>0.66804267161410025</v>
      </c>
      <c r="CB18" t="str">
        <f t="shared" si="38"/>
        <v>Exterior Lighting: Parking Lot - MH 1000W</v>
      </c>
      <c r="CC18" t="str">
        <f t="shared" si="1"/>
        <v>MH 1000W</v>
      </c>
      <c r="CD18" t="str">
        <f t="shared" si="2"/>
        <v>NR</v>
      </c>
      <c r="CE18" s="315" t="s">
        <v>972</v>
      </c>
      <c r="CF18" t="s">
        <v>91</v>
      </c>
      <c r="CG18" s="159">
        <f>VLOOKUP(CE18,Watt_Allocation,MATCH(CF18,'Watt Allocation'!$C$38:$K$38,0))</f>
        <v>71.095388052487294</v>
      </c>
      <c r="CH18" s="327">
        <f t="shared" si="12"/>
        <v>3.0612244897959183E-2</v>
      </c>
      <c r="CI18" s="159">
        <f t="shared" si="39"/>
        <v>2.1763894301781823</v>
      </c>
      <c r="CJ18" s="159">
        <f t="shared" si="40"/>
        <v>1.4539210094089221</v>
      </c>
      <c r="CK18" s="59">
        <f t="shared" si="41"/>
        <v>6.2518603404583653</v>
      </c>
      <c r="CL18" s="110">
        <f t="shared" si="42"/>
        <v>1.9471486100613358</v>
      </c>
      <c r="CM18" s="331">
        <f t="shared" si="43"/>
        <v>0.3114510728047673</v>
      </c>
      <c r="CN18" s="298">
        <f t="shared" si="44"/>
        <v>0.31145107280476736</v>
      </c>
      <c r="CO18" s="353">
        <f t="shared" si="45"/>
        <v>1.9785358456165295E-3</v>
      </c>
      <c r="CP18" s="353">
        <f t="shared" si="46"/>
        <v>1.9785358456165291E-3</v>
      </c>
      <c r="CQ18" s="155">
        <f t="shared" si="47"/>
        <v>0.41992606521724191</v>
      </c>
      <c r="CR18" s="353">
        <f t="shared" si="48"/>
        <v>1.9785358456165295E-3</v>
      </c>
      <c r="CS18" s="357">
        <f t="shared" si="49"/>
        <v>1.9785358456165295E-3</v>
      </c>
      <c r="CT18" s="307">
        <f t="shared" si="58"/>
        <v>0.26874999999999999</v>
      </c>
      <c r="CU18" s="305"/>
      <c r="CV18" s="305"/>
      <c r="CW18" s="118">
        <f>$CW$11*CK18/8760/1000</f>
        <v>2.3551528679808911</v>
      </c>
    </row>
    <row r="19" spans="1:101">
      <c r="F19" s="60"/>
      <c r="R19" s="62"/>
      <c r="S19" s="122"/>
      <c r="T19" s="124"/>
      <c r="U19" s="123"/>
      <c r="V19" s="123"/>
      <c r="Z19" s="47" t="s">
        <v>277</v>
      </c>
      <c r="AA19">
        <v>250</v>
      </c>
      <c r="AB19" s="146">
        <v>290</v>
      </c>
      <c r="AC19" t="s">
        <v>280</v>
      </c>
      <c r="AF19" t="s">
        <v>274</v>
      </c>
      <c r="AG19" s="135">
        <v>15</v>
      </c>
      <c r="AH19" s="137">
        <v>24000</v>
      </c>
      <c r="AI19" s="122" t="s">
        <v>275</v>
      </c>
      <c r="AJ19" s="150" t="s">
        <v>289</v>
      </c>
      <c r="AK19" s="141" t="s">
        <v>237</v>
      </c>
      <c r="AM19" t="str">
        <f t="shared" si="13"/>
        <v>HPS 250W-Retro</v>
      </c>
      <c r="AN19" s="173" t="str">
        <f t="shared" si="14"/>
        <v>Exterior Lighting: Parking Lot</v>
      </c>
      <c r="AO19" s="173" t="str">
        <f t="shared" si="56"/>
        <v>HPS 250W</v>
      </c>
      <c r="AP19" s="173" t="s">
        <v>304</v>
      </c>
      <c r="AQ19" s="173" t="str">
        <f t="shared" si="55"/>
        <v>Exterior Lighting: Parking Lot - HPS 250W - Retro</v>
      </c>
      <c r="AR19" s="173" t="str">
        <f t="shared" si="16"/>
        <v>HPS 250W</v>
      </c>
      <c r="AS19" s="173" t="str">
        <f t="shared" si="57"/>
        <v>LED 135W</v>
      </c>
      <c r="AT19" s="173" t="str">
        <f t="shared" si="18"/>
        <v>Exterior Lighting: Parking Lot - HPS 250W to LED 135W - Retro</v>
      </c>
      <c r="AU19" s="174">
        <v>4300</v>
      </c>
      <c r="AV19" s="174">
        <f t="shared" si="3"/>
        <v>12000</v>
      </c>
      <c r="AW19" s="173">
        <f t="shared" si="4"/>
        <v>290</v>
      </c>
      <c r="AX19" s="175">
        <f t="shared" si="5"/>
        <v>117.09183673469387</v>
      </c>
      <c r="AY19" s="176">
        <f t="shared" si="19"/>
        <v>0.59623504574243502</v>
      </c>
      <c r="AZ19" s="174">
        <f t="shared" si="6"/>
        <v>1247</v>
      </c>
      <c r="BA19" s="174">
        <f t="shared" si="7"/>
        <v>503.49489795918362</v>
      </c>
      <c r="BB19" s="157">
        <f t="shared" si="20"/>
        <v>743.50510204081638</v>
      </c>
      <c r="BC19" s="180">
        <f t="shared" si="8"/>
        <v>15</v>
      </c>
      <c r="BD19" s="173" t="s">
        <v>274</v>
      </c>
      <c r="BE19" s="177">
        <f t="shared" si="21"/>
        <v>160</v>
      </c>
      <c r="BF19" s="177">
        <f t="shared" si="9"/>
        <v>243.0173658194351</v>
      </c>
      <c r="BG19" s="180">
        <f t="shared" si="22"/>
        <v>243.0173658194351</v>
      </c>
      <c r="BH19" s="174">
        <f t="shared" si="10"/>
        <v>24000</v>
      </c>
      <c r="BI19" s="174">
        <f t="shared" si="11"/>
        <v>50000</v>
      </c>
      <c r="BJ19" s="178">
        <f t="shared" si="23"/>
        <v>5.5813953488372094</v>
      </c>
      <c r="BK19" s="163">
        <f t="shared" si="24"/>
        <v>11.627906976744185</v>
      </c>
      <c r="BL19" s="179">
        <v>8.3333333333333329E-2</v>
      </c>
      <c r="BM19" s="173">
        <v>0.33</v>
      </c>
      <c r="BN19" s="180">
        <f t="shared" si="25"/>
        <v>10.833333333333332</v>
      </c>
      <c r="BO19" s="180">
        <f t="shared" si="26"/>
        <v>42.9</v>
      </c>
      <c r="BP19" s="177">
        <f t="shared" si="27"/>
        <v>42.9</v>
      </c>
      <c r="BQ19" s="186">
        <f t="shared" si="28"/>
        <v>285.91736581943508</v>
      </c>
      <c r="BR19" s="181">
        <f t="shared" si="29"/>
        <v>15</v>
      </c>
      <c r="BS19" s="181">
        <f t="shared" si="30"/>
        <v>10.833333333333332</v>
      </c>
      <c r="BT19" s="167">
        <f t="shared" si="31"/>
        <v>25.833333333333332</v>
      </c>
      <c r="BU19" s="163">
        <f t="shared" si="32"/>
        <v>5.5813953488372094</v>
      </c>
      <c r="BV19" s="171" t="s">
        <v>368</v>
      </c>
      <c r="BW19" s="183" t="str">
        <f t="shared" si="33"/>
        <v>R</v>
      </c>
      <c r="BX19" s="161">
        <f t="shared" si="34"/>
        <v>1.6535793361053193</v>
      </c>
      <c r="BY19" s="110">
        <f t="shared" si="35"/>
        <v>0.98592195110150027</v>
      </c>
      <c r="BZ19" s="155">
        <f t="shared" si="36"/>
        <v>0.40376495425756509</v>
      </c>
      <c r="CA19" s="155">
        <f t="shared" si="37"/>
        <v>0.59623504574243502</v>
      </c>
      <c r="CB19" t="str">
        <f t="shared" si="38"/>
        <v>Exterior Lighting: Parking Lot - HPS 250W</v>
      </c>
      <c r="CC19" t="str">
        <f t="shared" si="1"/>
        <v>HPS 250W</v>
      </c>
      <c r="CD19" t="str">
        <f t="shared" si="2"/>
        <v>Retro</v>
      </c>
      <c r="CE19" s="315" t="s">
        <v>972</v>
      </c>
      <c r="CF19" t="s">
        <v>91</v>
      </c>
      <c r="CG19" s="159">
        <f>VLOOKUP(CE19,Watt_Allocation,MATCH(CF19,'Watt Allocation'!$C$38:$K$38,0))</f>
        <v>71.095388052487294</v>
      </c>
      <c r="CH19" s="325">
        <f t="shared" si="12"/>
        <v>0.7142857142857143</v>
      </c>
      <c r="CI19" s="159">
        <f t="shared" si="39"/>
        <v>50.782420037490922</v>
      </c>
      <c r="CJ19" s="159">
        <f t="shared" si="40"/>
        <v>30.278258533964948</v>
      </c>
      <c r="CK19" s="59">
        <f t="shared" si="41"/>
        <v>130.19651169604927</v>
      </c>
      <c r="CL19" s="110">
        <f t="shared" si="42"/>
        <v>50.067502645018976</v>
      </c>
      <c r="CM19" s="331">
        <f t="shared" si="43"/>
        <v>0.38455333397798125</v>
      </c>
      <c r="CN19" s="298">
        <f t="shared" si="44"/>
        <v>0.38455333397798125</v>
      </c>
      <c r="CO19" s="353">
        <f t="shared" si="45"/>
        <v>0.17511179323272733</v>
      </c>
      <c r="CP19" s="353">
        <f t="shared" si="46"/>
        <v>0.17511179323272733</v>
      </c>
      <c r="CQ19" s="155">
        <f t="shared" si="47"/>
        <v>0.41992606521724191</v>
      </c>
      <c r="CR19" s="353">
        <f t="shared" si="48"/>
        <v>0.17511179323272733</v>
      </c>
      <c r="CS19" s="357">
        <f t="shared" si="49"/>
        <v>0.17511179323272733</v>
      </c>
      <c r="CT19" s="305"/>
      <c r="CU19" s="305"/>
      <c r="CV19" s="305"/>
      <c r="CW19" s="118"/>
    </row>
    <row r="20" spans="1:101">
      <c r="F20" s="60"/>
      <c r="R20" s="62"/>
      <c r="S20" s="122"/>
      <c r="T20" s="124"/>
      <c r="U20" s="123"/>
      <c r="V20" s="123"/>
      <c r="Z20" s="47" t="s">
        <v>278</v>
      </c>
      <c r="AA20">
        <v>400</v>
      </c>
      <c r="AB20" s="146">
        <v>458</v>
      </c>
      <c r="AC20" t="s">
        <v>280</v>
      </c>
      <c r="AF20" t="s">
        <v>274</v>
      </c>
      <c r="AG20" s="135">
        <v>18</v>
      </c>
      <c r="AH20" s="137">
        <v>16000</v>
      </c>
      <c r="AI20" s="122" t="s">
        <v>275</v>
      </c>
      <c r="AJ20" s="150" t="s">
        <v>289</v>
      </c>
      <c r="AK20" s="141" t="s">
        <v>237</v>
      </c>
      <c r="AM20" t="str">
        <f t="shared" si="13"/>
        <v>MH 400W-Retro</v>
      </c>
      <c r="AN20" s="173" t="str">
        <f t="shared" si="14"/>
        <v>Exterior Lighting: Parking Lot</v>
      </c>
      <c r="AO20" s="173" t="str">
        <f t="shared" si="56"/>
        <v>MH 400W</v>
      </c>
      <c r="AP20" s="173" t="s">
        <v>304</v>
      </c>
      <c r="AQ20" s="173" t="str">
        <f t="shared" si="55"/>
        <v>Exterior Lighting: Parking Lot - MH 400W - Retro</v>
      </c>
      <c r="AR20" s="173" t="str">
        <f t="shared" si="16"/>
        <v>MH 400W</v>
      </c>
      <c r="AS20" s="173" t="str">
        <f t="shared" si="57"/>
        <v>LED 180W</v>
      </c>
      <c r="AT20" s="173" t="str">
        <f t="shared" si="18"/>
        <v>Exterior Lighting: Parking Lot - MH 400W to LED 180W - Retro</v>
      </c>
      <c r="AU20" s="174">
        <v>4300</v>
      </c>
      <c r="AV20" s="174">
        <f t="shared" si="3"/>
        <v>17000</v>
      </c>
      <c r="AW20" s="173">
        <f t="shared" si="4"/>
        <v>458</v>
      </c>
      <c r="AX20" s="175">
        <f t="shared" si="5"/>
        <v>156.12244897959184</v>
      </c>
      <c r="AY20" s="176">
        <f t="shared" si="19"/>
        <v>0.6591212904375725</v>
      </c>
      <c r="AZ20" s="174">
        <f t="shared" si="6"/>
        <v>1969.4</v>
      </c>
      <c r="BA20" s="174">
        <f t="shared" si="7"/>
        <v>671.32653061224494</v>
      </c>
      <c r="BB20" s="157">
        <f t="shared" si="20"/>
        <v>1298.0734693877553</v>
      </c>
      <c r="BC20" s="180">
        <f t="shared" si="8"/>
        <v>18</v>
      </c>
      <c r="BD20" s="173" t="s">
        <v>274</v>
      </c>
      <c r="BE20" s="177">
        <f t="shared" si="21"/>
        <v>190</v>
      </c>
      <c r="BF20" s="177">
        <f t="shared" si="9"/>
        <v>324.02315442591345</v>
      </c>
      <c r="BG20" s="180">
        <f t="shared" si="22"/>
        <v>324.02315442591345</v>
      </c>
      <c r="BH20" s="174">
        <f t="shared" si="10"/>
        <v>16000</v>
      </c>
      <c r="BI20" s="174">
        <f t="shared" si="11"/>
        <v>50000</v>
      </c>
      <c r="BJ20" s="178">
        <f t="shared" si="23"/>
        <v>3.7209302325581395</v>
      </c>
      <c r="BK20" s="163">
        <f t="shared" si="24"/>
        <v>11.627906976744185</v>
      </c>
      <c r="BL20" s="179">
        <v>8.3333333333333329E-2</v>
      </c>
      <c r="BM20" s="173">
        <v>0.33</v>
      </c>
      <c r="BN20" s="180">
        <f t="shared" si="25"/>
        <v>10.833333333333332</v>
      </c>
      <c r="BO20" s="180">
        <f t="shared" si="26"/>
        <v>42.9</v>
      </c>
      <c r="BP20" s="177">
        <f t="shared" si="27"/>
        <v>42.9</v>
      </c>
      <c r="BQ20" s="186">
        <f t="shared" si="28"/>
        <v>366.92315442591342</v>
      </c>
      <c r="BR20" s="181">
        <f t="shared" si="29"/>
        <v>18</v>
      </c>
      <c r="BS20" s="181">
        <f t="shared" si="30"/>
        <v>10.833333333333332</v>
      </c>
      <c r="BT20" s="167">
        <f t="shared" si="31"/>
        <v>28.833333333333332</v>
      </c>
      <c r="BU20" s="163">
        <f t="shared" si="32"/>
        <v>3.7209302325581395</v>
      </c>
      <c r="BV20" s="171" t="s">
        <v>368</v>
      </c>
      <c r="BW20" s="183" t="str">
        <f t="shared" si="33"/>
        <v>R</v>
      </c>
      <c r="BX20" s="161">
        <f t="shared" si="34"/>
        <v>1.2154701573059596</v>
      </c>
      <c r="BY20" s="110">
        <f t="shared" si="35"/>
        <v>0.80114225857186339</v>
      </c>
      <c r="BZ20" s="155">
        <f t="shared" si="36"/>
        <v>0.34087870956242761</v>
      </c>
      <c r="CA20" s="155">
        <f t="shared" si="37"/>
        <v>0.6591212904375725</v>
      </c>
      <c r="CB20" t="str">
        <f t="shared" si="38"/>
        <v>Exterior Lighting: Parking Lot - MH 400W</v>
      </c>
      <c r="CC20" t="str">
        <f t="shared" si="1"/>
        <v>MH 400W</v>
      </c>
      <c r="CD20" t="str">
        <f t="shared" si="2"/>
        <v>Retro</v>
      </c>
      <c r="CE20" s="315" t="s">
        <v>972</v>
      </c>
      <c r="CF20" t="s">
        <v>91</v>
      </c>
      <c r="CG20" s="159">
        <f>VLOOKUP(CE20,Watt_Allocation,MATCH(CF20,'Watt Allocation'!$C$38:$K$38,0))</f>
        <v>71.095388052487294</v>
      </c>
      <c r="CH20" s="326">
        <f t="shared" si="12"/>
        <v>0.25510204081632654</v>
      </c>
      <c r="CI20" s="159">
        <f t="shared" si="39"/>
        <v>18.136578584818189</v>
      </c>
      <c r="CJ20" s="159">
        <f t="shared" si="40"/>
        <v>11.954205080947807</v>
      </c>
      <c r="CK20" s="59">
        <f t="shared" si="41"/>
        <v>51.403081848075573</v>
      </c>
      <c r="CL20" s="110">
        <f t="shared" si="42"/>
        <v>14.529979530207333</v>
      </c>
      <c r="CM20" s="331">
        <f t="shared" si="43"/>
        <v>0.28266747844324641</v>
      </c>
      <c r="CN20" s="298">
        <f t="shared" si="44"/>
        <v>0.28266747844324641</v>
      </c>
      <c r="CO20" s="353">
        <f t="shared" si="45"/>
        <v>3.9599516560738408E-2</v>
      </c>
      <c r="CP20" s="353">
        <f t="shared" si="46"/>
        <v>3.9599516560738401E-2</v>
      </c>
      <c r="CQ20" s="155">
        <f t="shared" si="47"/>
        <v>0.41992606521724191</v>
      </c>
      <c r="CR20" s="353">
        <f t="shared" si="48"/>
        <v>3.9599516560738408E-2</v>
      </c>
      <c r="CS20" s="357">
        <f t="shared" si="49"/>
        <v>3.9599516560738408E-2</v>
      </c>
      <c r="CT20" s="305"/>
      <c r="CU20" s="305"/>
      <c r="CV20" s="305"/>
      <c r="CW20" s="118"/>
    </row>
    <row r="21" spans="1:101">
      <c r="Z21" s="47" t="s">
        <v>279</v>
      </c>
      <c r="AA21">
        <v>1000</v>
      </c>
      <c r="AB21" s="146">
        <v>1100</v>
      </c>
      <c r="AC21" t="s">
        <v>280</v>
      </c>
      <c r="AF21" t="s">
        <v>274</v>
      </c>
      <c r="AG21" s="135">
        <v>20</v>
      </c>
      <c r="AH21" s="137">
        <v>16000</v>
      </c>
      <c r="AI21" s="122" t="s">
        <v>275</v>
      </c>
      <c r="AJ21" s="150" t="s">
        <v>289</v>
      </c>
      <c r="AK21" s="141" t="s">
        <v>237</v>
      </c>
      <c r="AM21" t="str">
        <f t="shared" si="13"/>
        <v>MH 1000W-Retro</v>
      </c>
      <c r="AN21" s="173" t="str">
        <f t="shared" si="14"/>
        <v>Exterior Lighting: Parking Lot</v>
      </c>
      <c r="AO21" s="173" t="str">
        <f t="shared" si="56"/>
        <v>MH 1000W</v>
      </c>
      <c r="AP21" s="173" t="s">
        <v>304</v>
      </c>
      <c r="AQ21" s="173" t="str">
        <f t="shared" si="55"/>
        <v>Exterior Lighting: Parking Lot - MH 1000W - Retro</v>
      </c>
      <c r="AR21" s="173" t="str">
        <f t="shared" si="16"/>
        <v>MH 1000W</v>
      </c>
      <c r="AS21" s="173" t="str">
        <f t="shared" si="57"/>
        <v>LED 421W</v>
      </c>
      <c r="AT21" s="173" t="str">
        <f t="shared" si="18"/>
        <v>Exterior Lighting: Parking Lot - MH 1000W to LED 421W - Retro</v>
      </c>
      <c r="AU21" s="174">
        <v>4300</v>
      </c>
      <c r="AV21" s="174">
        <f t="shared" si="3"/>
        <v>41000</v>
      </c>
      <c r="AW21" s="173">
        <f t="shared" si="4"/>
        <v>1100</v>
      </c>
      <c r="AX21" s="175">
        <f t="shared" si="5"/>
        <v>365.15306122448976</v>
      </c>
      <c r="AY21" s="176">
        <f t="shared" si="19"/>
        <v>0.66804267161410025</v>
      </c>
      <c r="AZ21" s="174">
        <f t="shared" si="6"/>
        <v>4730</v>
      </c>
      <c r="BA21" s="174">
        <f t="shared" si="7"/>
        <v>1570.158163265306</v>
      </c>
      <c r="BB21" s="157">
        <f t="shared" si="20"/>
        <v>3159.841836734694</v>
      </c>
      <c r="BC21" s="180">
        <f t="shared" si="8"/>
        <v>20</v>
      </c>
      <c r="BD21" s="173" t="s">
        <v>274</v>
      </c>
      <c r="BE21" s="177">
        <f t="shared" si="21"/>
        <v>440</v>
      </c>
      <c r="BF21" s="177">
        <f t="shared" si="9"/>
        <v>972.0694632777404</v>
      </c>
      <c r="BG21" s="180">
        <f t="shared" si="22"/>
        <v>972.0694632777404</v>
      </c>
      <c r="BH21" s="174">
        <f t="shared" si="10"/>
        <v>16000</v>
      </c>
      <c r="BI21" s="174">
        <f t="shared" si="11"/>
        <v>50000</v>
      </c>
      <c r="BJ21" s="178">
        <f t="shared" si="23"/>
        <v>3.7209302325581395</v>
      </c>
      <c r="BK21" s="163">
        <f t="shared" si="24"/>
        <v>11.627906976744185</v>
      </c>
      <c r="BL21" s="179">
        <v>8.3333333333333329E-2</v>
      </c>
      <c r="BM21" s="173">
        <v>0.33</v>
      </c>
      <c r="BN21" s="180">
        <f t="shared" si="25"/>
        <v>10.833333333333332</v>
      </c>
      <c r="BO21" s="180">
        <f t="shared" si="26"/>
        <v>42.9</v>
      </c>
      <c r="BP21" s="177">
        <f t="shared" si="27"/>
        <v>42.9</v>
      </c>
      <c r="BQ21" s="186">
        <f t="shared" si="28"/>
        <v>1014.9694632777404</v>
      </c>
      <c r="BR21" s="181">
        <f t="shared" si="29"/>
        <v>20</v>
      </c>
      <c r="BS21" s="181">
        <f t="shared" si="30"/>
        <v>10.833333333333332</v>
      </c>
      <c r="BT21" s="167">
        <f t="shared" si="31"/>
        <v>30.833333333333332</v>
      </c>
      <c r="BU21" s="163">
        <f t="shared" si="32"/>
        <v>3.7209302325581395</v>
      </c>
      <c r="BV21" s="171" t="s">
        <v>368</v>
      </c>
      <c r="BW21" s="183" t="str">
        <f t="shared" si="33"/>
        <v>R</v>
      </c>
      <c r="BX21" s="161">
        <f t="shared" si="34"/>
        <v>1.3811984642257662</v>
      </c>
      <c r="BY21" s="110">
        <f t="shared" si="35"/>
        <v>0.92269951207067302</v>
      </c>
      <c r="BZ21" s="155">
        <f t="shared" si="36"/>
        <v>0.33195732838589981</v>
      </c>
      <c r="CA21" s="155">
        <f t="shared" si="37"/>
        <v>0.66804267161410025</v>
      </c>
      <c r="CB21" t="str">
        <f t="shared" si="38"/>
        <v>Exterior Lighting: Parking Lot - MH 1000W</v>
      </c>
      <c r="CC21" t="str">
        <f t="shared" si="1"/>
        <v>MH 1000W</v>
      </c>
      <c r="CD21" t="str">
        <f t="shared" si="2"/>
        <v>Retro</v>
      </c>
      <c r="CE21" s="315" t="s">
        <v>972</v>
      </c>
      <c r="CF21" t="s">
        <v>91</v>
      </c>
      <c r="CG21" s="159">
        <f>VLOOKUP(CE21,Watt_Allocation,MATCH(CF21,'Watt Allocation'!$C$38:$K$38,0))</f>
        <v>71.095388052487294</v>
      </c>
      <c r="CH21" s="327">
        <f t="shared" si="12"/>
        <v>3.0612244897959183E-2</v>
      </c>
      <c r="CI21" s="159">
        <f t="shared" si="39"/>
        <v>2.1763894301781823</v>
      </c>
      <c r="CJ21" s="159">
        <f t="shared" si="40"/>
        <v>1.4539210094089221</v>
      </c>
      <c r="CK21" s="59">
        <f t="shared" si="41"/>
        <v>6.2518603404583653</v>
      </c>
      <c r="CL21" s="110">
        <f t="shared" si="42"/>
        <v>2.008153465301179</v>
      </c>
      <c r="CM21" s="331">
        <f t="shared" si="43"/>
        <v>0.32120894516878284</v>
      </c>
      <c r="CN21" s="298">
        <f t="shared" si="44"/>
        <v>0.32120894516878284</v>
      </c>
      <c r="CO21" s="353">
        <f t="shared" si="45"/>
        <v>1.9785358456165295E-3</v>
      </c>
      <c r="CP21" s="353">
        <f t="shared" si="46"/>
        <v>1.9785358456165295E-3</v>
      </c>
      <c r="CQ21" s="155">
        <f t="shared" si="47"/>
        <v>0.41992606521724191</v>
      </c>
      <c r="CR21" s="353">
        <f t="shared" si="48"/>
        <v>1.9785358456165295E-3</v>
      </c>
      <c r="CS21" s="357">
        <f t="shared" si="49"/>
        <v>1.9785358456165295E-3</v>
      </c>
      <c r="CT21" s="305"/>
      <c r="CU21" s="305"/>
      <c r="CV21" s="305"/>
      <c r="CW21" s="118"/>
    </row>
    <row r="22" spans="1:101">
      <c r="A22" s="58" t="s">
        <v>371</v>
      </c>
      <c r="AM22" t="str">
        <f t="shared" si="13"/>
        <v>HID 150W-New</v>
      </c>
      <c r="AN22" t="str">
        <f>$A$22</f>
        <v>Exterior Lighting: Façade</v>
      </c>
      <c r="AO22" t="str">
        <f>I25</f>
        <v>HID 150W</v>
      </c>
      <c r="AP22" t="s">
        <v>41</v>
      </c>
      <c r="AQ22" t="str">
        <f t="shared" si="55"/>
        <v>Exterior Lighting: Façade - HID 150W - New</v>
      </c>
      <c r="AR22" s="89" t="str">
        <f>AO22</f>
        <v>HID 150W</v>
      </c>
      <c r="AS22" t="str">
        <f>CONCATENATE("LED ",TEXT(T30,"0"),"W")</f>
        <v>LED 27W</v>
      </c>
      <c r="AT22" t="str">
        <f t="shared" si="18"/>
        <v>Exterior Lighting: Façade - HID 150W to LED 27W - New</v>
      </c>
      <c r="AU22" s="118">
        <v>4300</v>
      </c>
      <c r="AV22" s="118">
        <f>INDEX($K$25:$X$30,MATCH($AS22,$J$25:$J$30,0),MATCH(AV$11,$K$23:$X$23,0))</f>
        <v>2608</v>
      </c>
      <c r="AW22" s="118">
        <f>INDEX($AA$25:$AK$30,MATCH(CONCATENATE("Avg ",$AR22),$Z$25:$Z$30,0),MATCH(AW$11,$AA$23:$AK$23,0))</f>
        <v>178.25</v>
      </c>
      <c r="AX22" s="118">
        <f>INDEX($K$25:$X$30,MATCH($AS22,$J$25:$J$30,0),MATCH(AX$11,$K$23:$X$23,0))</f>
        <v>27.234693877551017</v>
      </c>
      <c r="AY22" s="155">
        <f t="shared" si="19"/>
        <v>0.84721069353407563</v>
      </c>
      <c r="AZ22" s="118">
        <f t="shared" si="6"/>
        <v>766.47499999999991</v>
      </c>
      <c r="BA22" s="118">
        <f t="shared" si="7"/>
        <v>117.10918367346936</v>
      </c>
      <c r="BB22" s="157">
        <f t="shared" si="20"/>
        <v>649.36581632653053</v>
      </c>
      <c r="BC22" s="161">
        <f>INDEX($AA$32:$AK$35,MATCH(CONCATENATE("Avg ",$AR22),$Z$32:$Z$35,0),MATCH(BC$11,$AA$23:$AK$23,0))</f>
        <v>30.999173333333335</v>
      </c>
      <c r="BD22" t="s">
        <v>274</v>
      </c>
      <c r="BE22" s="131">
        <f>INDEX($AA$25:$AK$30,MATCH(CONCATENATE("Avg ",$AR22),$Z$25:$Z$30,0),MATCH(BE$11,$AA$23:$AK$23,0))</f>
        <v>178.58874399999999</v>
      </c>
      <c r="BF22" s="131">
        <f>INDEX($K$25:$X$30,MATCH($AS22,$J$25:$J$30,0),MATCH(BF$11,$K$23:$X$23,0))</f>
        <v>185.89070335550872</v>
      </c>
      <c r="BG22" s="185">
        <f t="shared" si="22"/>
        <v>7.3019593555087283</v>
      </c>
      <c r="BH22" s="118">
        <f>INDEX($AA$25:$AK$30,MATCH(CONCATENATE("Avg ",$AR22),$Z$25:$Z$30,0),MATCH(BH$11,$AA$23:$AK$23,0))</f>
        <v>24000</v>
      </c>
      <c r="BI22" s="118">
        <f>INDEX($K$25:$X$30,MATCH($AS22,$J$25:$J$30,0),MATCH(BI$11,$K$23:$X$23,0))</f>
        <v>70000</v>
      </c>
      <c r="BJ22" s="159">
        <f t="shared" si="23"/>
        <v>5.5813953488372094</v>
      </c>
      <c r="BK22" s="163">
        <f t="shared" si="24"/>
        <v>16.279069767441861</v>
      </c>
      <c r="BL22" s="158">
        <v>8.3333333333333329E-2</v>
      </c>
      <c r="BM22">
        <v>0.33</v>
      </c>
      <c r="BN22" s="161">
        <f t="shared" si="25"/>
        <v>10.833333333333332</v>
      </c>
      <c r="BO22" s="161">
        <f t="shared" si="26"/>
        <v>42.9</v>
      </c>
      <c r="BP22" s="164">
        <f t="shared" si="27"/>
        <v>0</v>
      </c>
      <c r="BQ22" s="186">
        <f t="shared" si="28"/>
        <v>7.3019593555087283</v>
      </c>
      <c r="BR22" s="110">
        <f t="shared" si="29"/>
        <v>30.999173333333335</v>
      </c>
      <c r="BS22" s="110">
        <f t="shared" si="30"/>
        <v>10.833333333333332</v>
      </c>
      <c r="BT22" s="167">
        <f t="shared" si="31"/>
        <v>41.832506666666667</v>
      </c>
      <c r="BU22" s="163">
        <f t="shared" si="32"/>
        <v>5.5813953488372094</v>
      </c>
      <c r="BV22" s="171" t="s">
        <v>368</v>
      </c>
      <c r="BW22" s="183" t="str">
        <f t="shared" si="33"/>
        <v>L</v>
      </c>
      <c r="BX22" s="161">
        <f t="shared" si="34"/>
        <v>4.8352445477202299E-2</v>
      </c>
      <c r="BY22" s="110">
        <f t="shared" si="35"/>
        <v>4.0964708866809134E-2</v>
      </c>
      <c r="BZ22" s="155">
        <f t="shared" si="36"/>
        <v>0.15278930646592437</v>
      </c>
      <c r="CA22" s="155">
        <f t="shared" si="37"/>
        <v>0.84721069353407563</v>
      </c>
      <c r="CB22" t="str">
        <f t="shared" si="38"/>
        <v>Exterior Lighting: Façade - HID 150W</v>
      </c>
      <c r="CC22" t="str">
        <f t="shared" si="1"/>
        <v>HID 150W</v>
      </c>
      <c r="CD22" t="str">
        <f t="shared" si="2"/>
        <v>New</v>
      </c>
      <c r="CE22" s="315" t="s">
        <v>973</v>
      </c>
      <c r="CF22" t="s">
        <v>91</v>
      </c>
      <c r="CG22" s="159">
        <f>VLOOKUP(CE22,Watt_Allocation,MATCH(CF22,'Watt Allocation'!$C$38:$K$38,0))</f>
        <v>26.479843587764876</v>
      </c>
      <c r="CH22" s="325">
        <f t="shared" si="12"/>
        <v>0.69387755102040827</v>
      </c>
      <c r="CI22" s="159">
        <f t="shared" si="39"/>
        <v>18.373769020081753</v>
      </c>
      <c r="CJ22" s="159">
        <f t="shared" si="40"/>
        <v>15.566453594338375</v>
      </c>
      <c r="CK22" s="59">
        <f t="shared" si="41"/>
        <v>66.935750455655011</v>
      </c>
      <c r="CL22" s="110">
        <f t="shared" si="42"/>
        <v>0.75267609869364605</v>
      </c>
      <c r="CM22" s="331">
        <f t="shared" si="43"/>
        <v>1.1244754762140071E-2</v>
      </c>
      <c r="CN22" s="298">
        <f t="shared" si="44"/>
        <v>1.1244754762140071E-2</v>
      </c>
      <c r="CO22" s="353">
        <f t="shared" si="45"/>
        <v>0.10307864807900002</v>
      </c>
      <c r="CP22" s="353">
        <f t="shared" si="46"/>
        <v>0.10307864807900002</v>
      </c>
      <c r="CQ22" s="155">
        <f t="shared" si="47"/>
        <v>0.15640362659205004</v>
      </c>
      <c r="CR22" s="353">
        <f t="shared" si="48"/>
        <v>0.10307864807900002</v>
      </c>
      <c r="CS22" s="357">
        <f t="shared" si="49"/>
        <v>0.10307864807900002</v>
      </c>
      <c r="CT22" s="305"/>
      <c r="CU22" s="305"/>
      <c r="CV22" s="305"/>
      <c r="CW22" s="118"/>
    </row>
    <row r="23" spans="1:101" ht="51">
      <c r="A23" s="82" t="s">
        <v>152</v>
      </c>
      <c r="B23" s="82" t="s">
        <v>155</v>
      </c>
      <c r="C23" s="82" t="s">
        <v>143</v>
      </c>
      <c r="D23" s="82" t="s">
        <v>144</v>
      </c>
      <c r="E23" s="82" t="s">
        <v>147</v>
      </c>
      <c r="F23" s="82" t="s">
        <v>145</v>
      </c>
      <c r="G23" s="82" t="s">
        <v>146</v>
      </c>
      <c r="I23" s="82" t="s">
        <v>180</v>
      </c>
      <c r="J23" s="82" t="s">
        <v>179</v>
      </c>
      <c r="K23" s="82" t="s">
        <v>183</v>
      </c>
      <c r="L23" s="82" t="s">
        <v>222</v>
      </c>
      <c r="M23" s="82" t="s">
        <v>163</v>
      </c>
      <c r="N23" s="82" t="s">
        <v>216</v>
      </c>
      <c r="O23" s="82" t="s">
        <v>207</v>
      </c>
      <c r="P23" s="82" t="s">
        <v>235</v>
      </c>
      <c r="Q23" s="82" t="s">
        <v>223</v>
      </c>
      <c r="R23" s="82" t="s">
        <v>238</v>
      </c>
      <c r="S23" s="82" t="s">
        <v>239</v>
      </c>
      <c r="T23" s="82" t="s">
        <v>240</v>
      </c>
      <c r="U23" s="82" t="s">
        <v>208</v>
      </c>
      <c r="V23" s="82" t="s">
        <v>164</v>
      </c>
      <c r="W23" s="82" t="s">
        <v>165</v>
      </c>
      <c r="X23" s="82" t="s">
        <v>171</v>
      </c>
      <c r="Y23" s="89"/>
      <c r="Z23" s="116" t="s">
        <v>203</v>
      </c>
      <c r="AA23" s="116" t="s">
        <v>183</v>
      </c>
      <c r="AB23" s="82" t="s">
        <v>222</v>
      </c>
      <c r="AC23" s="116" t="s">
        <v>204</v>
      </c>
      <c r="AD23" s="116" t="s">
        <v>216</v>
      </c>
      <c r="AE23" s="82" t="s">
        <v>207</v>
      </c>
      <c r="AF23" s="82" t="s">
        <v>235</v>
      </c>
      <c r="AG23" s="82" t="s">
        <v>238</v>
      </c>
      <c r="AH23" s="82" t="s">
        <v>208</v>
      </c>
      <c r="AI23" s="116" t="s">
        <v>164</v>
      </c>
      <c r="AJ23" s="116" t="s">
        <v>165</v>
      </c>
      <c r="AK23" s="116" t="s">
        <v>171</v>
      </c>
      <c r="AL23" s="130"/>
      <c r="AM23" t="str">
        <f t="shared" si="13"/>
        <v>HID 400W-New</v>
      </c>
      <c r="AN23" t="str">
        <f t="shared" ref="AN23:AN27" si="59">$A$22</f>
        <v>Exterior Lighting: Façade</v>
      </c>
      <c r="AO23" t="str">
        <f>Z38</f>
        <v>HID 400W</v>
      </c>
      <c r="AP23" t="s">
        <v>41</v>
      </c>
      <c r="AQ23" t="str">
        <f t="shared" si="55"/>
        <v>Exterior Lighting: Façade - HID 400W - New</v>
      </c>
      <c r="AR23" s="89" t="str">
        <f>AO23</f>
        <v>HID 400W</v>
      </c>
      <c r="AS23" t="str">
        <f>CONCATENATE("LED ",TEXT(T42,"0"),"W")</f>
        <v>LED 82W</v>
      </c>
      <c r="AT23" t="str">
        <f t="shared" si="18"/>
        <v>Exterior Lighting: Façade - HID 400W to LED 82W - New</v>
      </c>
      <c r="AU23" s="118">
        <v>4300</v>
      </c>
      <c r="AV23" s="118">
        <f>INDEX($K$38:$X$43,MATCH($AS23,$J$38:$J$43,0),MATCH(AV$11,$K$23:$X$23,0))</f>
        <v>7563</v>
      </c>
      <c r="AW23" s="118">
        <f>INDEX($AA$38:$AK$43,MATCH(CONCATENATE("Avg ",$AR23),$Z$38:$Z$43,0),MATCH(AW$11,$AA$23:$AK$23,0))</f>
        <v>455.66666666666669</v>
      </c>
      <c r="AX23" s="118">
        <f>INDEX($K$38:$X$43,MATCH($AS23,$J$38:$J$43,0),MATCH(AX$11,$K$23:$X$23,0))</f>
        <v>81.964285714285708</v>
      </c>
      <c r="AY23" s="155">
        <f t="shared" si="19"/>
        <v>0.8201222698296583</v>
      </c>
      <c r="AZ23" s="118">
        <f t="shared" si="6"/>
        <v>1959.3666666666666</v>
      </c>
      <c r="BA23" s="118">
        <f t="shared" si="7"/>
        <v>352.44642857142856</v>
      </c>
      <c r="BB23" s="157">
        <f t="shared" si="20"/>
        <v>1606.9202380952379</v>
      </c>
      <c r="BC23" s="161">
        <f>INDEX($AA$45:$AK$48,MATCH(CONCATENATE("Avg ",$AR23),$Z$45:$Z$48,0),MATCH(BC$11,$AA$23:$AK$23,0))</f>
        <v>28.431060000000002</v>
      </c>
      <c r="BD23" t="s">
        <v>274</v>
      </c>
      <c r="BE23" s="131">
        <f>INDEX($AA$38:$AK$43,MATCH(CONCATENATE("Avg ",$AR23),$Z$38:$Z$43,0),MATCH(BE$11,$AA$23:$AK$23,0))</f>
        <v>276.78352800000005</v>
      </c>
      <c r="BF23" s="131">
        <f>INDEX($K$38:$X$43,MATCH($AS23,$J$38:$J$43,0),MATCH(BF$11,$K$23:$X$23,0))</f>
        <v>328.64658006207537</v>
      </c>
      <c r="BG23" s="185">
        <f t="shared" si="22"/>
        <v>51.863052062075326</v>
      </c>
      <c r="BH23" s="118">
        <f>INDEX($AA$38:$AK$43,MATCH(CONCATENATE("Avg ",$AR23),$Z$38:$Z$43,0),MATCH(BH$11,$AA$23:$AK$23,0))</f>
        <v>16000</v>
      </c>
      <c r="BI23" s="118">
        <f>INDEX($K$38:$X$43,MATCH($AS23,$J$38:$J$43,0),MATCH(BI$11,$K$23:$X$23,0))</f>
        <v>70000</v>
      </c>
      <c r="BJ23" s="159">
        <f t="shared" si="23"/>
        <v>3.7209302325581395</v>
      </c>
      <c r="BK23" s="163">
        <f t="shared" si="24"/>
        <v>16.279069767441861</v>
      </c>
      <c r="BL23" s="158">
        <v>8.3333333333333329E-2</v>
      </c>
      <c r="BM23">
        <v>0.33</v>
      </c>
      <c r="BN23" s="161">
        <f t="shared" si="25"/>
        <v>10.833333333333332</v>
      </c>
      <c r="BO23" s="161">
        <f t="shared" si="26"/>
        <v>42.9</v>
      </c>
      <c r="BP23" s="164">
        <f t="shared" si="27"/>
        <v>0</v>
      </c>
      <c r="BQ23" s="186">
        <f t="shared" si="28"/>
        <v>51.863052062075326</v>
      </c>
      <c r="BR23" s="110">
        <f t="shared" si="29"/>
        <v>28.431060000000002</v>
      </c>
      <c r="BS23" s="110">
        <f t="shared" si="30"/>
        <v>10.833333333333332</v>
      </c>
      <c r="BT23" s="167">
        <f t="shared" si="31"/>
        <v>39.264393333333331</v>
      </c>
      <c r="BU23" s="163">
        <f t="shared" si="32"/>
        <v>3.7209302325581395</v>
      </c>
      <c r="BV23" s="171" t="s">
        <v>368</v>
      </c>
      <c r="BW23" s="183" t="str">
        <f t="shared" si="33"/>
        <v>L</v>
      </c>
      <c r="BX23" s="161">
        <f t="shared" si="34"/>
        <v>0.13878170090835995</v>
      </c>
      <c r="BY23" s="110">
        <f t="shared" si="35"/>
        <v>0.11381796355978491</v>
      </c>
      <c r="BZ23" s="155">
        <f t="shared" si="36"/>
        <v>0.1798777301703417</v>
      </c>
      <c r="CA23" s="155">
        <f t="shared" si="37"/>
        <v>0.8201222698296583</v>
      </c>
      <c r="CB23" t="str">
        <f t="shared" si="38"/>
        <v>Exterior Lighting: Façade - HID 400W</v>
      </c>
      <c r="CC23" t="str">
        <f t="shared" si="1"/>
        <v>HID 400W</v>
      </c>
      <c r="CD23" t="str">
        <f t="shared" si="2"/>
        <v>New</v>
      </c>
      <c r="CE23" s="315" t="s">
        <v>973</v>
      </c>
      <c r="CF23" t="s">
        <v>91</v>
      </c>
      <c r="CG23" s="159">
        <f>VLOOKUP(CE23,Watt_Allocation,MATCH(CF23,'Watt Allocation'!$C$38:$K$38,0))</f>
        <v>26.479843587764876</v>
      </c>
      <c r="CH23" s="327">
        <f t="shared" si="12"/>
        <v>0.30927835051546387</v>
      </c>
      <c r="CI23" s="159">
        <f t="shared" si="39"/>
        <v>8.1896423467314037</v>
      </c>
      <c r="CJ23" s="159">
        <f t="shared" si="40"/>
        <v>6.7165080704944486</v>
      </c>
      <c r="CK23" s="59">
        <f t="shared" si="41"/>
        <v>28.880984703126131</v>
      </c>
      <c r="CL23" s="110">
        <f t="shared" si="42"/>
        <v>0.93212841418794634</v>
      </c>
      <c r="CM23" s="331">
        <f t="shared" si="43"/>
        <v>3.227481416473487E-2</v>
      </c>
      <c r="CN23" s="298">
        <f t="shared" si="44"/>
        <v>3.2274814164734877E-2</v>
      </c>
      <c r="CO23" s="353">
        <f t="shared" si="45"/>
        <v>1.7972880058664389E-2</v>
      </c>
      <c r="CP23" s="353">
        <f t="shared" si="46"/>
        <v>1.7972880058664382E-2</v>
      </c>
      <c r="CQ23" s="155">
        <f t="shared" si="47"/>
        <v>0.15640362659205004</v>
      </c>
      <c r="CR23" s="353">
        <f t="shared" si="48"/>
        <v>1.7972880058664389E-2</v>
      </c>
      <c r="CS23" s="357">
        <f t="shared" si="49"/>
        <v>1.7972880058664389E-2</v>
      </c>
      <c r="CT23" s="305"/>
      <c r="CU23" s="305"/>
      <c r="CV23" s="305"/>
      <c r="CW23" s="118"/>
    </row>
    <row r="24" spans="1:101">
      <c r="A24" t="s">
        <v>154</v>
      </c>
      <c r="B24" t="s">
        <v>91</v>
      </c>
      <c r="C24">
        <v>150</v>
      </c>
      <c r="D24">
        <v>1</v>
      </c>
      <c r="E24">
        <v>0.4</v>
      </c>
      <c r="F24" s="60">
        <v>0.68</v>
      </c>
      <c r="I24" t="s">
        <v>241</v>
      </c>
      <c r="P24" t="s">
        <v>242</v>
      </c>
      <c r="R24" t="s">
        <v>242</v>
      </c>
      <c r="S24" t="s">
        <v>242</v>
      </c>
      <c r="T24" t="s">
        <v>249</v>
      </c>
      <c r="Y24" s="110"/>
      <c r="Z24" t="s">
        <v>241</v>
      </c>
      <c r="AF24" t="s">
        <v>242</v>
      </c>
      <c r="AG24" t="s">
        <v>242</v>
      </c>
      <c r="AH24" s="105"/>
      <c r="AJ24" s="104"/>
      <c r="AL24" s="113"/>
      <c r="AM24" t="str">
        <f t="shared" si="13"/>
        <v>HID 150W-NR</v>
      </c>
      <c r="AN24" t="str">
        <f t="shared" si="59"/>
        <v>Exterior Lighting: Façade</v>
      </c>
      <c r="AO24" t="str">
        <f>AO22</f>
        <v>HID 150W</v>
      </c>
      <c r="AP24" t="s">
        <v>303</v>
      </c>
      <c r="AQ24" t="str">
        <f t="shared" si="55"/>
        <v>Exterior Lighting: Façade - HID 150W - NR</v>
      </c>
      <c r="AR24" s="89" t="str">
        <f t="shared" ref="AR24:AR36" si="60">AO24</f>
        <v>HID 150W</v>
      </c>
      <c r="AS24" t="str">
        <f>AS22</f>
        <v>LED 27W</v>
      </c>
      <c r="AT24" t="str">
        <f t="shared" si="18"/>
        <v>Exterior Lighting: Façade - HID 150W to LED 27W - NR</v>
      </c>
      <c r="AU24" s="118">
        <v>4300</v>
      </c>
      <c r="AV24" s="118">
        <f>INDEX($K$25:$X$30,MATCH($AS24,$J$25:$J$30,0),MATCH(AV$11,$K$23:$X$23,0))</f>
        <v>2608</v>
      </c>
      <c r="AW24" s="118">
        <f>INDEX($AA$25:$AK$30,MATCH(CONCATENATE("Avg ",$AR24),$Z$25:$Z$30,0),MATCH(AW$11,$AA$23:$AK$23,0))</f>
        <v>178.25</v>
      </c>
      <c r="AX24" s="118">
        <f>INDEX($K$25:$X$30,MATCH($AS24,$J$25:$J$30,0),MATCH(AX$11,$K$23:$X$23,0))</f>
        <v>27.234693877551017</v>
      </c>
      <c r="AY24" s="155">
        <f t="shared" si="19"/>
        <v>0.84721069353407563</v>
      </c>
      <c r="AZ24" s="118">
        <f t="shared" si="6"/>
        <v>766.47499999999991</v>
      </c>
      <c r="BA24" s="118">
        <f t="shared" si="7"/>
        <v>117.10918367346936</v>
      </c>
      <c r="BB24" s="157">
        <f t="shared" si="20"/>
        <v>649.36581632653053</v>
      </c>
      <c r="BC24" s="161">
        <f>INDEX($AA$32:$AK$35,MATCH(CONCATENATE("Avg ",$AR24),$Z$32:$Z$35,0),MATCH(BC$11,$AA$23:$AK$23,0))</f>
        <v>30.999173333333335</v>
      </c>
      <c r="BD24" t="s">
        <v>274</v>
      </c>
      <c r="BE24" s="131">
        <f>INDEX($AA$25:$AK$30,MATCH(CONCATENATE("Avg ",$AR24),$Z$25:$Z$30,0),MATCH(BE$11,$AA$23:$AK$23,0))</f>
        <v>178.58874399999999</v>
      </c>
      <c r="BF24" s="131">
        <f>INDEX($K$25:$X$30,MATCH($AS24,$J$25:$J$30,0),MATCH(BF$11,$K$23:$X$23,0))</f>
        <v>185.89070335550872</v>
      </c>
      <c r="BG24" s="185">
        <f t="shared" si="22"/>
        <v>154.89153002217537</v>
      </c>
      <c r="BH24" s="118">
        <f>INDEX($AA$25:$AK$30,MATCH(CONCATENATE("Avg ",$AR24),$Z$25:$Z$30,0),MATCH(BH$11,$AA$23:$AK$23,0))</f>
        <v>24000</v>
      </c>
      <c r="BI24" s="118">
        <f>INDEX($K$25:$X$30,MATCH($AS24,$J$25:$J$30,0),MATCH(BI$11,$K$23:$X$23,0))</f>
        <v>70000</v>
      </c>
      <c r="BJ24" s="159">
        <f t="shared" si="23"/>
        <v>5.5813953488372094</v>
      </c>
      <c r="BK24" s="163">
        <f t="shared" si="24"/>
        <v>16.279069767441861</v>
      </c>
      <c r="BL24" s="158">
        <v>8.3333333333333329E-2</v>
      </c>
      <c r="BM24">
        <v>0.33</v>
      </c>
      <c r="BN24" s="161">
        <f t="shared" si="25"/>
        <v>10.833333333333332</v>
      </c>
      <c r="BO24" s="161">
        <f t="shared" si="26"/>
        <v>42.9</v>
      </c>
      <c r="BP24" s="164">
        <f t="shared" si="27"/>
        <v>32.066666666666663</v>
      </c>
      <c r="BQ24" s="186">
        <f t="shared" si="28"/>
        <v>186.95819668884204</v>
      </c>
      <c r="BR24" s="110">
        <f t="shared" si="29"/>
        <v>30.999173333333335</v>
      </c>
      <c r="BS24" s="110">
        <f t="shared" si="30"/>
        <v>10.833333333333332</v>
      </c>
      <c r="BT24" s="167">
        <f t="shared" si="31"/>
        <v>41.832506666666667</v>
      </c>
      <c r="BU24" s="163">
        <f t="shared" si="32"/>
        <v>5.5813953488372094</v>
      </c>
      <c r="BV24" s="171" t="s">
        <v>368</v>
      </c>
      <c r="BW24" s="183" t="str">
        <f t="shared" si="33"/>
        <v>L</v>
      </c>
      <c r="BX24" s="161">
        <f t="shared" si="34"/>
        <v>1.2380082621376749</v>
      </c>
      <c r="BY24" s="110">
        <f t="shared" si="35"/>
        <v>1.0488538383665753</v>
      </c>
      <c r="BZ24" s="155">
        <f t="shared" si="36"/>
        <v>0.15278930646592437</v>
      </c>
      <c r="CA24" s="155">
        <f t="shared" si="37"/>
        <v>0.84721069353407563</v>
      </c>
      <c r="CB24" t="str">
        <f t="shared" si="38"/>
        <v>Exterior Lighting: Façade - HID 150W</v>
      </c>
      <c r="CC24" t="str">
        <f t="shared" si="1"/>
        <v>HID 150W</v>
      </c>
      <c r="CD24" t="str">
        <f t="shared" si="2"/>
        <v>NR</v>
      </c>
      <c r="CE24" s="315" t="s">
        <v>973</v>
      </c>
      <c r="CF24" t="s">
        <v>91</v>
      </c>
      <c r="CG24" s="159">
        <f>VLOOKUP(CE24,Watt_Allocation,MATCH(CF24,'Watt Allocation'!$C$38:$K$38,0))</f>
        <v>26.479843587764876</v>
      </c>
      <c r="CH24" s="325">
        <f t="shared" si="12"/>
        <v>0.69387755102040827</v>
      </c>
      <c r="CI24" s="159">
        <f t="shared" si="39"/>
        <v>18.373769020081753</v>
      </c>
      <c r="CJ24" s="159">
        <f t="shared" si="40"/>
        <v>15.566453594338375</v>
      </c>
      <c r="CK24" s="59">
        <f t="shared" si="41"/>
        <v>66.935750455655011</v>
      </c>
      <c r="CL24" s="110">
        <f t="shared" si="42"/>
        <v>19.271398161973615</v>
      </c>
      <c r="CM24" s="331">
        <f t="shared" si="43"/>
        <v>0.2879088981715523</v>
      </c>
      <c r="CN24" s="298">
        <f t="shared" si="44"/>
        <v>0.28790889817155235</v>
      </c>
      <c r="CO24" s="353">
        <f t="shared" si="45"/>
        <v>0.10307864807900002</v>
      </c>
      <c r="CP24" s="353">
        <f t="shared" si="46"/>
        <v>0.10307864807900002</v>
      </c>
      <c r="CQ24" s="155">
        <f t="shared" si="47"/>
        <v>0.15640362659205004</v>
      </c>
      <c r="CR24" s="353">
        <f t="shared" si="48"/>
        <v>0.10307864807900002</v>
      </c>
      <c r="CS24" s="357">
        <f t="shared" si="49"/>
        <v>0.10307864807900002</v>
      </c>
      <c r="CT24" s="307">
        <f t="shared" ref="CT24:CT25" si="61">1/BJ24</f>
        <v>0.17916666666666667</v>
      </c>
      <c r="CU24" s="305"/>
      <c r="CV24" s="305"/>
      <c r="CW24" s="118">
        <f>$CW$11*CK24/8760/1000</f>
        <v>25.215522431924832</v>
      </c>
    </row>
    <row r="25" spans="1:101">
      <c r="A25" t="s">
        <v>154</v>
      </c>
      <c r="B25" t="s">
        <v>91</v>
      </c>
      <c r="C25">
        <v>400</v>
      </c>
      <c r="D25">
        <v>1</v>
      </c>
      <c r="E25">
        <v>0.3</v>
      </c>
      <c r="F25" s="60">
        <v>0.3</v>
      </c>
      <c r="I25" t="s">
        <v>162</v>
      </c>
      <c r="J25" t="s">
        <v>166</v>
      </c>
      <c r="K25">
        <v>30</v>
      </c>
      <c r="L25">
        <f>K25</f>
        <v>30</v>
      </c>
      <c r="M25" t="s">
        <v>205</v>
      </c>
      <c r="N25">
        <v>2649</v>
      </c>
      <c r="O25" s="106">
        <f>N25/K25</f>
        <v>88.3</v>
      </c>
      <c r="P25" s="105">
        <v>294</v>
      </c>
      <c r="Q25" s="105">
        <f>$Q$8*P25/(N25/1000)</f>
        <v>108.09966024915062</v>
      </c>
      <c r="R25" s="105">
        <f>P25*$Q$8</f>
        <v>286.35599999999999</v>
      </c>
      <c r="S25" s="105">
        <f>$S$4*R25</f>
        <v>231.96493602196719</v>
      </c>
      <c r="T25" s="117">
        <f>$T$1*L25</f>
        <v>26.020408163265305</v>
      </c>
      <c r="U25" s="118">
        <v>70000</v>
      </c>
      <c r="V25" t="s">
        <v>181</v>
      </c>
      <c r="W25" s="104" t="s">
        <v>184</v>
      </c>
      <c r="X25" t="s">
        <v>206</v>
      </c>
      <c r="Z25" t="s">
        <v>162</v>
      </c>
      <c r="AA25">
        <v>150</v>
      </c>
      <c r="AB25">
        <v>180</v>
      </c>
      <c r="AC25" t="s">
        <v>187</v>
      </c>
      <c r="AF25" s="105">
        <v>246.93</v>
      </c>
      <c r="AG25" s="105">
        <f>AF25*$Q$8</f>
        <v>240.50981999999999</v>
      </c>
      <c r="AH25" s="118"/>
      <c r="AI25" t="s">
        <v>181</v>
      </c>
      <c r="AJ25" s="104" t="s">
        <v>188</v>
      </c>
      <c r="AK25" t="s">
        <v>182</v>
      </c>
      <c r="AL25" s="113"/>
      <c r="AM25" t="str">
        <f t="shared" si="13"/>
        <v>HID 400W-NR</v>
      </c>
      <c r="AN25" t="str">
        <f t="shared" si="59"/>
        <v>Exterior Lighting: Façade</v>
      </c>
      <c r="AO25" t="str">
        <f t="shared" ref="AO25:AO27" si="62">AO23</f>
        <v>HID 400W</v>
      </c>
      <c r="AP25" t="s">
        <v>303</v>
      </c>
      <c r="AQ25" t="str">
        <f t="shared" si="55"/>
        <v>Exterior Lighting: Façade - HID 400W - NR</v>
      </c>
      <c r="AR25" s="89" t="str">
        <f t="shared" si="60"/>
        <v>HID 400W</v>
      </c>
      <c r="AS25" t="str">
        <f t="shared" ref="AS25:AS27" si="63">AS23</f>
        <v>LED 82W</v>
      </c>
      <c r="AT25" t="str">
        <f t="shared" si="18"/>
        <v>Exterior Lighting: Façade - HID 400W to LED 82W - NR</v>
      </c>
      <c r="AU25" s="118">
        <v>4300</v>
      </c>
      <c r="AV25" s="118">
        <f>INDEX($K$38:$X$43,MATCH($AS25,$J$38:$J$43,0),MATCH(AV$11,$K$23:$X$23,0))</f>
        <v>7563</v>
      </c>
      <c r="AW25" s="118">
        <f>INDEX($AA$38:$AK$43,MATCH(CONCATENATE("Avg ",$AR25),$Z$38:$Z$43,0),MATCH(AW$11,$AA$23:$AK$23,0))</f>
        <v>455.66666666666669</v>
      </c>
      <c r="AX25" s="118">
        <f>INDEX($K$38:$X$43,MATCH($AS25,$J$38:$J$43,0),MATCH(AX$11,$K$23:$X$23,0))</f>
        <v>81.964285714285708</v>
      </c>
      <c r="AY25" s="155">
        <f t="shared" si="19"/>
        <v>0.8201222698296583</v>
      </c>
      <c r="AZ25" s="118">
        <f t="shared" si="6"/>
        <v>1959.3666666666666</v>
      </c>
      <c r="BA25" s="118">
        <f t="shared" si="7"/>
        <v>352.44642857142856</v>
      </c>
      <c r="BB25" s="157">
        <f t="shared" si="20"/>
        <v>1606.9202380952379</v>
      </c>
      <c r="BC25" s="161">
        <f>INDEX($AA$45:$AK$48,MATCH(CONCATENATE("Avg ",$AR25),$Z$45:$Z$48,0),MATCH(BC$11,$AA$23:$AK$23,0))</f>
        <v>28.431060000000002</v>
      </c>
      <c r="BD25" t="s">
        <v>274</v>
      </c>
      <c r="BE25" s="131">
        <f>INDEX($AA$38:$AK$43,MATCH(CONCATENATE("Avg ",$AR25),$Z$38:$Z$43,0),MATCH(BE$11,$AA$23:$AK$23,0))</f>
        <v>276.78352800000005</v>
      </c>
      <c r="BF25" s="131">
        <f>INDEX($K$38:$X$43,MATCH($AS25,$J$38:$J$43,0),MATCH(BF$11,$K$23:$X$23,0))</f>
        <v>328.64658006207537</v>
      </c>
      <c r="BG25" s="185">
        <f t="shared" si="22"/>
        <v>300.21552006207537</v>
      </c>
      <c r="BH25" s="118">
        <f>INDEX($AA$38:$AK$43,MATCH(CONCATENATE("Avg ",$AR25),$Z$38:$Z$43,0),MATCH(BH$11,$AA$23:$AK$23,0))</f>
        <v>16000</v>
      </c>
      <c r="BI25" s="118">
        <f>INDEX($K$38:$X$43,MATCH($AS25,$J$38:$J$43,0),MATCH(BI$11,$K$23:$X$23,0))</f>
        <v>70000</v>
      </c>
      <c r="BJ25" s="159">
        <f t="shared" si="23"/>
        <v>3.7209302325581395</v>
      </c>
      <c r="BK25" s="163">
        <f t="shared" si="24"/>
        <v>16.279069767441861</v>
      </c>
      <c r="BL25" s="158">
        <v>8.3333333333333329E-2</v>
      </c>
      <c r="BM25">
        <v>0.33</v>
      </c>
      <c r="BN25" s="161">
        <f t="shared" si="25"/>
        <v>10.833333333333332</v>
      </c>
      <c r="BO25" s="161">
        <f t="shared" si="26"/>
        <v>42.9</v>
      </c>
      <c r="BP25" s="164">
        <f t="shared" si="27"/>
        <v>32.066666666666663</v>
      </c>
      <c r="BQ25" s="186">
        <f t="shared" si="28"/>
        <v>332.28218672874203</v>
      </c>
      <c r="BR25" s="110">
        <f t="shared" si="29"/>
        <v>28.431060000000002</v>
      </c>
      <c r="BS25" s="110">
        <f t="shared" si="30"/>
        <v>10.833333333333332</v>
      </c>
      <c r="BT25" s="167">
        <f t="shared" si="31"/>
        <v>39.264393333333331</v>
      </c>
      <c r="BU25" s="163">
        <f t="shared" si="32"/>
        <v>3.7209302325581395</v>
      </c>
      <c r="BV25" s="171" t="s">
        <v>368</v>
      </c>
      <c r="BW25" s="183" t="str">
        <f t="shared" si="33"/>
        <v>L</v>
      </c>
      <c r="BX25" s="161">
        <f t="shared" si="34"/>
        <v>0.88916261620255266</v>
      </c>
      <c r="BY25" s="110">
        <f t="shared" si="35"/>
        <v>0.72922206304771475</v>
      </c>
      <c r="BZ25" s="155">
        <f t="shared" si="36"/>
        <v>0.1798777301703417</v>
      </c>
      <c r="CA25" s="155">
        <f t="shared" si="37"/>
        <v>0.8201222698296583</v>
      </c>
      <c r="CB25" t="str">
        <f t="shared" si="38"/>
        <v>Exterior Lighting: Façade - HID 400W</v>
      </c>
      <c r="CC25" t="str">
        <f t="shared" si="1"/>
        <v>HID 400W</v>
      </c>
      <c r="CD25" t="str">
        <f t="shared" si="2"/>
        <v>NR</v>
      </c>
      <c r="CE25" s="315" t="s">
        <v>973</v>
      </c>
      <c r="CF25" t="s">
        <v>91</v>
      </c>
      <c r="CG25" s="159">
        <f>VLOOKUP(CE25,Watt_Allocation,MATCH(CF25,'Watt Allocation'!$C$38:$K$38,0))</f>
        <v>26.479843587764876</v>
      </c>
      <c r="CH25" s="327">
        <f t="shared" si="12"/>
        <v>0.30927835051546387</v>
      </c>
      <c r="CI25" s="159">
        <f t="shared" si="39"/>
        <v>8.1896423467314037</v>
      </c>
      <c r="CJ25" s="159">
        <f t="shared" si="40"/>
        <v>6.7165080704944486</v>
      </c>
      <c r="CK25" s="59">
        <f t="shared" si="41"/>
        <v>28.880984703126131</v>
      </c>
      <c r="CL25" s="110">
        <f t="shared" si="42"/>
        <v>5.9720678877064026</v>
      </c>
      <c r="CM25" s="331">
        <f t="shared" si="43"/>
        <v>0.20678200376803549</v>
      </c>
      <c r="CN25" s="298">
        <f t="shared" si="44"/>
        <v>0.20678200376803554</v>
      </c>
      <c r="CO25" s="353">
        <f t="shared" si="45"/>
        <v>1.7972880058664389E-2</v>
      </c>
      <c r="CP25" s="353">
        <f t="shared" si="46"/>
        <v>1.7972880058664382E-2</v>
      </c>
      <c r="CQ25" s="155">
        <f t="shared" si="47"/>
        <v>0.15640362659205004</v>
      </c>
      <c r="CR25" s="353">
        <f t="shared" si="48"/>
        <v>1.7972880058664389E-2</v>
      </c>
      <c r="CS25" s="357">
        <f t="shared" si="49"/>
        <v>1.7972880058664389E-2</v>
      </c>
      <c r="CT25" s="307">
        <f t="shared" si="61"/>
        <v>0.26874999999999999</v>
      </c>
      <c r="CU25" s="305"/>
      <c r="CV25" s="305"/>
      <c r="CW25" s="118">
        <f>$CW$11*CK25/8760/1000</f>
        <v>10.87982300460231</v>
      </c>
    </row>
    <row r="26" spans="1:101">
      <c r="B26" t="s">
        <v>116</v>
      </c>
      <c r="F26" s="60">
        <v>0.02</v>
      </c>
      <c r="I26" t="s">
        <v>162</v>
      </c>
      <c r="J26" t="s">
        <v>210</v>
      </c>
      <c r="K26">
        <v>25</v>
      </c>
      <c r="L26">
        <f t="shared" ref="L26:L29" si="64">K26</f>
        <v>25</v>
      </c>
      <c r="M26" t="s">
        <v>209</v>
      </c>
      <c r="N26">
        <v>2722</v>
      </c>
      <c r="O26" s="106">
        <f>N26/K26</f>
        <v>108.88</v>
      </c>
      <c r="P26" s="105">
        <v>221.76</v>
      </c>
      <c r="Q26" s="105">
        <f>$Q$8*P26/(N26/1000)</f>
        <v>79.351300514327704</v>
      </c>
      <c r="R26" s="105">
        <f>P26*$Q$8</f>
        <v>215.99423999999999</v>
      </c>
      <c r="S26" s="105">
        <f t="shared" ref="S26:S29" si="65">$S$4*R26</f>
        <v>174.96783745656953</v>
      </c>
      <c r="T26" s="117">
        <f t="shared" ref="T26:T29" si="66">$T$1*L26</f>
        <v>21.683673469387756</v>
      </c>
      <c r="U26" s="118">
        <v>70000</v>
      </c>
      <c r="V26" t="s">
        <v>181</v>
      </c>
      <c r="W26" s="104" t="s">
        <v>211</v>
      </c>
      <c r="X26" t="s">
        <v>206</v>
      </c>
      <c r="Z26" t="s">
        <v>162</v>
      </c>
      <c r="AA26">
        <v>150</v>
      </c>
      <c r="AC26" t="s">
        <v>189</v>
      </c>
      <c r="AF26" s="105">
        <v>172.36</v>
      </c>
      <c r="AG26" s="105">
        <f t="shared" ref="AG26:AG29" si="67">AF26*$Q$8</f>
        <v>167.87864000000002</v>
      </c>
      <c r="AH26" s="118"/>
      <c r="AI26" t="s">
        <v>181</v>
      </c>
      <c r="AJ26" s="104" t="s">
        <v>190</v>
      </c>
      <c r="AK26" t="s">
        <v>182</v>
      </c>
      <c r="AL26" s="113"/>
      <c r="AM26" t="str">
        <f t="shared" si="13"/>
        <v>HID 150W-Retro</v>
      </c>
      <c r="AN26" t="str">
        <f t="shared" si="59"/>
        <v>Exterior Lighting: Façade</v>
      </c>
      <c r="AO26" t="str">
        <f t="shared" si="62"/>
        <v>HID 150W</v>
      </c>
      <c r="AP26" t="s">
        <v>304</v>
      </c>
      <c r="AQ26" t="str">
        <f t="shared" si="55"/>
        <v>Exterior Lighting: Façade - HID 150W - Retro</v>
      </c>
      <c r="AR26" s="89" t="str">
        <f t="shared" si="60"/>
        <v>HID 150W</v>
      </c>
      <c r="AS26" t="str">
        <f t="shared" si="63"/>
        <v>LED 27W</v>
      </c>
      <c r="AT26" t="str">
        <f t="shared" si="18"/>
        <v>Exterior Lighting: Façade - HID 150W to LED 27W - Retro</v>
      </c>
      <c r="AU26" s="118">
        <v>4300</v>
      </c>
      <c r="AV26" s="118">
        <f>INDEX($K$25:$X$30,MATCH($AS26,$J$25:$J$30,0),MATCH(AV$11,$K$23:$X$23,0))</f>
        <v>2608</v>
      </c>
      <c r="AW26" s="118">
        <f>INDEX($AA$25:$AK$30,MATCH(CONCATENATE("Avg ",$AR26),$Z$25:$Z$30,0),MATCH(AW$11,$AA$23:$AK$23,0))</f>
        <v>178.25</v>
      </c>
      <c r="AX26" s="118">
        <f>INDEX($K$25:$X$30,MATCH($AS26,$J$25:$J$30,0),MATCH(AX$11,$K$23:$X$23,0))</f>
        <v>27.234693877551017</v>
      </c>
      <c r="AY26" s="155">
        <f t="shared" si="19"/>
        <v>0.84721069353407563</v>
      </c>
      <c r="AZ26" s="118">
        <f t="shared" si="6"/>
        <v>766.47499999999991</v>
      </c>
      <c r="BA26" s="118">
        <f t="shared" si="7"/>
        <v>117.10918367346936</v>
      </c>
      <c r="BB26" s="157">
        <f t="shared" si="20"/>
        <v>649.36581632653053</v>
      </c>
      <c r="BC26" s="161">
        <f>INDEX($AA$32:$AK$35,MATCH(CONCATENATE("Avg ",$AR26),$Z$32:$Z$35,0),MATCH(BC$11,$AA$23:$AK$23,0))</f>
        <v>30.999173333333335</v>
      </c>
      <c r="BD26" t="s">
        <v>274</v>
      </c>
      <c r="BE26" s="131">
        <f>INDEX($AA$25:$AK$30,MATCH(CONCATENATE("Avg ",$AR26),$Z$25:$Z$30,0),MATCH(BE$11,$AA$23:$AK$23,0))</f>
        <v>178.58874399999999</v>
      </c>
      <c r="BF26" s="131">
        <f>INDEX($K$25:$X$30,MATCH($AS26,$J$25:$J$30,0),MATCH(BF$11,$K$23:$X$23,0))</f>
        <v>185.89070335550872</v>
      </c>
      <c r="BG26" s="185">
        <f t="shared" si="22"/>
        <v>185.89070335550872</v>
      </c>
      <c r="BH26" s="118">
        <f>INDEX($AA$25:$AK$30,MATCH(CONCATENATE("Avg ",$AR26),$Z$25:$Z$30,0),MATCH(BH$11,$AA$23:$AK$23,0))</f>
        <v>24000</v>
      </c>
      <c r="BI26" s="118">
        <f>INDEX($K$25:$X$30,MATCH($AS26,$J$25:$J$30,0),MATCH(BI$11,$K$23:$X$23,0))</f>
        <v>70000</v>
      </c>
      <c r="BJ26" s="159">
        <f t="shared" si="23"/>
        <v>5.5813953488372094</v>
      </c>
      <c r="BK26" s="163">
        <f t="shared" si="24"/>
        <v>16.279069767441861</v>
      </c>
      <c r="BL26" s="158">
        <v>8.3333333333333329E-2</v>
      </c>
      <c r="BM26">
        <v>0.33</v>
      </c>
      <c r="BN26" s="161">
        <f t="shared" si="25"/>
        <v>10.833333333333332</v>
      </c>
      <c r="BO26" s="161">
        <f t="shared" si="26"/>
        <v>42.9</v>
      </c>
      <c r="BP26" s="164">
        <f t="shared" si="27"/>
        <v>42.9</v>
      </c>
      <c r="BQ26" s="186">
        <f t="shared" si="28"/>
        <v>228.79070335550873</v>
      </c>
      <c r="BR26" s="110">
        <f t="shared" si="29"/>
        <v>30.999173333333335</v>
      </c>
      <c r="BS26" s="110">
        <f t="shared" si="30"/>
        <v>10.833333333333332</v>
      </c>
      <c r="BT26" s="167">
        <f t="shared" si="31"/>
        <v>41.832506666666667</v>
      </c>
      <c r="BU26" s="163">
        <f t="shared" si="32"/>
        <v>5.5813953488372094</v>
      </c>
      <c r="BV26" s="171" t="s">
        <v>368</v>
      </c>
      <c r="BW26" s="183" t="str">
        <f t="shared" si="33"/>
        <v>R</v>
      </c>
      <c r="BX26" s="161">
        <f t="shared" si="34"/>
        <v>1.5150166511598266</v>
      </c>
      <c r="BY26" s="110">
        <f t="shared" si="35"/>
        <v>1.2835383077447895</v>
      </c>
      <c r="BZ26" s="155">
        <f t="shared" si="36"/>
        <v>0.15278930646592437</v>
      </c>
      <c r="CA26" s="155">
        <f t="shared" si="37"/>
        <v>0.84721069353407563</v>
      </c>
      <c r="CB26" t="str">
        <f t="shared" si="38"/>
        <v>Exterior Lighting: Façade - HID 150W</v>
      </c>
      <c r="CC26" t="str">
        <f t="shared" si="1"/>
        <v>HID 150W</v>
      </c>
      <c r="CD26" t="str">
        <f t="shared" si="2"/>
        <v>Retro</v>
      </c>
      <c r="CE26" s="315" t="s">
        <v>973</v>
      </c>
      <c r="CF26" t="s">
        <v>91</v>
      </c>
      <c r="CG26" s="159">
        <f>VLOOKUP(CE26,Watt_Allocation,MATCH(CF26,'Watt Allocation'!$C$38:$K$38,0))</f>
        <v>26.479843587764876</v>
      </c>
      <c r="CH26" s="325">
        <f t="shared" si="12"/>
        <v>0.69387755102040827</v>
      </c>
      <c r="CI26" s="159">
        <f t="shared" si="39"/>
        <v>18.373769020081753</v>
      </c>
      <c r="CJ26" s="159">
        <f t="shared" si="40"/>
        <v>15.566453594338375</v>
      </c>
      <c r="CK26" s="59">
        <f t="shared" si="41"/>
        <v>66.935750455655011</v>
      </c>
      <c r="CL26" s="110">
        <f t="shared" si="42"/>
        <v>23.583436394929372</v>
      </c>
      <c r="CM26" s="331">
        <f t="shared" si="43"/>
        <v>0.35232945375809921</v>
      </c>
      <c r="CN26" s="298">
        <f t="shared" si="44"/>
        <v>0.35232945375809926</v>
      </c>
      <c r="CO26" s="353">
        <f t="shared" si="45"/>
        <v>0.10307864807900002</v>
      </c>
      <c r="CP26" s="353">
        <f t="shared" si="46"/>
        <v>0.10307864807900001</v>
      </c>
      <c r="CQ26" s="155">
        <f t="shared" si="47"/>
        <v>0.15640362659205004</v>
      </c>
      <c r="CR26" s="353">
        <f t="shared" si="48"/>
        <v>0.10307864807900002</v>
      </c>
      <c r="CS26" s="357">
        <f t="shared" si="49"/>
        <v>0.10307864807900002</v>
      </c>
      <c r="CT26" s="305"/>
      <c r="CU26" s="305"/>
      <c r="CV26" s="305"/>
      <c r="CW26" s="118"/>
    </row>
    <row r="27" spans="1:101">
      <c r="I27" t="s">
        <v>162</v>
      </c>
      <c r="J27" t="s">
        <v>166</v>
      </c>
      <c r="K27">
        <v>30</v>
      </c>
      <c r="L27">
        <f t="shared" si="64"/>
        <v>30</v>
      </c>
      <c r="M27" t="s">
        <v>212</v>
      </c>
      <c r="N27">
        <v>2649</v>
      </c>
      <c r="O27" s="106">
        <f>N27/K27</f>
        <v>88.3</v>
      </c>
      <c r="P27" s="105">
        <v>234.99</v>
      </c>
      <c r="Q27" s="105">
        <f>$Q$8*P27/(N27/1000)</f>
        <v>86.402514156285392</v>
      </c>
      <c r="R27" s="105">
        <f>P27*$Q$8</f>
        <v>228.88025999999999</v>
      </c>
      <c r="S27" s="105">
        <f t="shared" si="65"/>
        <v>185.40625957755805</v>
      </c>
      <c r="T27" s="117">
        <f t="shared" si="66"/>
        <v>26.020408163265305</v>
      </c>
      <c r="U27" s="118">
        <v>70000</v>
      </c>
      <c r="V27" t="s">
        <v>213</v>
      </c>
      <c r="W27" s="104" t="s">
        <v>214</v>
      </c>
      <c r="X27" t="s">
        <v>206</v>
      </c>
      <c r="Z27" t="s">
        <v>162</v>
      </c>
      <c r="AA27">
        <v>150</v>
      </c>
      <c r="AB27">
        <v>188</v>
      </c>
      <c r="AC27" t="s">
        <v>196</v>
      </c>
      <c r="AF27" s="105">
        <v>163.5</v>
      </c>
      <c r="AG27" s="105">
        <f t="shared" si="67"/>
        <v>159.249</v>
      </c>
      <c r="AH27" s="118">
        <v>24000</v>
      </c>
      <c r="AI27" t="s">
        <v>167</v>
      </c>
      <c r="AJ27" s="104" t="s">
        <v>195</v>
      </c>
      <c r="AK27" t="s">
        <v>182</v>
      </c>
      <c r="AL27" s="113"/>
      <c r="AM27" t="str">
        <f t="shared" si="13"/>
        <v>HID 400W-Retro</v>
      </c>
      <c r="AN27" t="str">
        <f t="shared" si="59"/>
        <v>Exterior Lighting: Façade</v>
      </c>
      <c r="AO27" t="str">
        <f t="shared" si="62"/>
        <v>HID 400W</v>
      </c>
      <c r="AP27" t="s">
        <v>304</v>
      </c>
      <c r="AQ27" t="str">
        <f t="shared" si="55"/>
        <v>Exterior Lighting: Façade - HID 400W - Retro</v>
      </c>
      <c r="AR27" s="89" t="str">
        <f t="shared" si="60"/>
        <v>HID 400W</v>
      </c>
      <c r="AS27" t="str">
        <f t="shared" si="63"/>
        <v>LED 82W</v>
      </c>
      <c r="AT27" t="str">
        <f t="shared" si="18"/>
        <v>Exterior Lighting: Façade - HID 400W to LED 82W - Retro</v>
      </c>
      <c r="AU27" s="118">
        <v>4300</v>
      </c>
      <c r="AV27" s="118">
        <f>INDEX($K$38:$X$43,MATCH($AS27,$J$38:$J$43,0),MATCH(AV$11,$K$23:$X$23,0))</f>
        <v>7563</v>
      </c>
      <c r="AW27" s="118">
        <f>INDEX($AA$38:$AK$43,MATCH(CONCATENATE("Avg ",$AR27),$Z$38:$Z$43,0),MATCH(AW$11,$AA$23:$AK$23,0))</f>
        <v>455.66666666666669</v>
      </c>
      <c r="AX27" s="118">
        <f>INDEX($K$38:$X$43,MATCH($AS27,$J$38:$J$43,0),MATCH(AX$11,$K$23:$X$23,0))</f>
        <v>81.964285714285708</v>
      </c>
      <c r="AY27" s="155">
        <f t="shared" si="19"/>
        <v>0.8201222698296583</v>
      </c>
      <c r="AZ27" s="118">
        <f t="shared" si="6"/>
        <v>1959.3666666666666</v>
      </c>
      <c r="BA27" s="118">
        <f t="shared" si="7"/>
        <v>352.44642857142856</v>
      </c>
      <c r="BB27" s="157">
        <f t="shared" si="20"/>
        <v>1606.9202380952379</v>
      </c>
      <c r="BC27" s="161">
        <f>INDEX($AA$45:$AK$48,MATCH(CONCATENATE("Avg ",$AR27),$Z$45:$Z$48,0),MATCH(BC$11,$AA$23:$AK$23,0))</f>
        <v>28.431060000000002</v>
      </c>
      <c r="BD27" t="s">
        <v>274</v>
      </c>
      <c r="BE27" s="131">
        <f>INDEX($AA$38:$AK$43,MATCH(CONCATENATE("Avg ",$AR27),$Z$38:$Z$43,0),MATCH(BE$11,$AA$23:$AK$23,0))</f>
        <v>276.78352800000005</v>
      </c>
      <c r="BF27" s="131">
        <f>INDEX($K$38:$X$43,MATCH($AS27,$J$38:$J$43,0),MATCH(BF$11,$K$23:$X$23,0))</f>
        <v>328.64658006207537</v>
      </c>
      <c r="BG27" s="185">
        <f t="shared" si="22"/>
        <v>328.64658006207537</v>
      </c>
      <c r="BH27" s="118">
        <f>INDEX($AA$38:$AK$43,MATCH(CONCATENATE("Avg ",$AR27),$Z$38:$Z$43,0),MATCH(BH$11,$AA$23:$AK$23,0))</f>
        <v>16000</v>
      </c>
      <c r="BI27" s="118">
        <f>INDEX($K$38:$X$43,MATCH($AS27,$J$38:$J$43,0),MATCH(BI$11,$K$23:$X$23,0))</f>
        <v>70000</v>
      </c>
      <c r="BJ27" s="159">
        <f t="shared" si="23"/>
        <v>3.7209302325581395</v>
      </c>
      <c r="BK27" s="163">
        <f t="shared" si="24"/>
        <v>16.279069767441861</v>
      </c>
      <c r="BL27" s="158">
        <v>8.3333333333333329E-2</v>
      </c>
      <c r="BM27">
        <v>0.33</v>
      </c>
      <c r="BN27" s="161">
        <f t="shared" si="25"/>
        <v>10.833333333333332</v>
      </c>
      <c r="BO27" s="161">
        <f t="shared" si="26"/>
        <v>42.9</v>
      </c>
      <c r="BP27" s="164">
        <f t="shared" si="27"/>
        <v>42.9</v>
      </c>
      <c r="BQ27" s="186">
        <f t="shared" si="28"/>
        <v>371.54658006207535</v>
      </c>
      <c r="BR27" s="110">
        <f t="shared" si="29"/>
        <v>28.431060000000002</v>
      </c>
      <c r="BS27" s="110">
        <f t="shared" si="30"/>
        <v>10.833333333333332</v>
      </c>
      <c r="BT27" s="167">
        <f t="shared" si="31"/>
        <v>39.264393333333331</v>
      </c>
      <c r="BU27" s="163">
        <f t="shared" si="32"/>
        <v>3.7209302325581395</v>
      </c>
      <c r="BV27" s="171" t="s">
        <v>368</v>
      </c>
      <c r="BW27" s="183" t="str">
        <f t="shared" si="33"/>
        <v>R</v>
      </c>
      <c r="BX27" s="161">
        <f t="shared" si="34"/>
        <v>0.99423123587061035</v>
      </c>
      <c r="BY27" s="110">
        <f t="shared" si="35"/>
        <v>0.81539117789775128</v>
      </c>
      <c r="BZ27" s="155">
        <f t="shared" si="36"/>
        <v>0.1798777301703417</v>
      </c>
      <c r="CA27" s="155">
        <f t="shared" si="37"/>
        <v>0.8201222698296583</v>
      </c>
      <c r="CB27" t="str">
        <f t="shared" si="38"/>
        <v>Exterior Lighting: Façade - HID 400W</v>
      </c>
      <c r="CC27" t="str">
        <f t="shared" si="1"/>
        <v>HID 400W</v>
      </c>
      <c r="CD27" t="str">
        <f t="shared" si="2"/>
        <v>Retro</v>
      </c>
      <c r="CE27" s="315" t="s">
        <v>973</v>
      </c>
      <c r="CF27" t="s">
        <v>91</v>
      </c>
      <c r="CG27" s="159">
        <f>VLOOKUP(CE27,Watt_Allocation,MATCH(CF27,'Watt Allocation'!$C$38:$K$38,0))</f>
        <v>26.479843587764876</v>
      </c>
      <c r="CH27" s="327">
        <f t="shared" si="12"/>
        <v>0.30927835051546387</v>
      </c>
      <c r="CI27" s="159">
        <f t="shared" si="39"/>
        <v>8.1896423467314037</v>
      </c>
      <c r="CJ27" s="159">
        <f t="shared" si="40"/>
        <v>6.7165080704944486</v>
      </c>
      <c r="CK27" s="59">
        <f t="shared" si="41"/>
        <v>28.880984703126131</v>
      </c>
      <c r="CL27" s="110">
        <f t="shared" si="42"/>
        <v>6.6777621196626242</v>
      </c>
      <c r="CM27" s="331">
        <f t="shared" si="43"/>
        <v>0.23121656648153727</v>
      </c>
      <c r="CN27" s="298">
        <f t="shared" si="44"/>
        <v>0.23121656648153732</v>
      </c>
      <c r="CO27" s="353">
        <f t="shared" si="45"/>
        <v>1.7972880058664389E-2</v>
      </c>
      <c r="CP27" s="353">
        <f t="shared" si="46"/>
        <v>1.7972880058664386E-2</v>
      </c>
      <c r="CQ27" s="155">
        <f t="shared" si="47"/>
        <v>0.15640362659205004</v>
      </c>
      <c r="CR27" s="353">
        <f t="shared" si="48"/>
        <v>1.7972880058664389E-2</v>
      </c>
      <c r="CS27" s="357">
        <f t="shared" si="49"/>
        <v>1.7972880058664389E-2</v>
      </c>
      <c r="CT27" s="305"/>
      <c r="CU27" s="305"/>
      <c r="CV27" s="305"/>
      <c r="CW27" s="118"/>
    </row>
    <row r="28" spans="1:101">
      <c r="I28" t="s">
        <v>162</v>
      </c>
      <c r="J28" t="s">
        <v>217</v>
      </c>
      <c r="K28">
        <v>42</v>
      </c>
      <c r="L28">
        <f t="shared" si="64"/>
        <v>42</v>
      </c>
      <c r="M28" t="s">
        <v>215</v>
      </c>
      <c r="N28">
        <v>2620</v>
      </c>
      <c r="O28" s="106">
        <f>N28/K28</f>
        <v>62.38095238095238</v>
      </c>
      <c r="P28" s="105">
        <v>200</v>
      </c>
      <c r="Q28" s="105">
        <f>$Q$8*P28/(N28/1000)</f>
        <v>74.351145038167928</v>
      </c>
      <c r="R28" s="105">
        <f>P28*$Q$8</f>
        <v>194.79999999999998</v>
      </c>
      <c r="S28" s="105">
        <f t="shared" si="65"/>
        <v>157.79927620541986</v>
      </c>
      <c r="T28" s="117">
        <f t="shared" si="66"/>
        <v>36.428571428571431</v>
      </c>
      <c r="U28" s="118">
        <v>50000</v>
      </c>
      <c r="V28" t="s">
        <v>213</v>
      </c>
      <c r="W28" s="104" t="s">
        <v>218</v>
      </c>
      <c r="X28" t="s">
        <v>221</v>
      </c>
      <c r="Z28" t="s">
        <v>162</v>
      </c>
      <c r="AA28">
        <v>150</v>
      </c>
      <c r="AB28">
        <v>165</v>
      </c>
      <c r="AC28" t="s">
        <v>197</v>
      </c>
      <c r="AF28" s="105">
        <v>122.25</v>
      </c>
      <c r="AG28" s="105">
        <f t="shared" si="67"/>
        <v>119.0715</v>
      </c>
      <c r="AH28" s="118">
        <v>24000</v>
      </c>
      <c r="AI28" t="s">
        <v>167</v>
      </c>
      <c r="AJ28" s="104" t="s">
        <v>198</v>
      </c>
      <c r="AK28" t="s">
        <v>182</v>
      </c>
      <c r="AL28" s="113"/>
      <c r="AM28" t="str">
        <f t="shared" si="13"/>
        <v>HID 150W-New</v>
      </c>
      <c r="AN28" s="173" t="str">
        <f>$A$49</f>
        <v>Exterior Lighting: Walkway</v>
      </c>
      <c r="AO28" s="173" t="str">
        <f>Z52</f>
        <v>HID 150W</v>
      </c>
      <c r="AP28" s="173" t="s">
        <v>41</v>
      </c>
      <c r="AQ28" s="173" t="str">
        <f t="shared" si="55"/>
        <v>Exterior Lighting: Walkway - HID 150W - New</v>
      </c>
      <c r="AR28" s="173" t="str">
        <f t="shared" si="60"/>
        <v>HID 150W</v>
      </c>
      <c r="AS28" s="173" t="str">
        <f>J58</f>
        <v>LED 28W</v>
      </c>
      <c r="AT28" s="173" t="str">
        <f t="shared" si="18"/>
        <v>Exterior Lighting: Walkway - HID 150W to LED 28W - New</v>
      </c>
      <c r="AU28" s="174">
        <v>4300</v>
      </c>
      <c r="AV28" s="174">
        <f t="shared" ref="AV28:AV36" si="68">INDEX($K$52:$X$67,MATCH($AS28,$J$52:$J$67,0),MATCH(AV$11,$K$50:$X$50,0))</f>
        <v>2911.8333333333335</v>
      </c>
      <c r="AW28" s="175">
        <f>INDEX($AA$52:$AK$57,MATCH(CONCATENATE("Avg ",$AR28),$Z$52:$Z$57,0),MATCH(AW$11,$AA$50:$AK$50,0))</f>
        <v>178.25</v>
      </c>
      <c r="AX28" s="175">
        <f t="shared" ref="AX28:AX36" si="69">INDEX($K$52:$X$67,MATCH($AS28,$J$52:$J$67,0),MATCH(AX$11,$K$50:$X$50,0))</f>
        <v>27.581632653061224</v>
      </c>
      <c r="AY28" s="176">
        <f t="shared" si="19"/>
        <v>0.84526433294215297</v>
      </c>
      <c r="AZ28" s="174">
        <f t="shared" si="6"/>
        <v>766.47499999999991</v>
      </c>
      <c r="BA28" s="174">
        <f t="shared" si="7"/>
        <v>118.60102040816327</v>
      </c>
      <c r="BB28" s="157">
        <f t="shared" si="20"/>
        <v>647.87397959183659</v>
      </c>
      <c r="BC28" s="180">
        <f>INDEX($AA$59:$AK$62,MATCH(CONCATENATE("Avg ",$AR28),$Z$59:$Z$62,0),MATCH(BC$11,$AA$50:$AK$50,0))</f>
        <v>30.999173333333335</v>
      </c>
      <c r="BD28" s="175" t="s">
        <v>274</v>
      </c>
      <c r="BE28" s="177">
        <f>INDEX($AA$52:$AK$57,MATCH(CONCATENATE("Avg ",$AR28),$Z$52:$Z$57,0),MATCH(BE$11,$AA$50:$AK$50,0))</f>
        <v>178.58874399999999</v>
      </c>
      <c r="BF28" s="177">
        <f>INDEX($K$52:$X$58,MATCH($AS28,$J$52:$J$58,0),MATCH(BF$11,$K$50:$X$50,0))</f>
        <v>185.259506250687</v>
      </c>
      <c r="BG28" s="182">
        <f t="shared" si="22"/>
        <v>6.6707622506870052</v>
      </c>
      <c r="BH28" s="174">
        <f>INDEX($AA$52:$AK$57,MATCH(CONCATENATE("Avg ",$AR28),$Z$52:$Z$57,0),MATCH(BH$11,$AA$50:$AK$50,0))</f>
        <v>24000</v>
      </c>
      <c r="BI28" s="174">
        <f t="shared" ref="BI28:BI36" si="70">INDEX($K$52:$X$67,MATCH($AS28,$J$52:$J$67,0),MATCH(BI$11,$K$50:$X$50,0))</f>
        <v>70000</v>
      </c>
      <c r="BJ28" s="178">
        <f t="shared" si="23"/>
        <v>5.5813953488372094</v>
      </c>
      <c r="BK28" s="163">
        <f t="shared" si="24"/>
        <v>16.279069767441861</v>
      </c>
      <c r="BL28" s="179">
        <v>8.3333333333333329E-2</v>
      </c>
      <c r="BM28" s="173">
        <v>0.25</v>
      </c>
      <c r="BN28" s="182">
        <f>BL28*$BN$3</f>
        <v>8.3333333333333321</v>
      </c>
      <c r="BO28" s="182">
        <f>BM28*$BN$3</f>
        <v>25</v>
      </c>
      <c r="BP28" s="177">
        <f t="shared" si="27"/>
        <v>0</v>
      </c>
      <c r="BQ28" s="186">
        <f t="shared" si="28"/>
        <v>6.6707622506870052</v>
      </c>
      <c r="BR28" s="182">
        <f t="shared" si="29"/>
        <v>30.999173333333335</v>
      </c>
      <c r="BS28" s="182">
        <f t="shared" si="30"/>
        <v>8.3333333333333321</v>
      </c>
      <c r="BT28" s="167">
        <f t="shared" si="31"/>
        <v>39.332506666666667</v>
      </c>
      <c r="BU28" s="163">
        <f t="shared" si="32"/>
        <v>5.5813953488372094</v>
      </c>
      <c r="BV28" s="171" t="s">
        <v>368</v>
      </c>
      <c r="BW28" s="183" t="str">
        <f t="shared" si="33"/>
        <v>L</v>
      </c>
      <c r="BX28" s="161">
        <f t="shared" si="34"/>
        <v>4.4274470933414148E-2</v>
      </c>
      <c r="BY28" s="110">
        <f t="shared" si="35"/>
        <v>3.742363113989905E-2</v>
      </c>
      <c r="BZ28" s="155">
        <f t="shared" si="36"/>
        <v>0.15473566705784697</v>
      </c>
      <c r="CA28" s="155">
        <f t="shared" si="37"/>
        <v>0.84526433294215297</v>
      </c>
      <c r="CB28" t="str">
        <f t="shared" si="38"/>
        <v>Exterior Lighting: Walkway - HID 150W</v>
      </c>
      <c r="CC28" t="str">
        <f t="shared" si="1"/>
        <v>HID 150W</v>
      </c>
      <c r="CD28" t="str">
        <f t="shared" si="2"/>
        <v>New</v>
      </c>
      <c r="CE28" s="315" t="s">
        <v>974</v>
      </c>
      <c r="CF28" t="s">
        <v>91</v>
      </c>
      <c r="CG28" s="159">
        <f>VLOOKUP(CE28,Watt_Allocation,MATCH(CF28,'Watt Allocation'!$C$38:$K$38,0))</f>
        <v>20.017342078658384</v>
      </c>
      <c r="CH28" s="325">
        <f t="shared" si="12"/>
        <v>0.67010309278350511</v>
      </c>
      <c r="CI28" s="159">
        <f t="shared" si="39"/>
        <v>13.413682836214379</v>
      </c>
      <c r="CJ28" s="159">
        <f t="shared" si="40"/>
        <v>11.338107674850354</v>
      </c>
      <c r="CK28" s="59">
        <f t="shared" si="41"/>
        <v>48.753863001856523</v>
      </c>
      <c r="CL28" s="110">
        <f t="shared" si="42"/>
        <v>0.50198871869008188</v>
      </c>
      <c r="CM28" s="331">
        <f t="shared" si="43"/>
        <v>1.0296388589166081E-2</v>
      </c>
      <c r="CN28" s="298">
        <f t="shared" si="44"/>
        <v>1.0296388589166082E-2</v>
      </c>
      <c r="CO28" s="353">
        <f t="shared" si="45"/>
        <v>7.5252077622521077E-2</v>
      </c>
      <c r="CP28" s="353">
        <f t="shared" si="46"/>
        <v>7.5252077622521077E-2</v>
      </c>
      <c r="CQ28" s="155">
        <f t="shared" si="47"/>
        <v>0.11823275637785145</v>
      </c>
      <c r="CR28" s="353">
        <f t="shared" si="48"/>
        <v>7.5252077622521077E-2</v>
      </c>
      <c r="CS28" s="357">
        <f t="shared" si="49"/>
        <v>7.5252077622521077E-2</v>
      </c>
      <c r="CT28" s="305"/>
      <c r="CU28" s="305"/>
      <c r="CV28" s="305"/>
      <c r="CW28" s="118"/>
    </row>
    <row r="29" spans="1:101">
      <c r="I29" t="s">
        <v>162</v>
      </c>
      <c r="J29" t="s">
        <v>166</v>
      </c>
      <c r="K29">
        <v>30</v>
      </c>
      <c r="L29">
        <f t="shared" si="64"/>
        <v>30</v>
      </c>
      <c r="M29" t="s">
        <v>219</v>
      </c>
      <c r="N29">
        <v>2400</v>
      </c>
      <c r="O29" s="106">
        <f>N29/K29</f>
        <v>80</v>
      </c>
      <c r="P29" s="105">
        <v>227.27</v>
      </c>
      <c r="Q29" s="105">
        <f>$Q$8*P29/(N29/1000)</f>
        <v>92.233741666666674</v>
      </c>
      <c r="R29" s="105">
        <f>P29*$Q$8</f>
        <v>221.36098000000001</v>
      </c>
      <c r="S29" s="105">
        <f t="shared" si="65"/>
        <v>179.31520751602886</v>
      </c>
      <c r="T29" s="117">
        <f t="shared" si="66"/>
        <v>26.020408163265305</v>
      </c>
      <c r="U29" s="118">
        <v>50000</v>
      </c>
      <c r="V29" t="s">
        <v>167</v>
      </c>
      <c r="W29" s="104" t="s">
        <v>220</v>
      </c>
      <c r="X29" t="s">
        <v>206</v>
      </c>
      <c r="Z29" t="s">
        <v>162</v>
      </c>
      <c r="AA29">
        <v>150</v>
      </c>
      <c r="AB29">
        <v>180</v>
      </c>
      <c r="AC29" t="s">
        <v>254</v>
      </c>
      <c r="AF29" s="105">
        <v>211.74</v>
      </c>
      <c r="AG29" s="105">
        <f t="shared" si="67"/>
        <v>206.23475999999999</v>
      </c>
      <c r="AI29" t="s">
        <v>213</v>
      </c>
      <c r="AJ29" t="s">
        <v>255</v>
      </c>
      <c r="AK29" t="s">
        <v>182</v>
      </c>
      <c r="AL29" s="113"/>
      <c r="AM29" t="str">
        <f t="shared" si="13"/>
        <v>CFL 26W-New</v>
      </c>
      <c r="AN29" s="173" t="str">
        <f t="shared" ref="AN29:AN36" si="71">$A$49</f>
        <v>Exterior Lighting: Walkway</v>
      </c>
      <c r="AO29" s="173" t="str">
        <f>Z65</f>
        <v>CFL 26W</v>
      </c>
      <c r="AP29" s="173" t="s">
        <v>41</v>
      </c>
      <c r="AQ29" s="173" t="str">
        <f t="shared" si="55"/>
        <v>Exterior Lighting: Walkway - CFL 26W - New</v>
      </c>
      <c r="AR29" s="173" t="str">
        <f t="shared" si="60"/>
        <v>CFL 26W</v>
      </c>
      <c r="AS29" s="173" t="str">
        <f>$J$67</f>
        <v>LED 12W</v>
      </c>
      <c r="AT29" s="173" t="str">
        <f t="shared" si="18"/>
        <v>Exterior Lighting: Walkway - CFL 26W to LED 12W - New</v>
      </c>
      <c r="AU29" s="174">
        <v>4300</v>
      </c>
      <c r="AV29" s="174">
        <f t="shared" si="68"/>
        <v>1000</v>
      </c>
      <c r="AW29" s="175">
        <f>INDEX($AA$65:$AK$66,MATCH($AR29,$Z$65:$Z$66,0),MATCH(AW$11,$AA$50:$AK$50,0))</f>
        <v>26</v>
      </c>
      <c r="AX29" s="175">
        <f t="shared" si="69"/>
        <v>10.133333333333333</v>
      </c>
      <c r="AY29" s="176">
        <f t="shared" si="19"/>
        <v>0.61025641025641031</v>
      </c>
      <c r="AZ29" s="174">
        <f t="shared" si="6"/>
        <v>111.8</v>
      </c>
      <c r="BA29" s="174">
        <f t="shared" si="7"/>
        <v>43.573333333333331</v>
      </c>
      <c r="BB29" s="157">
        <f t="shared" si="20"/>
        <v>68.226666666666659</v>
      </c>
      <c r="BC29" s="180">
        <f>INDEX($AA$65:$AK$66,MATCH($AR29,$Z$65:$Z$66,0),MATCH(BC$11,$AA$50:$AK$50,0))</f>
        <v>1.45017</v>
      </c>
      <c r="BD29" s="182">
        <f>INDEX($K$52:$X$67,MATCH($AS29,$J$52:$J$67,0),MATCH(BD$11,$K$50:$X$50,0))</f>
        <v>5.4510599869194873</v>
      </c>
      <c r="BE29" s="464" t="s">
        <v>383</v>
      </c>
      <c r="BF29" s="464"/>
      <c r="BG29" s="182">
        <f>BD29-BC29</f>
        <v>4.0008899869194874</v>
      </c>
      <c r="BH29" s="174">
        <f>INDEX($AA$65:$AK$66,MATCH($AR29,$Z$65:$Z$66,0),MATCH(BH$11,$AA$50:$AK$50,0))</f>
        <v>10000</v>
      </c>
      <c r="BI29" s="174">
        <f t="shared" si="70"/>
        <v>28708</v>
      </c>
      <c r="BJ29" s="178">
        <f t="shared" si="23"/>
        <v>2.3255813953488373</v>
      </c>
      <c r="BK29" s="163">
        <f t="shared" si="24"/>
        <v>6.6762790697674417</v>
      </c>
      <c r="BL29" s="179">
        <v>8.3333333333333329E-2</v>
      </c>
      <c r="BM29" s="173">
        <v>0.25</v>
      </c>
      <c r="BN29" s="182">
        <f t="shared" ref="BN29:BN36" si="72">BL29*$BN$3</f>
        <v>8.3333333333333321</v>
      </c>
      <c r="BO29" s="182">
        <f t="shared" ref="BO29:BO36" si="73">BM29*$BN$3</f>
        <v>25</v>
      </c>
      <c r="BP29" s="177">
        <f t="shared" si="27"/>
        <v>0</v>
      </c>
      <c r="BQ29" s="186">
        <f t="shared" si="28"/>
        <v>4.0008899869194874</v>
      </c>
      <c r="BR29" s="182">
        <f t="shared" si="29"/>
        <v>1.45017</v>
      </c>
      <c r="BS29" s="182">
        <f t="shared" si="30"/>
        <v>8.3333333333333321</v>
      </c>
      <c r="BT29" s="167">
        <f t="shared" si="31"/>
        <v>9.7835033333333321</v>
      </c>
      <c r="BU29" s="163">
        <f t="shared" si="32"/>
        <v>2.3255813953488373</v>
      </c>
      <c r="BV29" s="171" t="s">
        <v>368</v>
      </c>
      <c r="BW29" s="183" t="str">
        <f t="shared" si="33"/>
        <v>L</v>
      </c>
      <c r="BX29" s="161">
        <f t="shared" si="34"/>
        <v>0.2521569319487072</v>
      </c>
      <c r="BY29" s="110">
        <f t="shared" si="35"/>
        <v>0.15388038411228797</v>
      </c>
      <c r="BZ29" s="155">
        <f t="shared" si="36"/>
        <v>0.38974358974358975</v>
      </c>
      <c r="CA29" s="155">
        <f t="shared" si="37"/>
        <v>0.61025641025641031</v>
      </c>
      <c r="CB29" t="str">
        <f t="shared" si="38"/>
        <v>Exterior Lighting: Walkway - CFL 26W</v>
      </c>
      <c r="CC29" t="str">
        <f t="shared" si="1"/>
        <v>CFL 26W</v>
      </c>
      <c r="CD29" t="str">
        <f t="shared" si="2"/>
        <v>New</v>
      </c>
      <c r="CE29" s="315" t="s">
        <v>974</v>
      </c>
      <c r="CF29" t="s">
        <v>88</v>
      </c>
      <c r="CG29" s="159">
        <f>VLOOKUP(CE29,Watt_Allocation,MATCH(CF29,'Watt Allocation'!$C$38:$K$38,0))</f>
        <v>4.2717310139836036</v>
      </c>
      <c r="CH29" s="326">
        <f t="shared" si="12"/>
        <v>0.20618556701030927</v>
      </c>
      <c r="CI29" s="159">
        <f t="shared" si="39"/>
        <v>0.88076928123373266</v>
      </c>
      <c r="CJ29" s="159">
        <f t="shared" si="40"/>
        <v>0.53749509982981636</v>
      </c>
      <c r="CK29" s="59">
        <f t="shared" si="41"/>
        <v>2.3112289292682102</v>
      </c>
      <c r="CL29" s="110">
        <f t="shared" si="42"/>
        <v>0.13553311531055059</v>
      </c>
      <c r="CM29" s="331">
        <f t="shared" si="43"/>
        <v>5.8641146964815635E-2</v>
      </c>
      <c r="CN29" s="298">
        <f t="shared" si="44"/>
        <v>5.8641146964815628E-2</v>
      </c>
      <c r="CO29" s="353">
        <f t="shared" si="45"/>
        <v>3.3875741585912798E-2</v>
      </c>
      <c r="CP29" s="353">
        <f t="shared" si="46"/>
        <v>3.3875741585912798E-2</v>
      </c>
      <c r="CQ29" s="155">
        <f t="shared" si="47"/>
        <v>2.523104867286587E-2</v>
      </c>
      <c r="CR29" s="353">
        <f t="shared" si="48"/>
        <v>3.3875741585912798E-2</v>
      </c>
      <c r="CS29" s="357">
        <f t="shared" si="49"/>
        <v>3.3875741585912798E-2</v>
      </c>
      <c r="CT29" s="305"/>
      <c r="CU29" s="305"/>
      <c r="CV29" s="305"/>
      <c r="CW29" s="118"/>
    </row>
    <row r="30" spans="1:101">
      <c r="J30" s="146" t="str">
        <f>CONCATENATE("LED ",TEXT(T30,"0"),"W")</f>
        <v>LED 27W</v>
      </c>
      <c r="N30" s="146">
        <f>AVERAGE(N25:N29)</f>
        <v>2608</v>
      </c>
      <c r="P30" s="105"/>
      <c r="Q30" s="105"/>
      <c r="R30" s="231">
        <f>AVERAGE(R25:R29)</f>
        <v>229.478296</v>
      </c>
      <c r="S30" s="135">
        <f>AVERAGE(S25:S29)</f>
        <v>185.89070335550872</v>
      </c>
      <c r="T30" s="136">
        <f>AVERAGE(T25:T29)</f>
        <v>27.234693877551017</v>
      </c>
      <c r="U30" s="118">
        <v>70000</v>
      </c>
      <c r="W30" s="104"/>
      <c r="Z30" s="138" t="str">
        <f>CONCATENATE("Avg ",Z29)</f>
        <v>Avg HID 150W</v>
      </c>
      <c r="AA30" s="113"/>
      <c r="AB30" s="136">
        <f>AVERAGE(AB24:AB29)</f>
        <v>178.25</v>
      </c>
      <c r="AC30" s="138"/>
      <c r="AD30" s="138"/>
      <c r="AE30" s="138"/>
      <c r="AF30" s="139"/>
      <c r="AG30" s="135">
        <f>AVERAGE(AG24:AG29)</f>
        <v>178.58874399999999</v>
      </c>
      <c r="AH30" s="140">
        <v>24000</v>
      </c>
      <c r="AI30" s="113"/>
      <c r="AJ30" s="114"/>
      <c r="AK30" s="113"/>
      <c r="AL30" s="113"/>
      <c r="AM30" t="str">
        <f t="shared" si="13"/>
        <v>INC 75W-New</v>
      </c>
      <c r="AN30" s="173" t="str">
        <f t="shared" si="71"/>
        <v>Exterior Lighting: Walkway</v>
      </c>
      <c r="AO30" s="173" t="str">
        <f>Z66</f>
        <v>INC 75W</v>
      </c>
      <c r="AP30" s="173" t="s">
        <v>41</v>
      </c>
      <c r="AQ30" s="173" t="str">
        <f t="shared" si="55"/>
        <v>Exterior Lighting: Walkway - INC 75W - New</v>
      </c>
      <c r="AR30" s="173" t="str">
        <f t="shared" si="60"/>
        <v>INC 75W</v>
      </c>
      <c r="AS30" s="173" t="str">
        <f>$J$67</f>
        <v>LED 12W</v>
      </c>
      <c r="AT30" s="173" t="str">
        <f t="shared" si="18"/>
        <v>Exterior Lighting: Walkway - INC 75W to LED 12W - New</v>
      </c>
      <c r="AU30" s="174">
        <v>4300</v>
      </c>
      <c r="AV30" s="174">
        <f t="shared" si="68"/>
        <v>1000</v>
      </c>
      <c r="AW30" s="175">
        <f>INDEX($AA$65:$AK$66,MATCH($AR30,$Z$65:$Z$66,0),MATCH(AW$11,$AA$50:$AK$50,0))</f>
        <v>75</v>
      </c>
      <c r="AX30" s="175">
        <f t="shared" si="69"/>
        <v>10.133333333333333</v>
      </c>
      <c r="AY30" s="176">
        <f t="shared" si="19"/>
        <v>0.86488888888888904</v>
      </c>
      <c r="AZ30" s="174">
        <f t="shared" si="6"/>
        <v>322.5</v>
      </c>
      <c r="BA30" s="174">
        <f t="shared" si="7"/>
        <v>43.573333333333331</v>
      </c>
      <c r="BB30" s="157">
        <f t="shared" si="20"/>
        <v>278.92666666666668</v>
      </c>
      <c r="BC30" s="180">
        <f>INDEX($AA$65:$AK$66,MATCH($AR30,$Z$65:$Z$66,0),MATCH(BC$11,$AA$50:$AK$50,0))</f>
        <v>0.67205999999999988</v>
      </c>
      <c r="BD30" s="182">
        <f>INDEX($K$52:$X$67,MATCH($AS30,$J$52:$J$67,0),MATCH(BD$11,$K$50:$X$50,0))</f>
        <v>5.4510599869194873</v>
      </c>
      <c r="BE30" s="464"/>
      <c r="BF30" s="464"/>
      <c r="BG30" s="182">
        <f>BD30-BC30</f>
        <v>4.7789999869194872</v>
      </c>
      <c r="BH30" s="174">
        <f>INDEX($AA$65:$AK$66,MATCH($AR30,$Z$65:$Z$66,0),MATCH(BH$11,$AA$50:$AK$50,0))</f>
        <v>1000</v>
      </c>
      <c r="BI30" s="174">
        <f t="shared" si="70"/>
        <v>28708</v>
      </c>
      <c r="BJ30" s="178">
        <f t="shared" si="23"/>
        <v>0.23255813953488372</v>
      </c>
      <c r="BK30" s="163">
        <f t="shared" si="24"/>
        <v>6.6762790697674417</v>
      </c>
      <c r="BL30" s="179">
        <v>8.3333333333333329E-2</v>
      </c>
      <c r="BM30" s="173">
        <v>0.25</v>
      </c>
      <c r="BN30" s="182">
        <f t="shared" si="72"/>
        <v>8.3333333333333321</v>
      </c>
      <c r="BO30" s="182">
        <f t="shared" si="73"/>
        <v>25</v>
      </c>
      <c r="BP30" s="177">
        <f t="shared" si="27"/>
        <v>0</v>
      </c>
      <c r="BQ30" s="186">
        <f t="shared" si="28"/>
        <v>4.7789999869194872</v>
      </c>
      <c r="BR30" s="182">
        <f t="shared" si="29"/>
        <v>0.67205999999999988</v>
      </c>
      <c r="BS30" s="182">
        <f t="shared" si="30"/>
        <v>8.3333333333333321</v>
      </c>
      <c r="BT30" s="167">
        <f t="shared" si="31"/>
        <v>9.0053933333333323</v>
      </c>
      <c r="BU30" s="163">
        <f t="shared" si="32"/>
        <v>0.23255813953488372</v>
      </c>
      <c r="BV30" s="171" t="s">
        <v>368</v>
      </c>
      <c r="BW30" s="183" t="str">
        <f t="shared" si="33"/>
        <v>L</v>
      </c>
      <c r="BX30" s="161">
        <f t="shared" si="34"/>
        <v>7.367420329269507E-2</v>
      </c>
      <c r="BY30" s="110">
        <f t="shared" si="35"/>
        <v>6.3719999825593163E-2</v>
      </c>
      <c r="BZ30" s="155">
        <f t="shared" si="36"/>
        <v>0.1351111111111111</v>
      </c>
      <c r="CA30" s="155">
        <f t="shared" si="37"/>
        <v>0.86488888888888904</v>
      </c>
      <c r="CB30" t="str">
        <f t="shared" si="38"/>
        <v>Exterior Lighting: Walkway - INC 75W</v>
      </c>
      <c r="CC30" t="str">
        <f t="shared" si="1"/>
        <v>INC 75W</v>
      </c>
      <c r="CD30" t="str">
        <f t="shared" si="2"/>
        <v>New</v>
      </c>
      <c r="CE30" s="315" t="s">
        <v>974</v>
      </c>
      <c r="CF30" t="s">
        <v>111</v>
      </c>
      <c r="CG30" s="159">
        <f>VLOOKUP(CE30,Watt_Allocation,MATCH(CF30,'Watt Allocation'!$C$38:$K$38,0))</f>
        <v>3.7289401276903824</v>
      </c>
      <c r="CH30" s="327">
        <f t="shared" si="12"/>
        <v>0.12371134020618556</v>
      </c>
      <c r="CI30" s="159">
        <f t="shared" si="39"/>
        <v>0.46131218074520192</v>
      </c>
      <c r="CJ30" s="159">
        <f t="shared" si="40"/>
        <v>0.39898377943562802</v>
      </c>
      <c r="CK30" s="59">
        <f t="shared" si="41"/>
        <v>1.7156302515732005</v>
      </c>
      <c r="CL30" s="110">
        <f t="shared" si="42"/>
        <v>2.9394812076628269E-2</v>
      </c>
      <c r="CM30" s="331">
        <f t="shared" si="43"/>
        <v>1.7133535649463971E-2</v>
      </c>
      <c r="CN30" s="298">
        <f t="shared" si="44"/>
        <v>1.7133535649463971E-2</v>
      </c>
      <c r="CO30" s="353">
        <f t="shared" si="45"/>
        <v>6.150829076602693E-3</v>
      </c>
      <c r="CP30" s="353">
        <f t="shared" si="46"/>
        <v>6.1508290766026921E-3</v>
      </c>
      <c r="CQ30" s="155">
        <f t="shared" si="47"/>
        <v>2.2025045479682405E-2</v>
      </c>
      <c r="CR30" s="353">
        <f t="shared" si="48"/>
        <v>6.150829076602693E-3</v>
      </c>
      <c r="CS30" s="357">
        <f t="shared" si="49"/>
        <v>6.150829076602693E-3</v>
      </c>
      <c r="CT30" s="305"/>
      <c r="CU30" s="305"/>
      <c r="CV30" s="305"/>
      <c r="CW30" s="118"/>
    </row>
    <row r="31" spans="1:101">
      <c r="U31" s="128"/>
      <c r="Z31" t="s">
        <v>234</v>
      </c>
      <c r="AA31" s="113"/>
      <c r="AB31" s="113"/>
      <c r="AC31" s="113"/>
      <c r="AD31" s="113"/>
      <c r="AE31" s="113"/>
      <c r="AF31" s="112" t="s">
        <v>236</v>
      </c>
      <c r="AG31" s="112" t="s">
        <v>236</v>
      </c>
      <c r="AH31" s="112"/>
      <c r="AI31" s="113"/>
      <c r="AJ31" s="114"/>
      <c r="AK31" s="113"/>
      <c r="AL31" s="113"/>
      <c r="AM31" t="str">
        <f t="shared" si="13"/>
        <v>HID 150W-NR</v>
      </c>
      <c r="AN31" s="173" t="str">
        <f t="shared" si="71"/>
        <v>Exterior Lighting: Walkway</v>
      </c>
      <c r="AO31" s="173" t="str">
        <f>AO28</f>
        <v>HID 150W</v>
      </c>
      <c r="AP31" s="173" t="s">
        <v>303</v>
      </c>
      <c r="AQ31" s="173" t="str">
        <f t="shared" si="55"/>
        <v>Exterior Lighting: Walkway - HID 150W - NR</v>
      </c>
      <c r="AR31" s="173" t="str">
        <f t="shared" si="60"/>
        <v>HID 150W</v>
      </c>
      <c r="AS31" s="173" t="str">
        <f>$J$65</f>
        <v>LED 29W</v>
      </c>
      <c r="AT31" s="173" t="str">
        <f t="shared" si="18"/>
        <v>Exterior Lighting: Walkway - HID 150W to LED 29W - NR</v>
      </c>
      <c r="AU31" s="174">
        <v>4300</v>
      </c>
      <c r="AV31" s="174">
        <f t="shared" si="68"/>
        <v>3355.916666666667</v>
      </c>
      <c r="AW31" s="175">
        <f>INDEX($AA$52:$AK$57,MATCH(CONCATENATE("Avg ",$AR31),$Z$52:$Z$57,0),MATCH(AW$11,$AA$50:$AK$50,0))</f>
        <v>178.25</v>
      </c>
      <c r="AX31" s="175">
        <f t="shared" si="69"/>
        <v>29.374149659863942</v>
      </c>
      <c r="AY31" s="176">
        <f t="shared" si="19"/>
        <v>0.83520813655055293</v>
      </c>
      <c r="AZ31" s="174">
        <f t="shared" si="6"/>
        <v>766.47499999999991</v>
      </c>
      <c r="BA31" s="174">
        <f t="shared" si="7"/>
        <v>126.30884353741496</v>
      </c>
      <c r="BB31" s="157">
        <f t="shared" si="20"/>
        <v>640.16615646258492</v>
      </c>
      <c r="BC31" s="180">
        <f>INDEX($AA$59:$AK$62,MATCH(CONCATENATE("Avg ",$AR31),$Z$59:$Z$62,0),MATCH(BC$11,$AA$50:$AK$50,0))</f>
        <v>30.999173333333335</v>
      </c>
      <c r="BD31" s="182">
        <f>INDEX($K$61:$X$63,MATCH($J$63,$J$61:$J$63,0),MATCH(BD$11,$K$50:$X$50,0))</f>
        <v>125.15165086401556</v>
      </c>
      <c r="BE31" s="177">
        <f>INDEX($AA$52:$AK$57,MATCH(CONCATENATE("Avg ",$AR31),$Z$52:$Z$57,0),MATCH(BE$11,$AA$50:$AK$50,0))</f>
        <v>178.58874399999999</v>
      </c>
      <c r="BF31" s="177">
        <f>INDEX($K$52:$X$58,MATCH($AS$28,$J$52:$J$58,0),MATCH(BF$11,$K$50:$X$50,0))</f>
        <v>185.259506250687</v>
      </c>
      <c r="BG31" s="182">
        <f t="shared" si="22"/>
        <v>154.26033291735365</v>
      </c>
      <c r="BH31" s="174">
        <f>INDEX($AA$52:$AK$57,MATCH(CONCATENATE("Avg ",$AR31),$Z$52:$Z$57,0),MATCH(BH$11,$AA$50:$AK$50,0))</f>
        <v>24000</v>
      </c>
      <c r="BI31" s="174">
        <f t="shared" si="70"/>
        <v>60000</v>
      </c>
      <c r="BJ31" s="178">
        <f t="shared" si="23"/>
        <v>5.5813953488372094</v>
      </c>
      <c r="BK31" s="163">
        <f t="shared" si="24"/>
        <v>13.953488372093023</v>
      </c>
      <c r="BL31" s="179">
        <v>8.3333333333333329E-2</v>
      </c>
      <c r="BM31" s="173">
        <v>0.25</v>
      </c>
      <c r="BN31" s="182">
        <f t="shared" si="72"/>
        <v>8.3333333333333321</v>
      </c>
      <c r="BO31" s="182">
        <f t="shared" si="73"/>
        <v>25</v>
      </c>
      <c r="BP31" s="177">
        <v>0</v>
      </c>
      <c r="BQ31" s="186">
        <f t="shared" si="28"/>
        <v>154.26033291735365</v>
      </c>
      <c r="BR31" s="182">
        <f t="shared" si="29"/>
        <v>30.999173333333335</v>
      </c>
      <c r="BS31" s="182">
        <f t="shared" si="30"/>
        <v>8.3333333333333321</v>
      </c>
      <c r="BT31" s="167">
        <f t="shared" si="31"/>
        <v>39.332506666666667</v>
      </c>
      <c r="BU31" s="163">
        <f t="shared" si="32"/>
        <v>5.5813953488372094</v>
      </c>
      <c r="BV31" s="171" t="s">
        <v>368</v>
      </c>
      <c r="BW31" s="183" t="str">
        <f t="shared" si="33"/>
        <v>L</v>
      </c>
      <c r="BX31" s="161">
        <f t="shared" si="34"/>
        <v>1.0361676025017872</v>
      </c>
      <c r="BY31" s="110">
        <f t="shared" si="35"/>
        <v>0.86541561243957166</v>
      </c>
      <c r="BZ31" s="155">
        <f t="shared" si="36"/>
        <v>0.16479186344944707</v>
      </c>
      <c r="CA31" s="155">
        <f t="shared" si="37"/>
        <v>0.83520813655055293</v>
      </c>
      <c r="CB31" t="str">
        <f t="shared" si="38"/>
        <v>Exterior Lighting: Walkway - HID 150W</v>
      </c>
      <c r="CC31" t="str">
        <f t="shared" si="1"/>
        <v>HID 150W</v>
      </c>
      <c r="CD31" t="str">
        <f t="shared" si="2"/>
        <v>NR</v>
      </c>
      <c r="CE31" s="315" t="s">
        <v>974</v>
      </c>
      <c r="CF31" t="s">
        <v>91</v>
      </c>
      <c r="CG31" s="159">
        <f>VLOOKUP(CE31,Watt_Allocation,MATCH(CF31,'Watt Allocation'!$C$38:$K$38,0))</f>
        <v>20.017342078658384</v>
      </c>
      <c r="CH31" s="354">
        <f t="shared" si="12"/>
        <v>0.67010309278350511</v>
      </c>
      <c r="CI31" s="159">
        <f t="shared" si="39"/>
        <v>13.413682836214379</v>
      </c>
      <c r="CJ31" s="159">
        <f t="shared" si="40"/>
        <v>11.203217045914748</v>
      </c>
      <c r="CK31" s="59">
        <f t="shared" si="41"/>
        <v>48.173833297433418</v>
      </c>
      <c r="CL31" s="110">
        <f t="shared" si="42"/>
        <v>11.608410546772639</v>
      </c>
      <c r="CM31" s="331">
        <f t="shared" si="43"/>
        <v>0.24096920988413653</v>
      </c>
      <c r="CN31" s="298">
        <f t="shared" si="44"/>
        <v>0.24096920988413659</v>
      </c>
      <c r="CO31" s="353">
        <f t="shared" si="45"/>
        <v>7.5252077622521091E-2</v>
      </c>
      <c r="CP31" s="353">
        <f t="shared" si="46"/>
        <v>7.5252077622521063E-2</v>
      </c>
      <c r="CQ31" s="155">
        <f t="shared" si="47"/>
        <v>0.11823275637785145</v>
      </c>
      <c r="CR31" s="353">
        <f t="shared" si="48"/>
        <v>7.5252077622521091E-2</v>
      </c>
      <c r="CS31" s="357">
        <f t="shared" si="49"/>
        <v>7.5252077622521091E-2</v>
      </c>
      <c r="CT31" s="307">
        <f t="shared" ref="CT31" si="74">1/BJ31</f>
        <v>0.17916666666666667</v>
      </c>
      <c r="CU31" s="305"/>
      <c r="CV31" s="305"/>
      <c r="CW31" s="118">
        <f>$CW$11*CK31/8760/1000</f>
        <v>18.147676927115327</v>
      </c>
    </row>
    <row r="32" spans="1:101">
      <c r="U32" s="128"/>
      <c r="Z32" t="s">
        <v>162</v>
      </c>
      <c r="AA32">
        <v>150</v>
      </c>
      <c r="AB32" s="129"/>
      <c r="AC32" s="141" t="s">
        <v>259</v>
      </c>
      <c r="AD32" s="141"/>
      <c r="AE32" s="141"/>
      <c r="AF32" s="112">
        <v>23.17</v>
      </c>
      <c r="AG32" s="105">
        <f t="shared" ref="AG32:AG34" si="75">AF32*$Q$8</f>
        <v>22.56758</v>
      </c>
      <c r="AH32" s="112"/>
      <c r="AI32" t="s">
        <v>181</v>
      </c>
      <c r="AJ32" s="114" t="s">
        <v>258</v>
      </c>
      <c r="AK32" s="141" t="s">
        <v>237</v>
      </c>
      <c r="AL32" s="113"/>
      <c r="AM32" t="str">
        <f t="shared" si="13"/>
        <v>CFL 26W-NR</v>
      </c>
      <c r="AN32" s="173" t="str">
        <f t="shared" si="71"/>
        <v>Exterior Lighting: Walkway</v>
      </c>
      <c r="AO32" s="173" t="str">
        <f t="shared" ref="AO32:AO36" si="76">AO29</f>
        <v>CFL 26W</v>
      </c>
      <c r="AP32" s="173" t="s">
        <v>303</v>
      </c>
      <c r="AQ32" s="173" t="str">
        <f t="shared" si="55"/>
        <v>Exterior Lighting: Walkway - CFL 26W - NR</v>
      </c>
      <c r="AR32" s="173" t="str">
        <f t="shared" si="60"/>
        <v>CFL 26W</v>
      </c>
      <c r="AS32" s="173" t="str">
        <f>$J$67</f>
        <v>LED 12W</v>
      </c>
      <c r="AT32" s="173" t="str">
        <f t="shared" si="18"/>
        <v>Exterior Lighting: Walkway - CFL 26W to LED 12W - NR</v>
      </c>
      <c r="AU32" s="174">
        <v>4300</v>
      </c>
      <c r="AV32" s="174">
        <f t="shared" si="68"/>
        <v>1000</v>
      </c>
      <c r="AW32" s="175">
        <f>INDEX($AA$65:$AK$66,MATCH($AR32,$Z$65:$Z$66,0),MATCH(AW$11,$AA$50:$AK$50,0))</f>
        <v>26</v>
      </c>
      <c r="AX32" s="175">
        <f t="shared" si="69"/>
        <v>10.133333333333333</v>
      </c>
      <c r="AY32" s="176">
        <f t="shared" si="19"/>
        <v>0.61025641025641031</v>
      </c>
      <c r="AZ32" s="174">
        <f t="shared" si="6"/>
        <v>111.8</v>
      </c>
      <c r="BA32" s="174">
        <f t="shared" si="7"/>
        <v>43.573333333333331</v>
      </c>
      <c r="BB32" s="157">
        <f t="shared" si="20"/>
        <v>68.226666666666659</v>
      </c>
      <c r="BC32" s="180">
        <f>INDEX($AA$65:$AK$66,MATCH($AR32,$Z$65:$Z$66,0),MATCH(BC$11,$AA$50:$AK$50,0))</f>
        <v>1.45017</v>
      </c>
      <c r="BD32" s="182">
        <f>INDEX($K$52:$X$67,MATCH($AS32,$J$52:$J$67,0),MATCH(BD$11,$K$50:$X$50,0))</f>
        <v>5.4510599869194873</v>
      </c>
      <c r="BE32" s="464" t="s">
        <v>383</v>
      </c>
      <c r="BF32" s="464"/>
      <c r="BG32" s="182">
        <f>BD32-BC32</f>
        <v>4.0008899869194874</v>
      </c>
      <c r="BH32" s="174">
        <f>INDEX($AA$65:$AK$66,MATCH($AR32,$Z$65:$Z$66,0),MATCH(BH$11,$AA$50:$AK$50,0))</f>
        <v>10000</v>
      </c>
      <c r="BI32" s="174">
        <f t="shared" si="70"/>
        <v>28708</v>
      </c>
      <c r="BJ32" s="178">
        <f t="shared" si="23"/>
        <v>2.3255813953488373</v>
      </c>
      <c r="BK32" s="163">
        <f t="shared" si="24"/>
        <v>6.6762790697674417</v>
      </c>
      <c r="BL32" s="179">
        <v>8.3333333333333329E-2</v>
      </c>
      <c r="BM32" s="173">
        <v>0.25</v>
      </c>
      <c r="BN32" s="182">
        <f t="shared" si="72"/>
        <v>8.3333333333333321</v>
      </c>
      <c r="BO32" s="182">
        <f t="shared" si="73"/>
        <v>25</v>
      </c>
      <c r="BP32" s="177">
        <v>0</v>
      </c>
      <c r="BQ32" s="186">
        <f t="shared" si="28"/>
        <v>4.0008899869194874</v>
      </c>
      <c r="BR32" s="182">
        <f t="shared" si="29"/>
        <v>1.45017</v>
      </c>
      <c r="BS32" s="182">
        <f t="shared" si="30"/>
        <v>8.3333333333333321</v>
      </c>
      <c r="BT32" s="167">
        <f t="shared" si="31"/>
        <v>9.7835033333333321</v>
      </c>
      <c r="BU32" s="163">
        <f t="shared" si="32"/>
        <v>2.3255813953488373</v>
      </c>
      <c r="BV32" s="171" t="s">
        <v>368</v>
      </c>
      <c r="BW32" s="183" t="str">
        <f t="shared" si="33"/>
        <v>L</v>
      </c>
      <c r="BX32" s="161">
        <f t="shared" si="34"/>
        <v>0.2521569319487072</v>
      </c>
      <c r="BY32" s="110">
        <f t="shared" si="35"/>
        <v>0.15388038411228797</v>
      </c>
      <c r="BZ32" s="155">
        <f t="shared" si="36"/>
        <v>0.38974358974358975</v>
      </c>
      <c r="CA32" s="155">
        <f t="shared" si="37"/>
        <v>0.61025641025641031</v>
      </c>
      <c r="CB32" t="str">
        <f t="shared" si="38"/>
        <v>Exterior Lighting: Walkway - CFL 26W</v>
      </c>
      <c r="CC32" t="str">
        <f t="shared" si="1"/>
        <v>CFL 26W</v>
      </c>
      <c r="CD32" t="str">
        <f t="shared" si="2"/>
        <v>NR</v>
      </c>
      <c r="CE32" s="315" t="s">
        <v>974</v>
      </c>
      <c r="CF32" t="s">
        <v>88</v>
      </c>
      <c r="CG32" s="159">
        <f>VLOOKUP(CE32,Watt_Allocation,MATCH(CF32,'Watt Allocation'!$C$38:$K$38,0))</f>
        <v>4.2717310139836036</v>
      </c>
      <c r="CH32" s="355">
        <f t="shared" si="12"/>
        <v>0.20618556701030927</v>
      </c>
      <c r="CI32" s="159">
        <f t="shared" si="39"/>
        <v>0.88076928123373266</v>
      </c>
      <c r="CJ32" s="159">
        <f t="shared" si="40"/>
        <v>0.53749509982981636</v>
      </c>
      <c r="CK32" s="59">
        <f t="shared" si="41"/>
        <v>2.3112289292682102</v>
      </c>
      <c r="CL32" s="110">
        <f t="shared" si="42"/>
        <v>0.13553311531055059</v>
      </c>
      <c r="CM32" s="331">
        <f t="shared" si="43"/>
        <v>5.8641146964815635E-2</v>
      </c>
      <c r="CN32" s="298">
        <f t="shared" si="44"/>
        <v>5.8641146964815628E-2</v>
      </c>
      <c r="CO32" s="353">
        <f t="shared" si="45"/>
        <v>3.3875741585912798E-2</v>
      </c>
      <c r="CP32" s="353">
        <f t="shared" si="46"/>
        <v>3.3875741585912798E-2</v>
      </c>
      <c r="CQ32" s="155">
        <f t="shared" si="47"/>
        <v>2.523104867286587E-2</v>
      </c>
      <c r="CR32" s="353">
        <f t="shared" si="48"/>
        <v>3.3875741585912798E-2</v>
      </c>
      <c r="CS32" s="357">
        <f t="shared" si="49"/>
        <v>3.3875741585912798E-2</v>
      </c>
      <c r="CT32" s="307">
        <f>CT31</f>
        <v>0.17916666666666667</v>
      </c>
      <c r="CU32" s="305"/>
      <c r="CV32" s="305"/>
      <c r="CW32" s="118">
        <f>$CW$11*CK32/8760/1000</f>
        <v>0.87066843225857238</v>
      </c>
    </row>
    <row r="33" spans="9:101" ht="12.75" customHeight="1">
      <c r="K33" s="107"/>
      <c r="L33" s="107"/>
      <c r="P33" s="108"/>
      <c r="Q33" s="108"/>
      <c r="R33" s="108"/>
      <c r="S33" s="108"/>
      <c r="T33" s="108"/>
      <c r="U33" s="118"/>
      <c r="Z33" t="s">
        <v>162</v>
      </c>
      <c r="AA33">
        <v>150</v>
      </c>
      <c r="AB33" s="129"/>
      <c r="AC33" s="141" t="s">
        <v>261</v>
      </c>
      <c r="AD33" s="141"/>
      <c r="AE33" s="141"/>
      <c r="AF33" s="115">
        <v>37.03</v>
      </c>
      <c r="AG33" s="105">
        <f t="shared" si="75"/>
        <v>36.067219999999999</v>
      </c>
      <c r="AH33" s="115"/>
      <c r="AI33" t="s">
        <v>181</v>
      </c>
      <c r="AJ33" s="114" t="s">
        <v>260</v>
      </c>
      <c r="AK33" s="141" t="s">
        <v>237</v>
      </c>
      <c r="AL33" s="113"/>
      <c r="AM33" t="str">
        <f t="shared" si="13"/>
        <v>INC 75W-NR</v>
      </c>
      <c r="AN33" s="173" t="str">
        <f t="shared" si="71"/>
        <v>Exterior Lighting: Walkway</v>
      </c>
      <c r="AO33" s="173" t="str">
        <f t="shared" si="76"/>
        <v>INC 75W</v>
      </c>
      <c r="AP33" s="173" t="s">
        <v>303</v>
      </c>
      <c r="AQ33" s="173" t="str">
        <f t="shared" si="55"/>
        <v>Exterior Lighting: Walkway - INC 75W - NR</v>
      </c>
      <c r="AR33" s="173" t="str">
        <f t="shared" si="60"/>
        <v>INC 75W</v>
      </c>
      <c r="AS33" s="173" t="str">
        <f>$J$67</f>
        <v>LED 12W</v>
      </c>
      <c r="AT33" s="173" t="str">
        <f t="shared" si="18"/>
        <v>Exterior Lighting: Walkway - INC 75W to LED 12W - NR</v>
      </c>
      <c r="AU33" s="174">
        <v>4300</v>
      </c>
      <c r="AV33" s="174">
        <f t="shared" si="68"/>
        <v>1000</v>
      </c>
      <c r="AW33" s="175">
        <f>INDEX($AA$65:$AK$66,MATCH($AR33,$Z$65:$Z$66,0),MATCH(AW$11,$AA$50:$AK$50,0))</f>
        <v>75</v>
      </c>
      <c r="AX33" s="175">
        <f t="shared" si="69"/>
        <v>10.133333333333333</v>
      </c>
      <c r="AY33" s="176">
        <f t="shared" si="19"/>
        <v>0.86488888888888904</v>
      </c>
      <c r="AZ33" s="174">
        <f t="shared" si="6"/>
        <v>322.5</v>
      </c>
      <c r="BA33" s="174">
        <f t="shared" si="7"/>
        <v>43.573333333333331</v>
      </c>
      <c r="BB33" s="157">
        <f t="shared" si="20"/>
        <v>278.92666666666668</v>
      </c>
      <c r="BC33" s="180">
        <f>INDEX($AA$65:$AK$66,MATCH($AR33,$Z$65:$Z$66,0),MATCH(BC$11,$AA$50:$AK$50,0))</f>
        <v>0.67205999999999988</v>
      </c>
      <c r="BD33" s="182">
        <f>INDEX($K$52:$X$67,MATCH($AS33,$J$52:$J$67,0),MATCH(BD$11,$K$50:$X$50,0))</f>
        <v>5.4510599869194873</v>
      </c>
      <c r="BE33" s="464"/>
      <c r="BF33" s="464"/>
      <c r="BG33" s="182">
        <f>BD33-BC33</f>
        <v>4.7789999869194872</v>
      </c>
      <c r="BH33" s="174">
        <f>INDEX($AA$65:$AK$66,MATCH($AR33,$Z$65:$Z$66,0),MATCH(BH$11,$AA$50:$AK$50,0))</f>
        <v>1000</v>
      </c>
      <c r="BI33" s="174">
        <f t="shared" si="70"/>
        <v>28708</v>
      </c>
      <c r="BJ33" s="178">
        <f t="shared" si="23"/>
        <v>0.23255813953488372</v>
      </c>
      <c r="BK33" s="163">
        <f t="shared" si="24"/>
        <v>6.6762790697674417</v>
      </c>
      <c r="BL33" s="179">
        <v>8.3333333333333329E-2</v>
      </c>
      <c r="BM33" s="173">
        <v>0.25</v>
      </c>
      <c r="BN33" s="182">
        <f t="shared" si="72"/>
        <v>8.3333333333333321</v>
      </c>
      <c r="BO33" s="182">
        <f t="shared" si="73"/>
        <v>25</v>
      </c>
      <c r="BP33" s="177">
        <v>0</v>
      </c>
      <c r="BQ33" s="186">
        <f t="shared" si="28"/>
        <v>4.7789999869194872</v>
      </c>
      <c r="BR33" s="182">
        <f t="shared" si="29"/>
        <v>0.67205999999999988</v>
      </c>
      <c r="BS33" s="182">
        <f t="shared" si="30"/>
        <v>8.3333333333333321</v>
      </c>
      <c r="BT33" s="167">
        <f t="shared" si="31"/>
        <v>9.0053933333333323</v>
      </c>
      <c r="BU33" s="163">
        <f t="shared" si="32"/>
        <v>0.23255813953488372</v>
      </c>
      <c r="BV33" s="171" t="s">
        <v>368</v>
      </c>
      <c r="BW33" s="183" t="str">
        <f t="shared" si="33"/>
        <v>L</v>
      </c>
      <c r="BX33" s="161">
        <f t="shared" si="34"/>
        <v>7.367420329269507E-2</v>
      </c>
      <c r="BY33" s="110">
        <f t="shared" si="35"/>
        <v>6.3719999825593163E-2</v>
      </c>
      <c r="BZ33" s="155">
        <f t="shared" si="36"/>
        <v>0.1351111111111111</v>
      </c>
      <c r="CA33" s="155">
        <f t="shared" si="37"/>
        <v>0.86488888888888904</v>
      </c>
      <c r="CB33" t="str">
        <f t="shared" si="38"/>
        <v>Exterior Lighting: Walkway - INC 75W</v>
      </c>
      <c r="CC33" t="str">
        <f t="shared" si="1"/>
        <v>INC 75W</v>
      </c>
      <c r="CD33" t="str">
        <f t="shared" si="2"/>
        <v>NR</v>
      </c>
      <c r="CE33" s="315" t="s">
        <v>974</v>
      </c>
      <c r="CF33" t="s">
        <v>111</v>
      </c>
      <c r="CG33" s="159">
        <f>VLOOKUP(CE33,Watt_Allocation,MATCH(CF33,'Watt Allocation'!$C$38:$K$38,0))</f>
        <v>3.7289401276903824</v>
      </c>
      <c r="CH33" s="356">
        <f t="shared" si="12"/>
        <v>0.12371134020618556</v>
      </c>
      <c r="CI33" s="159">
        <f t="shared" si="39"/>
        <v>0.46131218074520192</v>
      </c>
      <c r="CJ33" s="159">
        <f t="shared" si="40"/>
        <v>0.39898377943562802</v>
      </c>
      <c r="CK33" s="59">
        <f t="shared" si="41"/>
        <v>1.7156302515732005</v>
      </c>
      <c r="CL33" s="110">
        <f t="shared" si="42"/>
        <v>2.9394812076628269E-2</v>
      </c>
      <c r="CM33" s="331">
        <f t="shared" si="43"/>
        <v>1.7133535649463971E-2</v>
      </c>
      <c r="CN33" s="298">
        <f t="shared" si="44"/>
        <v>1.7133535649463971E-2</v>
      </c>
      <c r="CO33" s="353">
        <f t="shared" si="45"/>
        <v>6.150829076602693E-3</v>
      </c>
      <c r="CP33" s="353">
        <f t="shared" si="46"/>
        <v>6.1508290766026921E-3</v>
      </c>
      <c r="CQ33" s="155">
        <f t="shared" si="47"/>
        <v>2.2025045479682405E-2</v>
      </c>
      <c r="CR33" s="353">
        <f t="shared" si="48"/>
        <v>6.150829076602693E-3</v>
      </c>
      <c r="CS33" s="357">
        <f t="shared" si="49"/>
        <v>6.150829076602693E-3</v>
      </c>
      <c r="CT33" s="307">
        <v>1</v>
      </c>
      <c r="CU33" s="305"/>
      <c r="CV33" s="305"/>
      <c r="CW33" s="118">
        <f>$CW$11*CK33/8760/1000</f>
        <v>0.64629906737346599</v>
      </c>
    </row>
    <row r="34" spans="9:101">
      <c r="U34" s="118"/>
      <c r="Z34" t="s">
        <v>162</v>
      </c>
      <c r="AA34">
        <v>150</v>
      </c>
      <c r="AB34" s="129"/>
      <c r="AC34" s="141" t="s">
        <v>262</v>
      </c>
      <c r="AD34" s="141"/>
      <c r="AE34" s="141"/>
      <c r="AF34" s="112">
        <v>35.28</v>
      </c>
      <c r="AG34" s="105">
        <f t="shared" si="75"/>
        <v>34.362720000000003</v>
      </c>
      <c r="AH34" s="112"/>
      <c r="AI34" t="s">
        <v>181</v>
      </c>
      <c r="AJ34" s="114" t="s">
        <v>263</v>
      </c>
      <c r="AK34" s="141" t="s">
        <v>237</v>
      </c>
      <c r="AL34" s="113"/>
      <c r="AM34" t="str">
        <f t="shared" si="13"/>
        <v>HID 150W-Retro</v>
      </c>
      <c r="AN34" s="173" t="str">
        <f t="shared" si="71"/>
        <v>Exterior Lighting: Walkway</v>
      </c>
      <c r="AO34" s="173" t="str">
        <f t="shared" si="76"/>
        <v>HID 150W</v>
      </c>
      <c r="AP34" s="173" t="s">
        <v>304</v>
      </c>
      <c r="AQ34" s="173" t="str">
        <f t="shared" si="55"/>
        <v>Exterior Lighting: Walkway - HID 150W - Retro</v>
      </c>
      <c r="AR34" s="173" t="str">
        <f t="shared" si="60"/>
        <v>HID 150W</v>
      </c>
      <c r="AS34" s="173" t="str">
        <f>$J$65</f>
        <v>LED 29W</v>
      </c>
      <c r="AT34" s="173" t="str">
        <f t="shared" si="18"/>
        <v>Exterior Lighting: Walkway - HID 150W to LED 29W - Retro</v>
      </c>
      <c r="AU34" s="174">
        <v>4300</v>
      </c>
      <c r="AV34" s="174">
        <f t="shared" si="68"/>
        <v>3355.916666666667</v>
      </c>
      <c r="AW34" s="175">
        <f>INDEX($AA$52:$AK$57,MATCH(CONCATENATE("Avg ",$AR34),$Z$52:$Z$57,0),MATCH(AW$11,$AA$50:$AK$50,0))</f>
        <v>178.25</v>
      </c>
      <c r="AX34" s="175">
        <f t="shared" si="69"/>
        <v>29.374149659863942</v>
      </c>
      <c r="AY34" s="176">
        <f t="shared" si="19"/>
        <v>0.83520813655055293</v>
      </c>
      <c r="AZ34" s="174">
        <f t="shared" si="6"/>
        <v>766.47499999999991</v>
      </c>
      <c r="BA34" s="174">
        <f t="shared" si="7"/>
        <v>126.30884353741496</v>
      </c>
      <c r="BB34" s="157">
        <f t="shared" si="20"/>
        <v>640.16615646258492</v>
      </c>
      <c r="BC34" s="180">
        <f>INDEX($AA$59:$AK$62,MATCH(CONCATENATE("Avg ",$AR34),$Z$59:$Z$62,0),MATCH(BC$11,$AA$50:$AK$50,0))</f>
        <v>30.999173333333335</v>
      </c>
      <c r="BD34" s="182">
        <f>INDEX($K$61:$X$63,MATCH($J$63,$J$61:$J$63,0),MATCH(BD$11,$K$50:$X$50,0))</f>
        <v>125.15165086401556</v>
      </c>
      <c r="BE34" s="177">
        <f>INDEX($AA$52:$AK$57,MATCH(CONCATENATE("Avg ",$AR34),$Z$52:$Z$57,0),MATCH(BE$11,$AA$50:$AK$50,0))</f>
        <v>178.58874399999999</v>
      </c>
      <c r="BF34" s="177">
        <f>INDEX($K$52:$X$58,MATCH($AS$28,$J$52:$J$58,0),MATCH(BF$11,$K$50:$X$50,0))</f>
        <v>185.259506250687</v>
      </c>
      <c r="BG34" s="182">
        <f t="shared" ref="BG34" si="77">IF(AP34="New",BF34-BE34,IF(AP34="NR",BF34-BC34,IF(AP34="Retro",BF34,"ERROR")))</f>
        <v>185.259506250687</v>
      </c>
      <c r="BH34" s="174">
        <f>INDEX($AA$52:$AK$57,MATCH(CONCATENATE("Avg ",$AR34),$Z$52:$Z$57,0),MATCH(BH$11,$AA$50:$AK$50,0))</f>
        <v>24000</v>
      </c>
      <c r="BI34" s="174">
        <f t="shared" si="70"/>
        <v>60000</v>
      </c>
      <c r="BJ34" s="178">
        <f t="shared" si="23"/>
        <v>5.5813953488372094</v>
      </c>
      <c r="BK34" s="163">
        <f t="shared" si="24"/>
        <v>13.953488372093023</v>
      </c>
      <c r="BL34" s="179">
        <v>8.3333333333333329E-2</v>
      </c>
      <c r="BM34" s="173">
        <v>0.25</v>
      </c>
      <c r="BN34" s="182">
        <f t="shared" si="72"/>
        <v>8.3333333333333321</v>
      </c>
      <c r="BO34" s="182">
        <f t="shared" si="73"/>
        <v>25</v>
      </c>
      <c r="BP34" s="177">
        <f>BO34</f>
        <v>25</v>
      </c>
      <c r="BQ34" s="186">
        <f t="shared" si="28"/>
        <v>210.259506250687</v>
      </c>
      <c r="BR34" s="182">
        <f t="shared" si="29"/>
        <v>30.999173333333335</v>
      </c>
      <c r="BS34" s="182">
        <f t="shared" si="30"/>
        <v>8.3333333333333321</v>
      </c>
      <c r="BT34" s="167">
        <f t="shared" si="31"/>
        <v>39.332506666666667</v>
      </c>
      <c r="BU34" s="163">
        <f t="shared" si="32"/>
        <v>5.5813953488372094</v>
      </c>
      <c r="BV34" s="171" t="s">
        <v>368</v>
      </c>
      <c r="BW34" s="183" t="str">
        <f t="shared" si="33"/>
        <v>R</v>
      </c>
      <c r="BX34" s="161">
        <f t="shared" si="34"/>
        <v>1.4123143933036013</v>
      </c>
      <c r="BY34" s="110">
        <f t="shared" si="35"/>
        <v>1.1795764726546254</v>
      </c>
      <c r="BZ34" s="155">
        <f t="shared" si="36"/>
        <v>0.16479186344944707</v>
      </c>
      <c r="CA34" s="155">
        <f t="shared" si="37"/>
        <v>0.83520813655055293</v>
      </c>
      <c r="CB34" t="str">
        <f t="shared" si="38"/>
        <v>Exterior Lighting: Walkway - HID 150W</v>
      </c>
      <c r="CC34" t="str">
        <f t="shared" si="1"/>
        <v>HID 150W</v>
      </c>
      <c r="CD34" t="str">
        <f t="shared" si="2"/>
        <v>Retro</v>
      </c>
      <c r="CE34" s="315" t="s">
        <v>974</v>
      </c>
      <c r="CF34" t="s">
        <v>91</v>
      </c>
      <c r="CG34" s="159">
        <f>VLOOKUP(CE34,Watt_Allocation,MATCH(CF34,'Watt Allocation'!$C$38:$K$38,0))</f>
        <v>20.017342078658384</v>
      </c>
      <c r="CH34" s="354">
        <f t="shared" si="12"/>
        <v>0.67010309278350511</v>
      </c>
      <c r="CI34" s="159">
        <f t="shared" si="39"/>
        <v>13.413682836214379</v>
      </c>
      <c r="CJ34" s="159">
        <f t="shared" si="40"/>
        <v>11.203217045914748</v>
      </c>
      <c r="CK34" s="59">
        <f t="shared" si="41"/>
        <v>48.173833297433418</v>
      </c>
      <c r="CL34" s="110">
        <f t="shared" si="42"/>
        <v>15.822464685249653</v>
      </c>
      <c r="CM34" s="331">
        <f t="shared" si="43"/>
        <v>0.32844520774502356</v>
      </c>
      <c r="CN34" s="298">
        <f t="shared" si="44"/>
        <v>0.32844520774502362</v>
      </c>
      <c r="CO34" s="353">
        <f t="shared" si="45"/>
        <v>7.5252077622521091E-2</v>
      </c>
      <c r="CP34" s="353">
        <f t="shared" si="46"/>
        <v>7.5252077622521077E-2</v>
      </c>
      <c r="CQ34" s="155">
        <f t="shared" si="47"/>
        <v>0.11823275637785145</v>
      </c>
      <c r="CR34" s="353">
        <f t="shared" si="48"/>
        <v>7.5252077622521091E-2</v>
      </c>
      <c r="CS34" s="357">
        <f t="shared" si="49"/>
        <v>7.5252077622521091E-2</v>
      </c>
      <c r="CT34" s="305"/>
      <c r="CU34" s="305"/>
      <c r="CV34" s="305"/>
      <c r="CW34" s="118"/>
    </row>
    <row r="35" spans="9:101">
      <c r="Z35" s="138" t="str">
        <f>CONCATENATE("Avg ",Z34)</f>
        <v>Avg HID 150W</v>
      </c>
      <c r="AB35" s="136">
        <f>AB30</f>
        <v>178.25</v>
      </c>
      <c r="AC35" s="138"/>
      <c r="AD35" s="138"/>
      <c r="AE35" s="138"/>
      <c r="AF35" s="139"/>
      <c r="AG35" s="135">
        <f>AVERAGE(AG32:AG34)</f>
        <v>30.999173333333335</v>
      </c>
      <c r="AH35" s="140">
        <v>24000</v>
      </c>
      <c r="AL35" s="113"/>
      <c r="AM35" t="str">
        <f t="shared" si="13"/>
        <v>CFL 26W-Retro</v>
      </c>
      <c r="AN35" s="173" t="str">
        <f t="shared" si="71"/>
        <v>Exterior Lighting: Walkway</v>
      </c>
      <c r="AO35" s="173" t="str">
        <f t="shared" si="76"/>
        <v>CFL 26W</v>
      </c>
      <c r="AP35" s="173" t="s">
        <v>304</v>
      </c>
      <c r="AQ35" s="173" t="str">
        <f t="shared" si="55"/>
        <v>Exterior Lighting: Walkway - CFL 26W - Retro</v>
      </c>
      <c r="AR35" s="173" t="str">
        <f t="shared" si="60"/>
        <v>CFL 26W</v>
      </c>
      <c r="AS35" s="173" t="str">
        <f>$J$67</f>
        <v>LED 12W</v>
      </c>
      <c r="AT35" s="173" t="str">
        <f t="shared" si="18"/>
        <v>Exterior Lighting: Walkway - CFL 26W to LED 12W - Retro</v>
      </c>
      <c r="AU35" s="174">
        <v>4300</v>
      </c>
      <c r="AV35" s="174">
        <f t="shared" si="68"/>
        <v>1000</v>
      </c>
      <c r="AW35" s="175">
        <f>INDEX($AA$65:$AK$66,MATCH($AR35,$Z$65:$Z$66,0),MATCH(AW$11,$AA$50:$AK$50,0))</f>
        <v>26</v>
      </c>
      <c r="AX35" s="175">
        <f t="shared" si="69"/>
        <v>10.133333333333333</v>
      </c>
      <c r="AY35" s="176">
        <f t="shared" si="19"/>
        <v>0.61025641025641031</v>
      </c>
      <c r="AZ35" s="174">
        <f t="shared" si="6"/>
        <v>111.8</v>
      </c>
      <c r="BA35" s="174">
        <f t="shared" si="7"/>
        <v>43.573333333333331</v>
      </c>
      <c r="BB35" s="157">
        <f t="shared" si="20"/>
        <v>68.226666666666659</v>
      </c>
      <c r="BC35" s="180">
        <f>INDEX($AA$65:$AK$66,MATCH($AR35,$Z$65:$Z$66,0),MATCH(BC$11,$AA$50:$AK$50,0))</f>
        <v>1.45017</v>
      </c>
      <c r="BD35" s="182">
        <f>INDEX($K$52:$X$67,MATCH($AS35,$J$52:$J$67,0),MATCH(BD$11,$K$50:$X$50,0))</f>
        <v>5.4510599869194873</v>
      </c>
      <c r="BE35" s="464" t="s">
        <v>383</v>
      </c>
      <c r="BF35" s="464"/>
      <c r="BG35" s="182">
        <f>BD35</f>
        <v>5.4510599869194873</v>
      </c>
      <c r="BH35" s="174">
        <f>INDEX($AA$65:$AK$66,MATCH($AR35,$Z$65:$Z$66,0),MATCH(BH$11,$AA$50:$AK$50,0))</f>
        <v>10000</v>
      </c>
      <c r="BI35" s="174">
        <f t="shared" si="70"/>
        <v>28708</v>
      </c>
      <c r="BJ35" s="178">
        <f t="shared" si="23"/>
        <v>2.3255813953488373</v>
      </c>
      <c r="BK35" s="163">
        <f t="shared" si="24"/>
        <v>6.6762790697674417</v>
      </c>
      <c r="BL35" s="179">
        <v>8.3333333333333329E-2</v>
      </c>
      <c r="BM35" s="173">
        <v>0.25</v>
      </c>
      <c r="BN35" s="182">
        <f t="shared" si="72"/>
        <v>8.3333333333333321</v>
      </c>
      <c r="BO35" s="182">
        <f t="shared" si="73"/>
        <v>25</v>
      </c>
      <c r="BP35" s="177">
        <f t="shared" ref="BP35:BP36" si="78">BO35</f>
        <v>25</v>
      </c>
      <c r="BQ35" s="186">
        <f t="shared" si="28"/>
        <v>30.451059986919489</v>
      </c>
      <c r="BR35" s="182">
        <f t="shared" si="29"/>
        <v>1.45017</v>
      </c>
      <c r="BS35" s="182">
        <f t="shared" si="30"/>
        <v>8.3333333333333321</v>
      </c>
      <c r="BT35" s="167">
        <f t="shared" si="31"/>
        <v>9.7835033333333321</v>
      </c>
      <c r="BU35" s="163">
        <f t="shared" si="32"/>
        <v>2.3255813953488373</v>
      </c>
      <c r="BV35" s="171" t="s">
        <v>368</v>
      </c>
      <c r="BW35" s="183" t="str">
        <f t="shared" si="33"/>
        <v>R</v>
      </c>
      <c r="BX35" s="161">
        <f t="shared" si="34"/>
        <v>1.9191844529571107</v>
      </c>
      <c r="BY35" s="110">
        <f t="shared" si="35"/>
        <v>1.1711946148815189</v>
      </c>
      <c r="BZ35" s="155">
        <f t="shared" si="36"/>
        <v>0.38974358974358975</v>
      </c>
      <c r="CA35" s="155">
        <f t="shared" si="37"/>
        <v>0.61025641025641031</v>
      </c>
      <c r="CB35" t="str">
        <f t="shared" si="38"/>
        <v>Exterior Lighting: Walkway - CFL 26W</v>
      </c>
      <c r="CC35" t="str">
        <f t="shared" si="1"/>
        <v>CFL 26W</v>
      </c>
      <c r="CD35" t="str">
        <f t="shared" si="2"/>
        <v>Retro</v>
      </c>
      <c r="CE35" s="315" t="s">
        <v>974</v>
      </c>
      <c r="CF35" t="s">
        <v>88</v>
      </c>
      <c r="CG35" s="159">
        <f>VLOOKUP(CE35,Watt_Allocation,MATCH(CF35,'Watt Allocation'!$C$38:$K$38,0))</f>
        <v>4.2717310139836036</v>
      </c>
      <c r="CH35" s="355">
        <f t="shared" si="12"/>
        <v>0.20618556701030927</v>
      </c>
      <c r="CI35" s="159">
        <f t="shared" si="39"/>
        <v>0.88076928123373266</v>
      </c>
      <c r="CJ35" s="159">
        <f t="shared" si="40"/>
        <v>0.53749509982981636</v>
      </c>
      <c r="CK35" s="59">
        <f t="shared" si="41"/>
        <v>2.3112289292682102</v>
      </c>
      <c r="CL35" s="110">
        <f t="shared" si="42"/>
        <v>1.0315522391340137</v>
      </c>
      <c r="CM35" s="331">
        <f t="shared" si="43"/>
        <v>0.44632196580397926</v>
      </c>
      <c r="CN35" s="298">
        <f t="shared" si="44"/>
        <v>0.44632196580397926</v>
      </c>
      <c r="CO35" s="353">
        <f t="shared" si="45"/>
        <v>3.3875741585912798E-2</v>
      </c>
      <c r="CP35" s="353">
        <f t="shared" si="46"/>
        <v>3.3875741585912798E-2</v>
      </c>
      <c r="CQ35" s="155">
        <f t="shared" si="47"/>
        <v>2.523104867286587E-2</v>
      </c>
      <c r="CR35" s="353">
        <f t="shared" si="48"/>
        <v>3.3875741585912798E-2</v>
      </c>
      <c r="CS35" s="357">
        <f t="shared" si="49"/>
        <v>3.3875741585912798E-2</v>
      </c>
      <c r="CT35" s="305"/>
      <c r="CU35" s="305"/>
      <c r="CV35" s="305"/>
      <c r="CW35" s="118"/>
    </row>
    <row r="36" spans="9:101">
      <c r="AL36" s="113"/>
      <c r="AM36" t="str">
        <f t="shared" si="13"/>
        <v>INC 75W-Retro</v>
      </c>
      <c r="AN36" s="173" t="str">
        <f t="shared" si="71"/>
        <v>Exterior Lighting: Walkway</v>
      </c>
      <c r="AO36" s="173" t="str">
        <f t="shared" si="76"/>
        <v>INC 75W</v>
      </c>
      <c r="AP36" s="173" t="s">
        <v>304</v>
      </c>
      <c r="AQ36" s="173" t="str">
        <f t="shared" si="55"/>
        <v>Exterior Lighting: Walkway - INC 75W - Retro</v>
      </c>
      <c r="AR36" s="173" t="str">
        <f t="shared" si="60"/>
        <v>INC 75W</v>
      </c>
      <c r="AS36" s="173" t="str">
        <f>$J$67</f>
        <v>LED 12W</v>
      </c>
      <c r="AT36" s="173" t="str">
        <f t="shared" si="18"/>
        <v>Exterior Lighting: Walkway - INC 75W to LED 12W - Retro</v>
      </c>
      <c r="AU36" s="174">
        <v>4300</v>
      </c>
      <c r="AV36" s="174">
        <f t="shared" si="68"/>
        <v>1000</v>
      </c>
      <c r="AW36" s="175">
        <f>INDEX($AA$65:$AK$66,MATCH($AR36,$Z$65:$Z$66,0),MATCH(AW$11,$AA$50:$AK$50,0))</f>
        <v>75</v>
      </c>
      <c r="AX36" s="175">
        <f t="shared" si="69"/>
        <v>10.133333333333333</v>
      </c>
      <c r="AY36" s="176">
        <f t="shared" si="19"/>
        <v>0.86488888888888904</v>
      </c>
      <c r="AZ36" s="174">
        <f t="shared" si="6"/>
        <v>322.5</v>
      </c>
      <c r="BA36" s="174">
        <f t="shared" si="7"/>
        <v>43.573333333333331</v>
      </c>
      <c r="BB36" s="157">
        <f t="shared" si="20"/>
        <v>278.92666666666668</v>
      </c>
      <c r="BC36" s="180">
        <f>INDEX($AA$65:$AK$66,MATCH($AR36,$Z$65:$Z$66,0),MATCH(BC$11,$AA$50:$AK$50,0))</f>
        <v>0.67205999999999988</v>
      </c>
      <c r="BD36" s="182">
        <f>INDEX($K$52:$X$67,MATCH($AS36,$J$52:$J$67,0),MATCH(BD$11,$K$50:$X$50,0))</f>
        <v>5.4510599869194873</v>
      </c>
      <c r="BE36" s="464"/>
      <c r="BF36" s="464"/>
      <c r="BG36" s="182">
        <f>BD36</f>
        <v>5.4510599869194873</v>
      </c>
      <c r="BH36" s="174">
        <f>INDEX($AA$65:$AK$66,MATCH($AR36,$Z$65:$Z$66,0),MATCH(BH$11,$AA$50:$AK$50,0))</f>
        <v>1000</v>
      </c>
      <c r="BI36" s="174">
        <f t="shared" si="70"/>
        <v>28708</v>
      </c>
      <c r="BJ36" s="178">
        <f t="shared" si="23"/>
        <v>0.23255813953488372</v>
      </c>
      <c r="BK36" s="163">
        <f t="shared" si="24"/>
        <v>6.6762790697674417</v>
      </c>
      <c r="BL36" s="179">
        <v>8.3333333333333329E-2</v>
      </c>
      <c r="BM36" s="173">
        <v>0.25</v>
      </c>
      <c r="BN36" s="182">
        <f t="shared" si="72"/>
        <v>8.3333333333333321</v>
      </c>
      <c r="BO36" s="182">
        <f t="shared" si="73"/>
        <v>25</v>
      </c>
      <c r="BP36" s="177">
        <f t="shared" si="78"/>
        <v>25</v>
      </c>
      <c r="BQ36" s="186">
        <f t="shared" si="28"/>
        <v>30.451059986919489</v>
      </c>
      <c r="BR36" s="182">
        <f t="shared" si="29"/>
        <v>0.67205999999999988</v>
      </c>
      <c r="BS36" s="182">
        <f t="shared" si="30"/>
        <v>8.3333333333333321</v>
      </c>
      <c r="BT36" s="167">
        <f t="shared" si="31"/>
        <v>9.0053933333333323</v>
      </c>
      <c r="BU36" s="163">
        <f t="shared" si="32"/>
        <v>0.23255813953488372</v>
      </c>
      <c r="BV36" s="171" t="s">
        <v>368</v>
      </c>
      <c r="BW36" s="183" t="str">
        <f t="shared" si="33"/>
        <v>R</v>
      </c>
      <c r="BX36" s="161">
        <f t="shared" si="34"/>
        <v>0.46944080144274641</v>
      </c>
      <c r="BY36" s="110">
        <f t="shared" si="35"/>
        <v>0.40601413315892654</v>
      </c>
      <c r="BZ36" s="155">
        <f t="shared" si="36"/>
        <v>0.1351111111111111</v>
      </c>
      <c r="CA36" s="155">
        <f t="shared" si="37"/>
        <v>0.86488888888888904</v>
      </c>
      <c r="CB36" t="str">
        <f t="shared" si="38"/>
        <v>Exterior Lighting: Walkway - INC 75W</v>
      </c>
      <c r="CC36" t="str">
        <f t="shared" si="1"/>
        <v>INC 75W</v>
      </c>
      <c r="CD36" t="str">
        <f t="shared" si="2"/>
        <v>Retro</v>
      </c>
      <c r="CE36" s="315" t="s">
        <v>974</v>
      </c>
      <c r="CF36" t="s">
        <v>111</v>
      </c>
      <c r="CG36" s="159">
        <f>VLOOKUP(CE36,Watt_Allocation,MATCH(CF36,'Watt Allocation'!$C$38:$K$38,0))</f>
        <v>3.7289401276903824</v>
      </c>
      <c r="CH36" s="356">
        <f t="shared" si="12"/>
        <v>0.12371134020618556</v>
      </c>
      <c r="CI36" s="159">
        <f t="shared" si="39"/>
        <v>0.46131218074520192</v>
      </c>
      <c r="CJ36" s="159">
        <f t="shared" si="40"/>
        <v>0.39898377943562802</v>
      </c>
      <c r="CK36" s="59">
        <f t="shared" si="41"/>
        <v>1.7156302515732005</v>
      </c>
      <c r="CL36" s="110">
        <f t="shared" si="42"/>
        <v>0.18729926518091719</v>
      </c>
      <c r="CM36" s="331">
        <f t="shared" si="43"/>
        <v>0.10917227940528987</v>
      </c>
      <c r="CN36" s="298">
        <f t="shared" si="44"/>
        <v>0.10917227940528988</v>
      </c>
      <c r="CO36" s="353">
        <f t="shared" si="45"/>
        <v>6.150829076602693E-3</v>
      </c>
      <c r="CP36" s="353">
        <f t="shared" si="46"/>
        <v>6.1508290766026921E-3</v>
      </c>
      <c r="CQ36" s="155">
        <f t="shared" si="47"/>
        <v>2.2025045479682405E-2</v>
      </c>
      <c r="CR36" s="353">
        <f t="shared" si="48"/>
        <v>6.150829076602693E-3</v>
      </c>
      <c r="CS36" s="357">
        <f t="shared" si="49"/>
        <v>6.150829076602693E-3</v>
      </c>
      <c r="CT36" s="305"/>
      <c r="CU36" s="305"/>
      <c r="CV36" s="305"/>
      <c r="CW36" s="118"/>
    </row>
    <row r="37" spans="9:101">
      <c r="I37" t="s">
        <v>241</v>
      </c>
      <c r="P37" t="s">
        <v>242</v>
      </c>
      <c r="Q37" s="105"/>
      <c r="R37" t="s">
        <v>242</v>
      </c>
      <c r="S37" t="s">
        <v>242</v>
      </c>
      <c r="T37" t="s">
        <v>249</v>
      </c>
      <c r="U37" s="118"/>
      <c r="Z37" t="s">
        <v>241</v>
      </c>
      <c r="AA37" s="113"/>
      <c r="AB37" s="113"/>
      <c r="AC37" s="113"/>
      <c r="AD37" s="113"/>
      <c r="AE37" s="113"/>
      <c r="AF37" t="s">
        <v>242</v>
      </c>
      <c r="AG37" t="s">
        <v>242</v>
      </c>
      <c r="AH37" s="113"/>
      <c r="AI37" s="113"/>
      <c r="AJ37" s="113"/>
      <c r="AK37" s="113"/>
      <c r="AL37" s="113"/>
      <c r="AM37" s="113"/>
    </row>
    <row r="38" spans="9:101">
      <c r="I38" t="s">
        <v>169</v>
      </c>
      <c r="J38" t="s">
        <v>185</v>
      </c>
      <c r="K38">
        <v>85</v>
      </c>
      <c r="L38">
        <f t="shared" ref="L38:L41" si="79">K38</f>
        <v>85</v>
      </c>
      <c r="M38" t="s">
        <v>226</v>
      </c>
      <c r="N38">
        <v>7416</v>
      </c>
      <c r="O38" s="106">
        <f>N38/K38</f>
        <v>87.247058823529414</v>
      </c>
      <c r="P38" s="105">
        <v>435.75</v>
      </c>
      <c r="Q38" s="105">
        <f>$Q$8*P38/(N38/1000)</f>
        <v>57.230380258899672</v>
      </c>
      <c r="R38" s="105">
        <f>P38*$Q$8</f>
        <v>424.4205</v>
      </c>
      <c r="S38" s="105">
        <f t="shared" ref="S38:S41" si="80">$S$4*R38</f>
        <v>343.80517303255851</v>
      </c>
      <c r="T38" s="117">
        <f t="shared" ref="T38" si="81">$T$1*L38</f>
        <v>73.724489795918359</v>
      </c>
      <c r="U38" s="118">
        <v>72000</v>
      </c>
      <c r="V38" t="s">
        <v>181</v>
      </c>
      <c r="W38" s="104" t="s">
        <v>186</v>
      </c>
      <c r="X38" t="s">
        <v>206</v>
      </c>
      <c r="Z38" s="113" t="s">
        <v>169</v>
      </c>
      <c r="AA38" s="113">
        <v>400</v>
      </c>
      <c r="AB38" s="129">
        <f>AVERAGE(465,452)</f>
        <v>458.5</v>
      </c>
      <c r="AC38" s="113" t="s">
        <v>192</v>
      </c>
      <c r="AD38" s="113"/>
      <c r="AE38" s="113"/>
      <c r="AF38" s="112">
        <v>311.68</v>
      </c>
      <c r="AG38" s="105">
        <f>AF38*$Q$8</f>
        <v>303.57632000000001</v>
      </c>
      <c r="AH38" s="118"/>
      <c r="AI38" s="113" t="s">
        <v>181</v>
      </c>
      <c r="AJ38" s="114" t="s">
        <v>191</v>
      </c>
      <c r="AK38" s="113" t="s">
        <v>182</v>
      </c>
      <c r="AL38" s="113"/>
      <c r="AM38" s="113"/>
    </row>
    <row r="39" spans="9:101">
      <c r="I39" t="s">
        <v>169</v>
      </c>
      <c r="J39" t="s">
        <v>228</v>
      </c>
      <c r="K39">
        <v>104</v>
      </c>
      <c r="L39">
        <f t="shared" si="79"/>
        <v>104</v>
      </c>
      <c r="M39" t="s">
        <v>227</v>
      </c>
      <c r="N39">
        <v>6728</v>
      </c>
      <c r="O39" s="106">
        <f>N39/K39</f>
        <v>64.692307692307693</v>
      </c>
      <c r="P39" s="105">
        <v>430</v>
      </c>
      <c r="Q39" s="105">
        <f>$Q$8*P39/(N39/1000)</f>
        <v>62.250297265160526</v>
      </c>
      <c r="R39" s="105">
        <f>P39*$Q$8</f>
        <v>418.82</v>
      </c>
      <c r="S39" s="105">
        <f t="shared" si="80"/>
        <v>339.2684438416527</v>
      </c>
      <c r="T39" s="117">
        <f t="shared" ref="T39" si="82">$T$1*L39</f>
        <v>90.204081632653057</v>
      </c>
      <c r="U39" s="118">
        <v>100000</v>
      </c>
      <c r="V39" t="s">
        <v>181</v>
      </c>
      <c r="W39" s="104" t="s">
        <v>229</v>
      </c>
      <c r="X39" t="s">
        <v>206</v>
      </c>
      <c r="Z39" s="113" t="s">
        <v>169</v>
      </c>
      <c r="AA39" s="113">
        <v>400</v>
      </c>
      <c r="AC39" s="113" t="s">
        <v>193</v>
      </c>
      <c r="AD39" s="113"/>
      <c r="AE39" s="113"/>
      <c r="AF39" s="112">
        <v>286.02999999999997</v>
      </c>
      <c r="AG39" s="105">
        <f>AF39*$Q$8</f>
        <v>278.59321999999997</v>
      </c>
      <c r="AH39" s="118"/>
      <c r="AI39" s="113" t="s">
        <v>181</v>
      </c>
      <c r="AJ39" s="114" t="s">
        <v>194</v>
      </c>
      <c r="AK39" s="113" t="s">
        <v>182</v>
      </c>
      <c r="AL39" s="113"/>
      <c r="AM39" s="113"/>
    </row>
    <row r="40" spans="9:101">
      <c r="I40" t="s">
        <v>169</v>
      </c>
      <c r="J40" t="s">
        <v>185</v>
      </c>
      <c r="K40">
        <v>85</v>
      </c>
      <c r="L40">
        <f t="shared" si="79"/>
        <v>85</v>
      </c>
      <c r="M40" t="s">
        <v>230</v>
      </c>
      <c r="N40">
        <v>7192</v>
      </c>
      <c r="O40" s="106">
        <f>N40/K40</f>
        <v>84.611764705882351</v>
      </c>
      <c r="P40" s="105">
        <v>373.26</v>
      </c>
      <c r="Q40" s="105">
        <f>$Q$8*P40/(N40/1000)</f>
        <v>50.549949944382639</v>
      </c>
      <c r="R40" s="105">
        <f>P40*$Q$8</f>
        <v>363.55523999999997</v>
      </c>
      <c r="S40" s="105">
        <f t="shared" si="80"/>
        <v>294.50078918217508</v>
      </c>
      <c r="T40" s="117">
        <f t="shared" ref="T40" si="83">$T$1*L40</f>
        <v>73.724489795918359</v>
      </c>
      <c r="U40" s="118">
        <v>36000</v>
      </c>
      <c r="V40" t="s">
        <v>213</v>
      </c>
      <c r="W40" s="104" t="s">
        <v>231</v>
      </c>
      <c r="X40" t="s">
        <v>206</v>
      </c>
      <c r="Z40" s="113" t="s">
        <v>169</v>
      </c>
      <c r="AA40" s="113">
        <v>400</v>
      </c>
      <c r="AB40" s="113">
        <v>450</v>
      </c>
      <c r="AC40" s="113" t="s">
        <v>199</v>
      </c>
      <c r="AD40" s="113"/>
      <c r="AE40" s="113"/>
      <c r="AF40" s="112">
        <v>225</v>
      </c>
      <c r="AG40" s="105">
        <f>AF40*$Q$8</f>
        <v>219.15</v>
      </c>
      <c r="AH40" s="134">
        <v>20000</v>
      </c>
      <c r="AI40" s="113" t="s">
        <v>167</v>
      </c>
      <c r="AJ40" s="114" t="s">
        <v>200</v>
      </c>
      <c r="AK40" s="113" t="s">
        <v>182</v>
      </c>
      <c r="AL40" s="113"/>
      <c r="AM40" s="113"/>
    </row>
    <row r="41" spans="9:101">
      <c r="I41" t="s">
        <v>169</v>
      </c>
      <c r="J41" t="s">
        <v>185</v>
      </c>
      <c r="K41">
        <v>104</v>
      </c>
      <c r="L41">
        <f t="shared" si="79"/>
        <v>104</v>
      </c>
      <c r="M41" t="s">
        <v>233</v>
      </c>
      <c r="N41">
        <v>8916</v>
      </c>
      <c r="O41" s="106">
        <f>N41/K41</f>
        <v>85.730769230769226</v>
      </c>
      <c r="P41" s="105">
        <v>427.14</v>
      </c>
      <c r="Q41" s="105">
        <f>$Q$8*P41/(N41/1000)</f>
        <v>46.661547779273214</v>
      </c>
      <c r="R41" s="105">
        <f>P41*$Q$8</f>
        <v>416.03435999999999</v>
      </c>
      <c r="S41" s="105">
        <f t="shared" si="80"/>
        <v>337.0119141919152</v>
      </c>
      <c r="T41" s="117">
        <f t="shared" ref="T41" si="84">$T$1*L41</f>
        <v>90.204081632653057</v>
      </c>
      <c r="U41" s="118">
        <v>100000</v>
      </c>
      <c r="V41" t="s">
        <v>167</v>
      </c>
      <c r="W41" s="104" t="s">
        <v>232</v>
      </c>
      <c r="X41" t="s">
        <v>206</v>
      </c>
      <c r="Z41" s="113" t="s">
        <v>169</v>
      </c>
      <c r="AA41" s="113">
        <v>400</v>
      </c>
      <c r="AC41" s="113" t="s">
        <v>202</v>
      </c>
      <c r="AD41" s="113"/>
      <c r="AE41" s="113"/>
      <c r="AF41" s="112">
        <v>223.29</v>
      </c>
      <c r="AG41" s="105">
        <f>AF41*$Q$8</f>
        <v>217.48445999999998</v>
      </c>
      <c r="AI41" s="113" t="s">
        <v>167</v>
      </c>
      <c r="AJ41" s="114" t="s">
        <v>201</v>
      </c>
      <c r="AK41" s="113" t="s">
        <v>182</v>
      </c>
      <c r="AL41" s="113"/>
      <c r="AM41" s="113"/>
    </row>
    <row r="42" spans="9:101">
      <c r="J42" s="146" t="str">
        <f>CONCATENATE("LED ",TEXT(T42,"0"),"W")</f>
        <v>LED 82W</v>
      </c>
      <c r="N42" s="146">
        <f>AVERAGE(N37:N41)</f>
        <v>7563</v>
      </c>
      <c r="O42" s="106"/>
      <c r="P42" s="105"/>
      <c r="Q42" s="105"/>
      <c r="R42" s="231">
        <f>AVERAGE(R38:R41)</f>
        <v>405.70752500000003</v>
      </c>
      <c r="S42" s="135">
        <f>AVERAGE(S38:S41)</f>
        <v>328.64658006207537</v>
      </c>
      <c r="T42" s="136">
        <f>AVERAGE(T38:T41)</f>
        <v>81.964285714285708</v>
      </c>
      <c r="U42" s="137">
        <v>70000</v>
      </c>
      <c r="Z42" s="113" t="s">
        <v>169</v>
      </c>
      <c r="AA42" s="113">
        <v>400</v>
      </c>
      <c r="AB42" s="129">
        <f>AVERAGE(465,452)</f>
        <v>458.5</v>
      </c>
      <c r="AC42" s="141" t="s">
        <v>256</v>
      </c>
      <c r="AD42" s="141"/>
      <c r="AE42" s="141"/>
      <c r="AF42" s="142">
        <v>374.86</v>
      </c>
      <c r="AG42" s="105">
        <f>AF42*$Q$8</f>
        <v>365.11364000000003</v>
      </c>
      <c r="AI42" t="s">
        <v>213</v>
      </c>
      <c r="AJ42" s="104" t="s">
        <v>257</v>
      </c>
      <c r="AK42" s="113" t="s">
        <v>182</v>
      </c>
      <c r="AL42" s="113"/>
      <c r="AM42" s="113"/>
    </row>
    <row r="43" spans="9:101">
      <c r="O43" s="106"/>
      <c r="P43" s="105"/>
      <c r="Q43" s="105"/>
      <c r="R43" s="105"/>
      <c r="S43" s="105"/>
      <c r="T43" s="105"/>
      <c r="U43" s="105"/>
      <c r="W43" s="104"/>
      <c r="Z43" s="138" t="str">
        <f>CONCATENATE("Avg ",Z42)</f>
        <v>Avg HID 400W</v>
      </c>
      <c r="AB43" s="136">
        <f>AVERAGE(AB38:AB42)</f>
        <v>455.66666666666669</v>
      </c>
      <c r="AC43" s="138"/>
      <c r="AD43" s="138"/>
      <c r="AE43" s="138"/>
      <c r="AF43" s="139"/>
      <c r="AG43" s="135">
        <f>AVERAGE(AG38:AG42)</f>
        <v>276.78352800000005</v>
      </c>
      <c r="AH43" s="137">
        <v>16000</v>
      </c>
      <c r="AL43" s="113"/>
      <c r="AM43" s="113"/>
    </row>
    <row r="44" spans="9:101">
      <c r="K44" s="107"/>
      <c r="L44" s="107"/>
      <c r="Q44" s="108"/>
      <c r="R44" s="108"/>
      <c r="S44" s="108"/>
      <c r="T44" s="108"/>
      <c r="U44" s="108"/>
      <c r="V44" s="108"/>
      <c r="Z44" t="s">
        <v>234</v>
      </c>
      <c r="AF44" s="112" t="s">
        <v>236</v>
      </c>
      <c r="AG44" s="112" t="s">
        <v>236</v>
      </c>
    </row>
    <row r="45" spans="9:101">
      <c r="K45" s="106"/>
      <c r="L45" s="106"/>
      <c r="Q45" s="105"/>
      <c r="R45" s="105"/>
      <c r="S45" s="105"/>
      <c r="T45" s="105"/>
      <c r="U45" s="105"/>
      <c r="V45" s="105"/>
      <c r="Z45" s="113" t="s">
        <v>169</v>
      </c>
      <c r="AA45" s="113">
        <v>400</v>
      </c>
      <c r="AC45" t="s">
        <v>264</v>
      </c>
      <c r="AF45" s="142">
        <v>25.43</v>
      </c>
      <c r="AG45" s="105">
        <f t="shared" ref="AG45:AG47" si="85">AF45*$Q$8</f>
        <v>24.768819999999998</v>
      </c>
      <c r="AI45" t="s">
        <v>181</v>
      </c>
      <c r="AJ45" s="104" t="s">
        <v>265</v>
      </c>
      <c r="AK45" s="141" t="s">
        <v>237</v>
      </c>
    </row>
    <row r="46" spans="9:101">
      <c r="K46" s="106"/>
      <c r="L46" s="106"/>
      <c r="Q46" s="105"/>
      <c r="R46" s="105"/>
      <c r="S46" s="105"/>
      <c r="T46" s="105"/>
      <c r="U46" s="105"/>
      <c r="V46" s="105"/>
      <c r="Z46" s="113" t="s">
        <v>169</v>
      </c>
      <c r="AA46" s="113">
        <v>400</v>
      </c>
      <c r="AB46" s="106"/>
      <c r="AC46" t="s">
        <v>266</v>
      </c>
      <c r="AF46" s="105">
        <v>38.81</v>
      </c>
      <c r="AG46" s="105">
        <f t="shared" si="85"/>
        <v>37.800940000000004</v>
      </c>
      <c r="AH46" s="105"/>
      <c r="AI46" t="s">
        <v>181</v>
      </c>
      <c r="AJ46" s="104" t="s">
        <v>267</v>
      </c>
      <c r="AK46" s="141" t="s">
        <v>237</v>
      </c>
    </row>
    <row r="47" spans="9:101">
      <c r="K47" s="106"/>
      <c r="L47" s="106"/>
      <c r="Q47" s="105"/>
      <c r="R47" s="105"/>
      <c r="S47" s="105"/>
      <c r="T47" s="105"/>
      <c r="U47" s="105"/>
      <c r="V47" s="105"/>
      <c r="Z47" s="113" t="s">
        <v>169</v>
      </c>
      <c r="AA47" s="113">
        <v>400</v>
      </c>
      <c r="AB47" s="106"/>
      <c r="AC47" t="s">
        <v>268</v>
      </c>
      <c r="AF47" s="105">
        <v>23.33</v>
      </c>
      <c r="AG47" s="105">
        <f t="shared" si="85"/>
        <v>22.723419999999997</v>
      </c>
      <c r="AH47" s="105"/>
      <c r="AI47" t="s">
        <v>181</v>
      </c>
      <c r="AK47" s="141" t="s">
        <v>237</v>
      </c>
    </row>
    <row r="48" spans="9:101">
      <c r="Q48" s="105"/>
      <c r="R48" s="105"/>
      <c r="S48" s="105"/>
      <c r="T48" s="105"/>
      <c r="U48" s="105"/>
      <c r="V48" s="105"/>
      <c r="Z48" s="138" t="str">
        <f>CONCATENATE("Avg ",Z47)</f>
        <v>Avg HID 400W</v>
      </c>
      <c r="AB48" s="143">
        <f>AB43</f>
        <v>455.66666666666669</v>
      </c>
      <c r="AG48" s="135">
        <f>AVERAGE(AG45:AG47)</f>
        <v>28.431060000000002</v>
      </c>
      <c r="AH48" s="144">
        <f>$AH$43</f>
        <v>16000</v>
      </c>
    </row>
    <row r="49" spans="1:37">
      <c r="A49" s="58" t="s">
        <v>379</v>
      </c>
      <c r="Q49" s="105"/>
      <c r="R49" s="105"/>
      <c r="S49" s="105"/>
      <c r="T49" s="105"/>
      <c r="U49" s="105"/>
      <c r="V49" s="105"/>
    </row>
    <row r="50" spans="1:37" ht="51">
      <c r="A50" s="82" t="s">
        <v>152</v>
      </c>
      <c r="B50" s="82" t="s">
        <v>155</v>
      </c>
      <c r="C50" s="82" t="s">
        <v>143</v>
      </c>
      <c r="D50" s="82" t="s">
        <v>144</v>
      </c>
      <c r="E50" s="82" t="s">
        <v>147</v>
      </c>
      <c r="F50" s="82" t="s">
        <v>145</v>
      </c>
      <c r="G50" s="82" t="s">
        <v>146</v>
      </c>
      <c r="I50" s="82" t="s">
        <v>180</v>
      </c>
      <c r="J50" s="82" t="s">
        <v>179</v>
      </c>
      <c r="K50" s="82" t="s">
        <v>183</v>
      </c>
      <c r="L50" s="82" t="s">
        <v>222</v>
      </c>
      <c r="M50" s="82" t="s">
        <v>163</v>
      </c>
      <c r="N50" s="82" t="s">
        <v>216</v>
      </c>
      <c r="O50" s="82" t="s">
        <v>207</v>
      </c>
      <c r="P50" s="82" t="s">
        <v>235</v>
      </c>
      <c r="Q50" s="82" t="s">
        <v>223</v>
      </c>
      <c r="R50" s="82" t="s">
        <v>238</v>
      </c>
      <c r="S50" s="82" t="s">
        <v>239</v>
      </c>
      <c r="T50" s="82" t="s">
        <v>240</v>
      </c>
      <c r="U50" s="82" t="s">
        <v>208</v>
      </c>
      <c r="V50" s="82" t="s">
        <v>164</v>
      </c>
      <c r="W50" s="82" t="s">
        <v>165</v>
      </c>
      <c r="X50" s="82" t="s">
        <v>171</v>
      </c>
      <c r="Z50" s="116" t="s">
        <v>203</v>
      </c>
      <c r="AA50" s="116" t="s">
        <v>183</v>
      </c>
      <c r="AB50" s="82" t="s">
        <v>222</v>
      </c>
      <c r="AC50" s="116" t="s">
        <v>204</v>
      </c>
      <c r="AD50" s="116" t="s">
        <v>216</v>
      </c>
      <c r="AE50" s="82" t="s">
        <v>207</v>
      </c>
      <c r="AF50" s="82" t="s">
        <v>235</v>
      </c>
      <c r="AG50" s="82" t="s">
        <v>238</v>
      </c>
      <c r="AH50" s="82" t="s">
        <v>208</v>
      </c>
      <c r="AI50" s="116" t="s">
        <v>164</v>
      </c>
      <c r="AJ50" s="116" t="s">
        <v>165</v>
      </c>
      <c r="AK50" s="116" t="s">
        <v>171</v>
      </c>
    </row>
    <row r="51" spans="1:37">
      <c r="A51" t="s">
        <v>158</v>
      </c>
      <c r="B51" t="s">
        <v>91</v>
      </c>
      <c r="C51">
        <v>150</v>
      </c>
      <c r="D51">
        <v>1</v>
      </c>
      <c r="E51">
        <v>0.5</v>
      </c>
      <c r="F51" s="60">
        <v>0.65</v>
      </c>
      <c r="I51" t="s">
        <v>241</v>
      </c>
      <c r="P51" t="s">
        <v>242</v>
      </c>
      <c r="R51" t="s">
        <v>242</v>
      </c>
      <c r="S51" t="s">
        <v>242</v>
      </c>
      <c r="T51" t="s">
        <v>249</v>
      </c>
      <c r="Z51" t="s">
        <v>241</v>
      </c>
      <c r="AF51" t="s">
        <v>242</v>
      </c>
      <c r="AG51" t="s">
        <v>242</v>
      </c>
    </row>
    <row r="52" spans="1:37">
      <c r="A52" t="s">
        <v>158</v>
      </c>
      <c r="B52" t="s">
        <v>88</v>
      </c>
      <c r="C52">
        <v>26</v>
      </c>
      <c r="D52">
        <v>1</v>
      </c>
      <c r="E52">
        <v>0.5</v>
      </c>
      <c r="F52" s="60">
        <v>0.2</v>
      </c>
      <c r="I52" t="s">
        <v>162</v>
      </c>
      <c r="J52" t="s">
        <v>166</v>
      </c>
      <c r="K52">
        <v>30</v>
      </c>
      <c r="L52">
        <f>K52</f>
        <v>30</v>
      </c>
      <c r="M52" t="s">
        <v>205</v>
      </c>
      <c r="N52">
        <v>2649</v>
      </c>
      <c r="O52" s="106">
        <f t="shared" ref="O52:O57" si="86">N52/K52</f>
        <v>88.3</v>
      </c>
      <c r="P52" s="105">
        <v>294</v>
      </c>
      <c r="Q52" s="105">
        <f t="shared" ref="Q52:Q57" si="87">$Q$8*P52/(N52/1000)</f>
        <v>108.09966024915062</v>
      </c>
      <c r="R52" s="105">
        <f t="shared" ref="R52:R57" si="88">P52*$Q$8</f>
        <v>286.35599999999999</v>
      </c>
      <c r="S52" s="105">
        <f>$S$4*R52</f>
        <v>231.96493602196719</v>
      </c>
      <c r="T52" s="117">
        <f>$T$1*L52</f>
        <v>26.020408163265305</v>
      </c>
      <c r="U52" s="118">
        <v>72000</v>
      </c>
      <c r="V52" t="s">
        <v>181</v>
      </c>
      <c r="W52" s="104" t="s">
        <v>184</v>
      </c>
      <c r="X52" t="s">
        <v>206</v>
      </c>
      <c r="Z52" t="s">
        <v>162</v>
      </c>
      <c r="AA52">
        <f>VALUE(MID(Z52,5,3))</f>
        <v>150</v>
      </c>
      <c r="AB52">
        <v>180</v>
      </c>
      <c r="AC52" t="s">
        <v>187</v>
      </c>
      <c r="AF52" s="105">
        <v>246.93</v>
      </c>
      <c r="AG52" s="105">
        <f>AF52*$Q$8</f>
        <v>240.50981999999999</v>
      </c>
      <c r="AH52" s="105"/>
      <c r="AI52" t="s">
        <v>181</v>
      </c>
      <c r="AJ52" s="104" t="s">
        <v>188</v>
      </c>
      <c r="AK52" t="s">
        <v>182</v>
      </c>
    </row>
    <row r="53" spans="1:37">
      <c r="A53" t="s">
        <v>158</v>
      </c>
      <c r="B53" t="s">
        <v>156</v>
      </c>
      <c r="C53">
        <v>75</v>
      </c>
      <c r="D53">
        <v>1</v>
      </c>
      <c r="E53">
        <v>0.5</v>
      </c>
      <c r="F53" s="60">
        <v>0.12</v>
      </c>
      <c r="I53" t="s">
        <v>162</v>
      </c>
      <c r="J53" t="s">
        <v>210</v>
      </c>
      <c r="K53">
        <v>25</v>
      </c>
      <c r="L53">
        <f t="shared" ref="L53:L57" si="89">K53</f>
        <v>25</v>
      </c>
      <c r="M53" t="s">
        <v>209</v>
      </c>
      <c r="N53">
        <v>2722</v>
      </c>
      <c r="O53" s="106">
        <f t="shared" si="86"/>
        <v>108.88</v>
      </c>
      <c r="P53" s="105">
        <v>221.76</v>
      </c>
      <c r="Q53" s="105">
        <f t="shared" si="87"/>
        <v>79.351300514327704</v>
      </c>
      <c r="R53" s="105">
        <f t="shared" si="88"/>
        <v>215.99423999999999</v>
      </c>
      <c r="S53" s="105">
        <f t="shared" ref="S53:S56" si="90">$S$4*R53</f>
        <v>174.96783745656953</v>
      </c>
      <c r="T53" s="117">
        <f t="shared" ref="T53:T56" si="91">$T$1*L53</f>
        <v>21.683673469387756</v>
      </c>
      <c r="U53" s="118">
        <v>72000</v>
      </c>
      <c r="V53" t="s">
        <v>181</v>
      </c>
      <c r="W53" s="104" t="s">
        <v>211</v>
      </c>
      <c r="X53" t="s">
        <v>206</v>
      </c>
      <c r="Z53" t="s">
        <v>162</v>
      </c>
      <c r="AA53">
        <f>VALUE(MID(Z53,5,3))</f>
        <v>150</v>
      </c>
      <c r="AC53" t="s">
        <v>189</v>
      </c>
      <c r="AF53" s="105">
        <v>172.36</v>
      </c>
      <c r="AG53" s="105">
        <f t="shared" ref="AG53:AG56" si="92">AF53*$Q$8</f>
        <v>167.87864000000002</v>
      </c>
      <c r="AH53" s="105"/>
      <c r="AI53" t="s">
        <v>181</v>
      </c>
      <c r="AJ53" s="104" t="s">
        <v>190</v>
      </c>
      <c r="AK53" t="s">
        <v>182</v>
      </c>
    </row>
    <row r="54" spans="1:37">
      <c r="B54" t="s">
        <v>116</v>
      </c>
      <c r="F54" s="60">
        <v>0.03</v>
      </c>
      <c r="I54" t="s">
        <v>162</v>
      </c>
      <c r="J54" t="s">
        <v>166</v>
      </c>
      <c r="K54">
        <v>30</v>
      </c>
      <c r="L54">
        <f t="shared" si="89"/>
        <v>30</v>
      </c>
      <c r="M54" t="s">
        <v>212</v>
      </c>
      <c r="N54">
        <v>2649</v>
      </c>
      <c r="O54" s="106">
        <f t="shared" si="86"/>
        <v>88.3</v>
      </c>
      <c r="P54" s="105">
        <v>234.99</v>
      </c>
      <c r="Q54" s="105">
        <f t="shared" si="87"/>
        <v>86.402514156285392</v>
      </c>
      <c r="R54" s="105">
        <f t="shared" si="88"/>
        <v>228.88025999999999</v>
      </c>
      <c r="S54" s="105">
        <f t="shared" si="90"/>
        <v>185.40625957755805</v>
      </c>
      <c r="T54" s="117">
        <f t="shared" si="91"/>
        <v>26.020408163265305</v>
      </c>
      <c r="U54" s="118">
        <v>72000</v>
      </c>
      <c r="V54" t="s">
        <v>213</v>
      </c>
      <c r="W54" s="104" t="s">
        <v>214</v>
      </c>
      <c r="X54" t="s">
        <v>206</v>
      </c>
      <c r="Z54" t="s">
        <v>162</v>
      </c>
      <c r="AA54">
        <f>VALUE(MID(Z54,5,3))</f>
        <v>150</v>
      </c>
      <c r="AB54">
        <v>188</v>
      </c>
      <c r="AC54" t="s">
        <v>196</v>
      </c>
      <c r="AF54" s="105">
        <v>163.5</v>
      </c>
      <c r="AG54" s="105">
        <f t="shared" si="92"/>
        <v>159.249</v>
      </c>
      <c r="AH54" s="118">
        <v>24000</v>
      </c>
      <c r="AI54" t="s">
        <v>167</v>
      </c>
      <c r="AJ54" s="104" t="s">
        <v>195</v>
      </c>
      <c r="AK54" t="s">
        <v>182</v>
      </c>
    </row>
    <row r="55" spans="1:37">
      <c r="I55" t="s">
        <v>162</v>
      </c>
      <c r="J55" t="s">
        <v>217</v>
      </c>
      <c r="K55">
        <v>42</v>
      </c>
      <c r="L55">
        <f t="shared" si="89"/>
        <v>42</v>
      </c>
      <c r="M55" t="s">
        <v>215</v>
      </c>
      <c r="N55">
        <v>2620</v>
      </c>
      <c r="O55" s="106">
        <f t="shared" si="86"/>
        <v>62.38095238095238</v>
      </c>
      <c r="P55" s="105">
        <v>200</v>
      </c>
      <c r="Q55" s="105">
        <f t="shared" si="87"/>
        <v>74.351145038167928</v>
      </c>
      <c r="R55" s="105">
        <f t="shared" si="88"/>
        <v>194.79999999999998</v>
      </c>
      <c r="S55" s="105">
        <f t="shared" si="90"/>
        <v>157.79927620541986</v>
      </c>
      <c r="T55" s="117">
        <f t="shared" si="91"/>
        <v>36.428571428571431</v>
      </c>
      <c r="U55" s="118">
        <v>50000</v>
      </c>
      <c r="V55" t="s">
        <v>213</v>
      </c>
      <c r="W55" s="104" t="s">
        <v>218</v>
      </c>
      <c r="X55" t="s">
        <v>221</v>
      </c>
      <c r="Z55" t="s">
        <v>162</v>
      </c>
      <c r="AA55">
        <f>VALUE(MID(Z55,5,3))</f>
        <v>150</v>
      </c>
      <c r="AB55">
        <v>165</v>
      </c>
      <c r="AC55" t="s">
        <v>197</v>
      </c>
      <c r="AF55" s="105">
        <v>122.25</v>
      </c>
      <c r="AG55" s="105">
        <f t="shared" si="92"/>
        <v>119.0715</v>
      </c>
      <c r="AH55" s="118">
        <v>24000</v>
      </c>
      <c r="AI55" t="s">
        <v>167</v>
      </c>
      <c r="AJ55" s="104" t="s">
        <v>198</v>
      </c>
      <c r="AK55" t="s">
        <v>182</v>
      </c>
    </row>
    <row r="56" spans="1:37">
      <c r="I56" t="s">
        <v>162</v>
      </c>
      <c r="J56" t="s">
        <v>166</v>
      </c>
      <c r="K56">
        <v>30</v>
      </c>
      <c r="L56">
        <f t="shared" si="89"/>
        <v>30</v>
      </c>
      <c r="M56" t="s">
        <v>219</v>
      </c>
      <c r="N56">
        <v>2400</v>
      </c>
      <c r="O56" s="106">
        <f t="shared" si="86"/>
        <v>80</v>
      </c>
      <c r="P56" s="105">
        <v>227.27</v>
      </c>
      <c r="Q56" s="105">
        <f t="shared" si="87"/>
        <v>92.233741666666674</v>
      </c>
      <c r="R56" s="105">
        <f t="shared" si="88"/>
        <v>221.36098000000001</v>
      </c>
      <c r="S56" s="105">
        <f t="shared" si="90"/>
        <v>179.31520751602886</v>
      </c>
      <c r="T56" s="117">
        <f t="shared" si="91"/>
        <v>26.020408163265305</v>
      </c>
      <c r="U56" s="118">
        <v>50000</v>
      </c>
      <c r="V56" t="s">
        <v>167</v>
      </c>
      <c r="W56" s="104" t="s">
        <v>220</v>
      </c>
      <c r="X56" t="s">
        <v>206</v>
      </c>
      <c r="Z56" t="s">
        <v>162</v>
      </c>
      <c r="AA56">
        <f>VALUE(MID(Z56,5,3))</f>
        <v>150</v>
      </c>
      <c r="AB56">
        <v>180</v>
      </c>
      <c r="AC56" t="s">
        <v>254</v>
      </c>
      <c r="AF56" s="105">
        <v>211.74</v>
      </c>
      <c r="AG56" s="105">
        <f t="shared" si="92"/>
        <v>206.23475999999999</v>
      </c>
      <c r="AI56" t="s">
        <v>213</v>
      </c>
      <c r="AJ56" t="s">
        <v>255</v>
      </c>
      <c r="AK56" t="s">
        <v>182</v>
      </c>
    </row>
    <row r="57" spans="1:37">
      <c r="I57" t="s">
        <v>162</v>
      </c>
      <c r="J57" t="s">
        <v>172</v>
      </c>
      <c r="K57">
        <f t="shared" ref="K57" si="93">VALUE(MID(J57,5,2))</f>
        <v>32</v>
      </c>
      <c r="L57">
        <f t="shared" si="89"/>
        <v>32</v>
      </c>
      <c r="M57" t="s">
        <v>173</v>
      </c>
      <c r="N57">
        <v>4431</v>
      </c>
      <c r="O57" s="106">
        <f t="shared" si="86"/>
        <v>138.46875</v>
      </c>
      <c r="P57" s="105">
        <v>290</v>
      </c>
      <c r="Q57" s="105">
        <f t="shared" si="87"/>
        <v>63.746332656285254</v>
      </c>
      <c r="R57" s="105">
        <f t="shared" si="88"/>
        <v>282.45999999999998</v>
      </c>
      <c r="S57" s="105">
        <f t="shared" ref="S57" si="94">$S$4*R57</f>
        <v>228.80895049785877</v>
      </c>
      <c r="T57" s="117">
        <f t="shared" ref="T57" si="95">$T$1*L57</f>
        <v>27.755102040816325</v>
      </c>
      <c r="U57" s="118">
        <v>100000</v>
      </c>
      <c r="V57" t="s">
        <v>170</v>
      </c>
      <c r="W57" s="104" t="s">
        <v>175</v>
      </c>
      <c r="X57" t="s">
        <v>174</v>
      </c>
      <c r="Z57" s="138" t="str">
        <f>CONCATENATE("Avg ",Z56)</f>
        <v>Avg HID 150W</v>
      </c>
      <c r="AB57" s="136">
        <f>AVERAGE(AB51:AB56)</f>
        <v>178.25</v>
      </c>
      <c r="AC57" s="138"/>
      <c r="AD57" s="138"/>
      <c r="AE57" s="138"/>
      <c r="AF57" s="139"/>
      <c r="AG57" s="135">
        <f>AVERAGE(AG51:AG56)</f>
        <v>178.58874399999999</v>
      </c>
      <c r="AH57" s="140">
        <v>24000</v>
      </c>
    </row>
    <row r="58" spans="1:37">
      <c r="J58" s="146" t="str">
        <f>CONCATENATE("LED ",TEXT(T58,"0"),"W")</f>
        <v>LED 28W</v>
      </c>
      <c r="N58" s="143">
        <f>AVERAGE(N52:N57)</f>
        <v>2911.8333333333335</v>
      </c>
      <c r="S58" s="135">
        <f>AVERAGE(S53:S57)</f>
        <v>185.259506250687</v>
      </c>
      <c r="T58" s="136">
        <f>AVERAGE(T53:T57)</f>
        <v>27.581632653061224</v>
      </c>
      <c r="U58" s="137">
        <v>70000</v>
      </c>
      <c r="Z58" t="s">
        <v>234</v>
      </c>
      <c r="AA58" s="113"/>
      <c r="AB58" s="113"/>
      <c r="AC58" s="113"/>
      <c r="AD58" s="113"/>
      <c r="AE58" s="113"/>
      <c r="AF58" s="112" t="s">
        <v>236</v>
      </c>
      <c r="AG58" s="112" t="s">
        <v>236</v>
      </c>
      <c r="AH58" s="112"/>
      <c r="AI58" s="113"/>
      <c r="AJ58" s="114"/>
      <c r="AK58" s="113"/>
    </row>
    <row r="59" spans="1:37">
      <c r="Z59" t="s">
        <v>162</v>
      </c>
      <c r="AA59">
        <v>150</v>
      </c>
      <c r="AB59" s="129"/>
      <c r="AC59" s="141" t="s">
        <v>259</v>
      </c>
      <c r="AD59" s="141"/>
      <c r="AE59" s="141"/>
      <c r="AF59" s="112">
        <v>23.17</v>
      </c>
      <c r="AG59" s="105">
        <f t="shared" ref="AG59:AG61" si="96">AF59*$Q$8</f>
        <v>22.56758</v>
      </c>
      <c r="AH59" s="112"/>
      <c r="AI59" t="s">
        <v>181</v>
      </c>
      <c r="AJ59" s="114" t="s">
        <v>258</v>
      </c>
      <c r="AK59" s="141" t="s">
        <v>237</v>
      </c>
    </row>
    <row r="60" spans="1:37">
      <c r="I60" t="s">
        <v>234</v>
      </c>
      <c r="O60" s="106"/>
      <c r="P60" t="s">
        <v>236</v>
      </c>
      <c r="R60" t="s">
        <v>236</v>
      </c>
      <c r="S60" t="s">
        <v>236</v>
      </c>
      <c r="T60" t="s">
        <v>250</v>
      </c>
      <c r="U60" s="105"/>
      <c r="V60" s="105"/>
      <c r="X60" s="104"/>
      <c r="Z60" t="s">
        <v>162</v>
      </c>
      <c r="AA60">
        <v>150</v>
      </c>
      <c r="AB60" s="129"/>
      <c r="AC60" s="141" t="s">
        <v>261</v>
      </c>
      <c r="AD60" s="141"/>
      <c r="AE60" s="141"/>
      <c r="AF60" s="115">
        <v>37.03</v>
      </c>
      <c r="AG60" s="105">
        <f t="shared" si="96"/>
        <v>36.067219999999999</v>
      </c>
      <c r="AH60" s="115"/>
      <c r="AI60" t="s">
        <v>181</v>
      </c>
      <c r="AJ60" s="114" t="s">
        <v>260</v>
      </c>
      <c r="AK60" s="141" t="s">
        <v>237</v>
      </c>
    </row>
    <row r="61" spans="1:37">
      <c r="I61" t="s">
        <v>162</v>
      </c>
      <c r="J61" t="s">
        <v>168</v>
      </c>
      <c r="K61">
        <v>38</v>
      </c>
      <c r="L61">
        <f t="shared" ref="L61" si="97">K61</f>
        <v>38</v>
      </c>
      <c r="M61" t="s">
        <v>247</v>
      </c>
      <c r="N61">
        <v>3800</v>
      </c>
      <c r="O61" s="106">
        <f>N61/K61</f>
        <v>100</v>
      </c>
      <c r="P61" s="105">
        <v>169.23</v>
      </c>
      <c r="Q61" s="105">
        <f>$Q$8*P61/(N61/1000)</f>
        <v>43.376321052631582</v>
      </c>
      <c r="R61" s="105">
        <f>P61*$Q$8</f>
        <v>164.83001999999999</v>
      </c>
      <c r="S61" s="105">
        <f>$S$5*R61</f>
        <v>100.82628632756415</v>
      </c>
      <c r="T61" s="117">
        <f>$T$1*L61</f>
        <v>32.959183673469383</v>
      </c>
      <c r="U61" s="118">
        <v>50000</v>
      </c>
      <c r="V61" t="s">
        <v>167</v>
      </c>
      <c r="W61" s="104" t="s">
        <v>248</v>
      </c>
      <c r="X61" t="s">
        <v>237</v>
      </c>
      <c r="Z61" t="s">
        <v>162</v>
      </c>
      <c r="AA61">
        <v>150</v>
      </c>
      <c r="AB61" s="129"/>
      <c r="AC61" s="141" t="s">
        <v>262</v>
      </c>
      <c r="AD61" s="141"/>
      <c r="AE61" s="141"/>
      <c r="AF61" s="112">
        <v>35.28</v>
      </c>
      <c r="AG61" s="105">
        <f t="shared" si="96"/>
        <v>34.362720000000003</v>
      </c>
      <c r="AH61" s="112"/>
      <c r="AI61" t="s">
        <v>181</v>
      </c>
      <c r="AJ61" s="114" t="s">
        <v>263</v>
      </c>
      <c r="AK61" s="141" t="s">
        <v>237</v>
      </c>
    </row>
    <row r="62" spans="1:37">
      <c r="I62" t="s">
        <v>162</v>
      </c>
      <c r="J62" t="s">
        <v>168</v>
      </c>
      <c r="K62">
        <v>38</v>
      </c>
      <c r="L62">
        <f>K62</f>
        <v>38</v>
      </c>
      <c r="M62" t="s">
        <v>243</v>
      </c>
      <c r="N62">
        <v>3800</v>
      </c>
      <c r="O62" s="106">
        <f>N62/K62</f>
        <v>100</v>
      </c>
      <c r="P62" s="105">
        <v>150</v>
      </c>
      <c r="Q62" s="105">
        <f>$Q$8*P62/(N62/1000)</f>
        <v>38.44736842105263</v>
      </c>
      <c r="R62" s="105">
        <f>P62*$Q$8</f>
        <v>146.1</v>
      </c>
      <c r="S62" s="105">
        <f>$S$5*R62</f>
        <v>89.369160013795565</v>
      </c>
      <c r="T62" s="117">
        <f>$T$1*L62</f>
        <v>32.959183673469383</v>
      </c>
      <c r="U62" s="118">
        <v>50000</v>
      </c>
      <c r="V62" t="s">
        <v>181</v>
      </c>
      <c r="W62" s="104" t="s">
        <v>244</v>
      </c>
      <c r="X62" t="s">
        <v>237</v>
      </c>
      <c r="Z62" s="138" t="str">
        <f>CONCATENATE("Avg ",Z61)</f>
        <v>Avg HID 150W</v>
      </c>
      <c r="AB62" s="136">
        <f>AB57</f>
        <v>178.25</v>
      </c>
      <c r="AC62" s="138"/>
      <c r="AD62" s="138"/>
      <c r="AE62" s="138"/>
      <c r="AF62" s="139"/>
      <c r="AG62" s="135">
        <f>AVERAGE(AG59:AG61)</f>
        <v>30.999173333333335</v>
      </c>
      <c r="AH62" s="140">
        <v>24000</v>
      </c>
    </row>
    <row r="63" spans="1:37">
      <c r="J63" s="146" t="str">
        <f>CONCATENATE("LED ",TEXT(T63,"0"),"W")</f>
        <v>LED 31W</v>
      </c>
      <c r="M63" t="s">
        <v>246</v>
      </c>
      <c r="N63" s="143">
        <f>AVERAGE(N61:N62)</f>
        <v>3800</v>
      </c>
      <c r="O63" s="106"/>
      <c r="Q63" s="105"/>
      <c r="R63" s="105"/>
      <c r="S63" s="135">
        <f>AVERAGE(S58:S62)</f>
        <v>125.15165086401556</v>
      </c>
      <c r="T63" s="136">
        <f>AVERAGE(T58:T62)</f>
        <v>31.166666666666661</v>
      </c>
      <c r="U63" s="137">
        <v>50000</v>
      </c>
      <c r="V63" s="105"/>
    </row>
    <row r="64" spans="1:37">
      <c r="I64" t="s">
        <v>380</v>
      </c>
      <c r="Z64" t="s">
        <v>234</v>
      </c>
      <c r="AF64" s="112" t="s">
        <v>236</v>
      </c>
      <c r="AG64" s="112" t="s">
        <v>236</v>
      </c>
    </row>
    <row r="65" spans="9:37" ht="25.5" customHeight="1">
      <c r="J65" s="146" t="str">
        <f>CONCATENATE("LED ",TEXT(T65,"0"),"W")</f>
        <v>LED 29W</v>
      </c>
      <c r="M65" s="62" t="s">
        <v>381</v>
      </c>
      <c r="N65" s="143">
        <f>AVERAGE(N58,N63)</f>
        <v>3355.916666666667</v>
      </c>
      <c r="S65" s="184">
        <f>AVERAGE(S58,S63)</f>
        <v>155.20557855735129</v>
      </c>
      <c r="T65" s="184">
        <f t="shared" ref="T65:U65" si="98">AVERAGE(T58,T63)</f>
        <v>29.374149659863942</v>
      </c>
      <c r="U65" s="184">
        <f t="shared" si="98"/>
        <v>60000</v>
      </c>
      <c r="V65" t="s">
        <v>382</v>
      </c>
      <c r="Z65" t="s">
        <v>283</v>
      </c>
      <c r="AA65">
        <v>26</v>
      </c>
      <c r="AB65" s="146">
        <v>26</v>
      </c>
      <c r="AC65" t="s">
        <v>282</v>
      </c>
      <c r="AF65">
        <v>1.31</v>
      </c>
      <c r="AG65" s="147">
        <f>AF65*$Q$9</f>
        <v>1.45017</v>
      </c>
      <c r="AH65" s="137">
        <v>10000</v>
      </c>
      <c r="AI65" s="463" t="s">
        <v>295</v>
      </c>
      <c r="AJ65" s="104" t="s">
        <v>291</v>
      </c>
      <c r="AK65" s="141" t="s">
        <v>237</v>
      </c>
    </row>
    <row r="66" spans="9:37" ht="25.5" customHeight="1">
      <c r="I66" t="s">
        <v>234</v>
      </c>
      <c r="P66" t="s">
        <v>294</v>
      </c>
      <c r="R66" t="s">
        <v>236</v>
      </c>
      <c r="S66" t="s">
        <v>236</v>
      </c>
      <c r="T66" t="s">
        <v>250</v>
      </c>
      <c r="Z66" t="s">
        <v>284</v>
      </c>
      <c r="AA66">
        <v>75</v>
      </c>
      <c r="AB66" s="146">
        <v>75</v>
      </c>
      <c r="AC66" t="s">
        <v>282</v>
      </c>
      <c r="AF66">
        <v>0.69</v>
      </c>
      <c r="AG66" s="147">
        <f>AF66*$Q$8</f>
        <v>0.67205999999999988</v>
      </c>
      <c r="AH66" s="137">
        <v>1000</v>
      </c>
      <c r="AI66" s="463"/>
      <c r="AJ66" s="104" t="s">
        <v>292</v>
      </c>
      <c r="AK66" s="141" t="s">
        <v>237</v>
      </c>
    </row>
    <row r="67" spans="9:37">
      <c r="I67" t="s">
        <v>269</v>
      </c>
      <c r="J67" s="146" t="s">
        <v>290</v>
      </c>
      <c r="K67">
        <v>12</v>
      </c>
      <c r="L67">
        <v>12</v>
      </c>
      <c r="M67" t="s">
        <v>296</v>
      </c>
      <c r="N67" s="146">
        <v>1000</v>
      </c>
      <c r="O67" s="106">
        <f>N67/K67</f>
        <v>83.333333333333329</v>
      </c>
      <c r="P67" s="105">
        <v>8.0500000000000007</v>
      </c>
      <c r="Q67" s="105">
        <f>R67/(N67/1000)</f>
        <v>8.9113500000000005</v>
      </c>
      <c r="R67" s="105">
        <f>P67*$Q$9</f>
        <v>8.9113500000000005</v>
      </c>
      <c r="S67" s="147">
        <f>$S$5*R67</f>
        <v>5.4510599869194873</v>
      </c>
      <c r="T67" s="136">
        <f>$T$3*L67</f>
        <v>10.133333333333333</v>
      </c>
      <c r="U67" s="137">
        <v>28708</v>
      </c>
      <c r="V67" t="s">
        <v>285</v>
      </c>
      <c r="W67" s="104" t="s">
        <v>291</v>
      </c>
      <c r="X67" t="s">
        <v>293</v>
      </c>
    </row>
    <row r="68" spans="9:37">
      <c r="M68" s="109"/>
      <c r="O68" s="106"/>
      <c r="P68" s="105"/>
      <c r="Q68" s="105"/>
      <c r="R68" s="105"/>
      <c r="S68" s="105"/>
      <c r="T68" s="117"/>
      <c r="U68" s="118"/>
      <c r="V68" t="s">
        <v>286</v>
      </c>
      <c r="W68" s="104" t="s">
        <v>292</v>
      </c>
    </row>
    <row r="69" spans="9:37">
      <c r="O69" s="106"/>
      <c r="P69" s="105"/>
      <c r="Q69" s="105"/>
      <c r="R69" s="105"/>
      <c r="S69" s="105"/>
      <c r="T69" s="117"/>
      <c r="U69" s="118"/>
      <c r="V69" t="s">
        <v>297</v>
      </c>
      <c r="W69" s="104" t="s">
        <v>289</v>
      </c>
    </row>
    <row r="70" spans="9:37">
      <c r="K70" s="111"/>
      <c r="L70" s="111"/>
    </row>
    <row r="71" spans="9:37">
      <c r="K71" s="106"/>
      <c r="L71" s="106"/>
      <c r="Q71" s="110"/>
      <c r="R71" s="110"/>
      <c r="S71" s="110"/>
      <c r="T71" s="110"/>
      <c r="U71" s="110"/>
      <c r="V71" s="110"/>
    </row>
    <row r="72" spans="9:37">
      <c r="K72" s="107"/>
      <c r="L72" s="107"/>
      <c r="Q72" s="110"/>
      <c r="R72" s="110"/>
      <c r="S72" s="110"/>
      <c r="T72" s="110"/>
      <c r="U72" s="110"/>
      <c r="V72" s="110"/>
    </row>
    <row r="73" spans="9:37">
      <c r="K73" s="106"/>
      <c r="L73" s="106"/>
      <c r="Q73" s="108"/>
      <c r="R73" s="108"/>
      <c r="S73" s="108"/>
      <c r="T73" s="108"/>
      <c r="U73" s="108"/>
      <c r="V73" s="108"/>
    </row>
    <row r="74" spans="9:37">
      <c r="Q74" s="105"/>
      <c r="R74" s="105"/>
      <c r="S74" s="105"/>
      <c r="T74" s="105"/>
      <c r="U74" s="105"/>
      <c r="V74" s="105"/>
    </row>
    <row r="76" spans="9:37">
      <c r="Q76" s="108"/>
      <c r="R76" s="108"/>
      <c r="S76" s="108"/>
      <c r="T76" s="108"/>
      <c r="U76" s="108"/>
      <c r="V76" s="108"/>
    </row>
    <row r="77" spans="9:37">
      <c r="Q77" s="108"/>
      <c r="R77" s="108"/>
      <c r="S77" s="108"/>
      <c r="T77" s="108"/>
      <c r="U77" s="108"/>
      <c r="V77" s="108"/>
    </row>
    <row r="78" spans="9:37">
      <c r="Q78" s="108"/>
      <c r="R78" s="108"/>
      <c r="S78" s="108"/>
      <c r="T78" s="108"/>
      <c r="U78" s="108"/>
      <c r="V78" s="108"/>
    </row>
    <row r="79" spans="9:37">
      <c r="Q79" s="108"/>
      <c r="R79" s="108"/>
      <c r="S79" s="108"/>
      <c r="T79" s="108"/>
      <c r="U79" s="108"/>
      <c r="V79" s="108"/>
    </row>
  </sheetData>
  <autoFilter ref="AM12:CW49">
    <filterColumn colId="58"/>
  </autoFilter>
  <mergeCells count="4">
    <mergeCell ref="AI65:AI66"/>
    <mergeCell ref="BE29:BF30"/>
    <mergeCell ref="BE32:BF33"/>
    <mergeCell ref="BE35:BF36"/>
  </mergeCells>
  <hyperlinks>
    <hyperlink ref="AJ38" r:id="rId1"/>
    <hyperlink ref="AJ39" r:id="rId2"/>
    <hyperlink ref="AJ40" r:id="rId3"/>
    <hyperlink ref="AJ41" r:id="rId4"/>
    <hyperlink ref="AJ52" r:id="rId5"/>
    <hyperlink ref="AJ53" r:id="rId6"/>
    <hyperlink ref="AJ54" r:id="rId7"/>
    <hyperlink ref="AJ55" r:id="rId8"/>
    <hyperlink ref="W25" r:id="rId9"/>
    <hyperlink ref="W26" r:id="rId10"/>
    <hyperlink ref="W27" r:id="rId11"/>
    <hyperlink ref="W28" r:id="rId12"/>
    <hyperlink ref="W29" r:id="rId13"/>
    <hyperlink ref="W38" r:id="rId14"/>
    <hyperlink ref="W39" r:id="rId15"/>
    <hyperlink ref="W40" r:id="rId16"/>
    <hyperlink ref="W41" r:id="rId17"/>
    <hyperlink ref="W52" r:id="rId18"/>
    <hyperlink ref="W53" r:id="rId19"/>
    <hyperlink ref="W54" r:id="rId20"/>
    <hyperlink ref="W55" r:id="rId21"/>
    <hyperlink ref="W56" r:id="rId22"/>
    <hyperlink ref="W57" r:id="rId23"/>
    <hyperlink ref="W62" r:id="rId24"/>
    <hyperlink ref="W61" r:id="rId25"/>
    <hyperlink ref="AJ25" r:id="rId26"/>
    <hyperlink ref="AJ26" r:id="rId27"/>
    <hyperlink ref="AJ27" r:id="rId28"/>
    <hyperlink ref="AJ28" r:id="rId29"/>
    <hyperlink ref="AJ42" r:id="rId30"/>
    <hyperlink ref="AJ32" r:id="rId31"/>
    <hyperlink ref="AJ33" r:id="rId32"/>
    <hyperlink ref="AJ34" r:id="rId33"/>
    <hyperlink ref="AJ45" r:id="rId34"/>
    <hyperlink ref="AJ46" r:id="rId35"/>
    <hyperlink ref="AJ59" r:id="rId36"/>
    <hyperlink ref="AJ60" r:id="rId37"/>
    <hyperlink ref="AJ61" r:id="rId38"/>
    <hyperlink ref="W14" r:id="rId39"/>
    <hyperlink ref="W15" r:id="rId40"/>
    <hyperlink ref="W16" r:id="rId41"/>
    <hyperlink ref="AJ14" r:id="rId42"/>
    <hyperlink ref="AJ15" r:id="rId43"/>
    <hyperlink ref="AJ16" r:id="rId44"/>
    <hyperlink ref="AJ19" r:id="rId45"/>
    <hyperlink ref="AJ20" r:id="rId46"/>
    <hyperlink ref="AJ21" r:id="rId47"/>
    <hyperlink ref="W67" r:id="rId48"/>
    <hyperlink ref="W68" r:id="rId49"/>
    <hyperlink ref="AJ65" r:id="rId50"/>
    <hyperlink ref="AJ66" r:id="rId51"/>
    <hyperlink ref="W69" r:id="rId52"/>
  </hyperlinks>
  <pageMargins left="0.7" right="0.7" top="0.75" bottom="0.75" header="0.3" footer="0.3"/>
  <legacyDrawing r:id="rId53"/>
</worksheet>
</file>

<file path=xl/worksheets/sheet14.xml><?xml version="1.0" encoding="utf-8"?>
<worksheet xmlns="http://schemas.openxmlformats.org/spreadsheetml/2006/main" xmlns:r="http://schemas.openxmlformats.org/officeDocument/2006/relationships">
  <sheetPr>
    <tabColor rgb="FFFFFF00"/>
  </sheetPr>
  <dimension ref="A3:M30"/>
  <sheetViews>
    <sheetView zoomScale="130" zoomScaleNormal="130" workbookViewId="0">
      <selection activeCell="H10" sqref="H10:H12"/>
    </sheetView>
  </sheetViews>
  <sheetFormatPr defaultRowHeight="12.75"/>
  <cols>
    <col min="1" max="1" width="35.85546875" customWidth="1"/>
    <col min="2" max="2" width="13.42578125" customWidth="1"/>
    <col min="4" max="4" width="10.7109375" customWidth="1"/>
    <col min="9" max="9" width="9" customWidth="1"/>
  </cols>
  <sheetData>
    <row r="3" spans="1:13" ht="24.75" customHeight="1">
      <c r="A3" s="70" t="s">
        <v>133</v>
      </c>
      <c r="B3" s="71"/>
      <c r="C3" s="71"/>
      <c r="D3" s="71"/>
      <c r="E3" s="71"/>
      <c r="F3" s="71"/>
      <c r="G3" s="71"/>
      <c r="H3" s="71"/>
    </row>
    <row r="4" spans="1:13">
      <c r="A4" s="68" t="s">
        <v>157</v>
      </c>
    </row>
    <row r="5" spans="1:13">
      <c r="A5" s="68"/>
    </row>
    <row r="6" spans="1:13">
      <c r="A6" s="68"/>
    </row>
    <row r="7" spans="1:13">
      <c r="A7">
        <v>1</v>
      </c>
      <c r="B7">
        <v>2</v>
      </c>
      <c r="C7">
        <v>3</v>
      </c>
      <c r="D7">
        <v>4</v>
      </c>
      <c r="E7">
        <v>5</v>
      </c>
      <c r="F7">
        <v>6</v>
      </c>
      <c r="G7">
        <v>7</v>
      </c>
      <c r="H7">
        <v>8</v>
      </c>
      <c r="I7">
        <v>9</v>
      </c>
      <c r="J7">
        <v>10</v>
      </c>
      <c r="K7">
        <v>11</v>
      </c>
      <c r="L7">
        <v>12</v>
      </c>
      <c r="M7">
        <v>13</v>
      </c>
    </row>
    <row r="8" spans="1:13">
      <c r="B8" s="58" t="s">
        <v>142</v>
      </c>
    </row>
    <row r="9" spans="1:13" ht="51">
      <c r="B9" s="82" t="s">
        <v>152</v>
      </c>
      <c r="C9" s="82" t="s">
        <v>155</v>
      </c>
      <c r="D9" s="82" t="s">
        <v>143</v>
      </c>
      <c r="E9" s="82" t="s">
        <v>144</v>
      </c>
      <c r="F9" s="82" t="s">
        <v>147</v>
      </c>
      <c r="G9" s="82" t="s">
        <v>145</v>
      </c>
      <c r="H9" s="82" t="s">
        <v>146</v>
      </c>
      <c r="I9" s="82" t="s">
        <v>687</v>
      </c>
    </row>
    <row r="10" spans="1:13">
      <c r="A10" t="s">
        <v>975</v>
      </c>
      <c r="B10" t="s">
        <v>153</v>
      </c>
      <c r="C10" t="s">
        <v>91</v>
      </c>
      <c r="D10">
        <v>250</v>
      </c>
      <c r="E10">
        <v>1.5</v>
      </c>
      <c r="F10">
        <v>0.33</v>
      </c>
      <c r="G10" s="60">
        <v>0.7</v>
      </c>
      <c r="H10" s="60">
        <v>0.77</v>
      </c>
      <c r="I10" s="60">
        <f>G10/SUM($G$10:$G$12)</f>
        <v>0.7142857142857143</v>
      </c>
    </row>
    <row r="11" spans="1:13">
      <c r="A11" t="s">
        <v>976</v>
      </c>
      <c r="B11" t="s">
        <v>153</v>
      </c>
      <c r="C11" t="s">
        <v>91</v>
      </c>
      <c r="D11">
        <v>400</v>
      </c>
      <c r="E11">
        <v>1.5</v>
      </c>
      <c r="F11">
        <v>0.24</v>
      </c>
      <c r="G11" s="60">
        <v>0.25</v>
      </c>
      <c r="H11" s="60">
        <v>0.2</v>
      </c>
      <c r="I11" s="60">
        <f t="shared" ref="I11:I12" si="0">G11/SUM($G$10:$G$12)</f>
        <v>0.25510204081632654</v>
      </c>
    </row>
    <row r="12" spans="1:13">
      <c r="A12" t="s">
        <v>977</v>
      </c>
      <c r="B12" t="s">
        <v>153</v>
      </c>
      <c r="C12" t="s">
        <v>91</v>
      </c>
      <c r="D12">
        <v>1000</v>
      </c>
      <c r="E12">
        <v>3.5</v>
      </c>
      <c r="F12">
        <v>0.45</v>
      </c>
      <c r="G12" s="60">
        <v>0.03</v>
      </c>
      <c r="H12" s="60">
        <v>0.03</v>
      </c>
      <c r="I12" s="60">
        <f t="shared" si="0"/>
        <v>3.0612244897959183E-2</v>
      </c>
    </row>
    <row r="13" spans="1:13">
      <c r="B13" t="s">
        <v>153</v>
      </c>
      <c r="C13" t="s">
        <v>116</v>
      </c>
      <c r="G13" s="60">
        <v>0.02</v>
      </c>
    </row>
    <row r="17" spans="1:9">
      <c r="B17" s="58" t="s">
        <v>150</v>
      </c>
    </row>
    <row r="18" spans="1:9" ht="51">
      <c r="B18" s="82" t="s">
        <v>152</v>
      </c>
      <c r="C18" s="82" t="s">
        <v>155</v>
      </c>
      <c r="D18" s="82" t="s">
        <v>143</v>
      </c>
      <c r="E18" s="82" t="s">
        <v>144</v>
      </c>
      <c r="F18" s="82" t="s">
        <v>147</v>
      </c>
      <c r="G18" s="82" t="s">
        <v>145</v>
      </c>
      <c r="H18" s="82" t="s">
        <v>146</v>
      </c>
      <c r="I18" s="82" t="s">
        <v>687</v>
      </c>
    </row>
    <row r="19" spans="1:9">
      <c r="A19" t="s">
        <v>978</v>
      </c>
      <c r="B19" t="s">
        <v>154</v>
      </c>
      <c r="C19" t="s">
        <v>91</v>
      </c>
      <c r="D19">
        <v>150</v>
      </c>
      <c r="E19">
        <v>1</v>
      </c>
      <c r="F19">
        <v>0.4</v>
      </c>
      <c r="G19" s="60">
        <v>0.68</v>
      </c>
      <c r="I19" s="60">
        <f>G19/SUM($G$19:$G$20)</f>
        <v>0.69387755102040827</v>
      </c>
    </row>
    <row r="20" spans="1:9">
      <c r="A20" t="s">
        <v>979</v>
      </c>
      <c r="B20" t="s">
        <v>154</v>
      </c>
      <c r="C20" t="s">
        <v>91</v>
      </c>
      <c r="D20">
        <v>400</v>
      </c>
      <c r="E20">
        <v>1</v>
      </c>
      <c r="F20">
        <v>0.3</v>
      </c>
      <c r="G20" s="60">
        <v>0.3</v>
      </c>
      <c r="I20" s="60">
        <f t="shared" ref="I20" si="1">G20/SUM($G$27:$G$29)</f>
        <v>0.30927835051546387</v>
      </c>
    </row>
    <row r="21" spans="1:9">
      <c r="C21" t="s">
        <v>116</v>
      </c>
      <c r="G21" s="60">
        <v>0.02</v>
      </c>
    </row>
    <row r="22" spans="1:9">
      <c r="G22" s="60"/>
    </row>
    <row r="25" spans="1:9">
      <c r="B25" s="58" t="s">
        <v>151</v>
      </c>
    </row>
    <row r="26" spans="1:9" ht="51">
      <c r="B26" s="82" t="s">
        <v>152</v>
      </c>
      <c r="C26" s="82" t="s">
        <v>155</v>
      </c>
      <c r="D26" s="82" t="s">
        <v>143</v>
      </c>
      <c r="E26" s="82" t="s">
        <v>144</v>
      </c>
      <c r="F26" s="82" t="s">
        <v>147</v>
      </c>
      <c r="G26" s="82" t="s">
        <v>145</v>
      </c>
      <c r="H26" s="82" t="s">
        <v>146</v>
      </c>
      <c r="I26" s="82" t="s">
        <v>687</v>
      </c>
    </row>
    <row r="27" spans="1:9">
      <c r="A27" t="s">
        <v>980</v>
      </c>
      <c r="B27" t="s">
        <v>158</v>
      </c>
      <c r="C27" t="s">
        <v>91</v>
      </c>
      <c r="D27">
        <v>150</v>
      </c>
      <c r="E27">
        <v>1</v>
      </c>
      <c r="F27">
        <v>0.5</v>
      </c>
      <c r="G27" s="60">
        <v>0.65</v>
      </c>
      <c r="I27" s="60">
        <f>G27/SUM($G$27:$G$29)</f>
        <v>0.67010309278350511</v>
      </c>
    </row>
    <row r="28" spans="1:9">
      <c r="A28" t="s">
        <v>981</v>
      </c>
      <c r="B28" t="s">
        <v>158</v>
      </c>
      <c r="C28" t="s">
        <v>88</v>
      </c>
      <c r="D28">
        <v>26</v>
      </c>
      <c r="E28">
        <v>1</v>
      </c>
      <c r="F28">
        <v>0.5</v>
      </c>
      <c r="G28" s="60">
        <v>0.2</v>
      </c>
      <c r="I28" s="60">
        <f t="shared" ref="I28:I29" si="2">G28/SUM($G$27:$G$29)</f>
        <v>0.20618556701030927</v>
      </c>
    </row>
    <row r="29" spans="1:9">
      <c r="A29" t="s">
        <v>982</v>
      </c>
      <c r="B29" t="s">
        <v>158</v>
      </c>
      <c r="C29" t="s">
        <v>156</v>
      </c>
      <c r="D29">
        <v>75</v>
      </c>
      <c r="E29">
        <v>1</v>
      </c>
      <c r="F29">
        <v>0.5</v>
      </c>
      <c r="G29" s="60">
        <v>0.12</v>
      </c>
      <c r="I29" s="60">
        <f t="shared" si="2"/>
        <v>0.12371134020618556</v>
      </c>
    </row>
    <row r="30" spans="1:9">
      <c r="C30" t="s">
        <v>116</v>
      </c>
      <c r="G30" s="60">
        <v>0.03</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dimension ref="A1:BD631"/>
  <sheetViews>
    <sheetView topLeftCell="V1" workbookViewId="0">
      <selection activeCell="AG22" sqref="AG22"/>
    </sheetView>
  </sheetViews>
  <sheetFormatPr defaultRowHeight="12.75"/>
  <cols>
    <col min="26" max="26" width="15.42578125" customWidth="1"/>
    <col min="27" max="27" width="27.42578125" customWidth="1"/>
    <col min="28" max="28" width="25" customWidth="1"/>
    <col min="29" max="29" width="11.42578125" customWidth="1"/>
    <col min="30" max="30" width="9" customWidth="1"/>
    <col min="31" max="31" width="11.28515625" customWidth="1"/>
    <col min="32" max="32" width="11.140625" customWidth="1"/>
    <col min="33" max="33" width="10.5703125" customWidth="1"/>
    <col min="34" max="34" width="19.42578125" customWidth="1"/>
    <col min="55" max="55" width="16.140625" customWidth="1"/>
  </cols>
  <sheetData>
    <row r="1" spans="1:34">
      <c r="A1" s="334"/>
      <c r="B1" s="334"/>
      <c r="C1" s="334"/>
      <c r="D1" s="334"/>
      <c r="E1" s="334"/>
      <c r="F1" s="334"/>
      <c r="G1" s="334"/>
      <c r="H1" s="334"/>
      <c r="I1" s="334"/>
      <c r="J1" s="334"/>
      <c r="K1" s="334"/>
      <c r="L1" s="334"/>
      <c r="M1" s="334"/>
      <c r="N1" s="334"/>
      <c r="O1" s="334"/>
      <c r="P1" s="334"/>
      <c r="Q1" s="334"/>
      <c r="R1" s="334"/>
      <c r="S1" s="334"/>
      <c r="T1" s="334"/>
      <c r="U1" s="334"/>
      <c r="V1" s="334"/>
      <c r="W1" s="334"/>
      <c r="X1" s="334"/>
      <c r="Y1" s="334"/>
    </row>
    <row r="2" spans="1:34">
      <c r="A2" s="334"/>
      <c r="B2" s="334"/>
      <c r="C2" s="334"/>
      <c r="D2" s="334"/>
      <c r="E2" s="334"/>
      <c r="F2" s="334"/>
      <c r="G2" s="334"/>
      <c r="H2" s="334"/>
      <c r="I2" s="334"/>
      <c r="J2" s="334"/>
      <c r="K2" s="334"/>
      <c r="L2" s="334"/>
      <c r="M2" s="334"/>
      <c r="N2" s="334"/>
      <c r="O2" s="334"/>
      <c r="P2" s="334"/>
      <c r="Q2" s="334"/>
      <c r="R2" s="334"/>
      <c r="S2" s="334"/>
      <c r="T2" s="334"/>
      <c r="U2" s="334"/>
      <c r="V2" s="334"/>
      <c r="W2" s="334"/>
      <c r="X2" s="334"/>
      <c r="Y2" s="334"/>
      <c r="AA2" s="426" t="s">
        <v>1056</v>
      </c>
      <c r="AB2" s="426"/>
      <c r="AC2" s="426"/>
      <c r="AD2" s="426"/>
      <c r="AE2" s="426"/>
      <c r="AF2" s="426"/>
      <c r="AG2" s="426"/>
      <c r="AH2" s="426"/>
    </row>
    <row r="3" spans="1:34">
      <c r="A3" s="334"/>
      <c r="B3" s="334" t="s">
        <v>882</v>
      </c>
      <c r="C3" s="334"/>
      <c r="D3" s="334"/>
      <c r="E3" s="334"/>
      <c r="F3" s="334"/>
      <c r="G3" s="334"/>
      <c r="H3" s="334"/>
      <c r="I3" s="334"/>
      <c r="J3" s="334"/>
      <c r="K3" s="334"/>
      <c r="L3" s="334"/>
      <c r="M3" s="334"/>
      <c r="N3" s="334"/>
      <c r="O3" s="334"/>
      <c r="P3" s="334"/>
      <c r="Q3" s="334"/>
      <c r="R3" s="334"/>
      <c r="S3" s="334"/>
      <c r="T3" s="334"/>
      <c r="U3" s="334"/>
      <c r="V3" s="334"/>
      <c r="W3" s="334"/>
      <c r="X3" s="334"/>
      <c r="Y3" s="334"/>
      <c r="AA3" s="407">
        <f>'[4]DOE2014 Sales Pen'!AA3</f>
        <v>1</v>
      </c>
      <c r="AB3" s="408">
        <f>'[4]DOE2014 Sales Pen'!AB3</f>
        <v>2</v>
      </c>
      <c r="AC3" s="408">
        <f>'[4]DOE2014 Sales Pen'!AC3</f>
        <v>3</v>
      </c>
      <c r="AD3" s="408">
        <f>'[4]DOE2014 Sales Pen'!AD3</f>
        <v>4</v>
      </c>
      <c r="AE3" s="408">
        <f>'[4]DOE2014 Sales Pen'!AE3</f>
        <v>5</v>
      </c>
      <c r="AF3" s="408">
        <f>'[4]DOE2014 Sales Pen'!AF3</f>
        <v>6</v>
      </c>
      <c r="AG3" s="408">
        <f>'[4]DOE2014 Sales Pen'!AG3</f>
        <v>7</v>
      </c>
      <c r="AH3" s="409">
        <f>'[4]DOE2014 Sales Pen'!AH3</f>
        <v>0</v>
      </c>
    </row>
    <row r="4" spans="1:34">
      <c r="A4" s="334"/>
      <c r="B4" s="334"/>
      <c r="C4" s="334"/>
      <c r="D4" s="334"/>
      <c r="E4" s="334"/>
      <c r="F4" s="334"/>
      <c r="G4" s="334"/>
      <c r="H4" s="334"/>
      <c r="I4" s="334"/>
      <c r="J4" s="334"/>
      <c r="K4" s="334"/>
      <c r="L4" s="334"/>
      <c r="M4" s="334"/>
      <c r="N4" s="334"/>
      <c r="O4" s="334"/>
      <c r="P4" s="334"/>
      <c r="Q4" s="334"/>
      <c r="R4" s="334"/>
      <c r="S4" s="334"/>
      <c r="T4" s="334"/>
      <c r="U4" s="334"/>
      <c r="V4" s="334"/>
      <c r="W4" s="334"/>
      <c r="X4" s="334"/>
      <c r="Y4" s="334"/>
      <c r="AA4" s="410">
        <f>'[4]DOE2014 Sales Pen'!AA4</f>
        <v>0</v>
      </c>
      <c r="AB4" s="466"/>
      <c r="AC4" s="466"/>
      <c r="AD4" s="466"/>
      <c r="AE4" s="466"/>
      <c r="AF4" s="466">
        <f>'[4]DOE2014 Sales Pen'!AF4</f>
        <v>0</v>
      </c>
      <c r="AG4" s="466">
        <f>'[4]DOE2014 Sales Pen'!AG4</f>
        <v>0</v>
      </c>
      <c r="AH4" s="411">
        <f>'[4]DOE2014 Sales Pen'!AH4</f>
        <v>0</v>
      </c>
    </row>
    <row r="5" spans="1:34" ht="63.75" customHeight="1">
      <c r="A5" s="334"/>
      <c r="B5" s="334"/>
      <c r="C5" s="334"/>
      <c r="D5" s="334"/>
      <c r="E5" s="334"/>
      <c r="F5" s="334"/>
      <c r="G5" s="334"/>
      <c r="H5" s="334"/>
      <c r="I5" s="334"/>
      <c r="J5" s="334"/>
      <c r="K5" s="334"/>
      <c r="L5" s="334"/>
      <c r="M5" s="334"/>
      <c r="N5" s="334"/>
      <c r="O5" s="334"/>
      <c r="P5" s="334"/>
      <c r="Q5" s="334"/>
      <c r="R5" s="334"/>
      <c r="S5" s="334"/>
      <c r="T5" s="334"/>
      <c r="U5" s="334"/>
      <c r="V5" s="334"/>
      <c r="W5" s="334"/>
      <c r="X5" s="334"/>
      <c r="Y5" s="334"/>
      <c r="AA5" s="412" t="str">
        <f>'[4]DOE2014 Sales Pen'!AA5</f>
        <v>Lookup Value</v>
      </c>
      <c r="AB5" s="412" t="str">
        <f>'[4]DOE2014 Sales Pen'!AB5</f>
        <v>Type</v>
      </c>
      <c r="AC5" s="412" t="str">
        <f>'[4]DOE2014 Sales Pen'!AC5</f>
        <v>Sub Type</v>
      </c>
      <c r="AD5" s="116" t="str">
        <f>'[4]DOE2014 Sales Pen'!AD5</f>
        <v>DOE Forecast for 2015</v>
      </c>
      <c r="AE5" s="116" t="str">
        <f>'[4]DOE2014 Sales Pen'!AE5</f>
        <v>DOE Forecast for 2016</v>
      </c>
      <c r="AF5" s="116" t="str">
        <f>'[4]DOE2014 Sales Pen'!AF5</f>
        <v>BPA/Cadeo Estimates Forecast 2016</v>
      </c>
      <c r="AG5" s="82" t="str">
        <f>'[4]DOE2014 Sales Pen'!AG5</f>
        <v>Council Forecast  Baseline 2016</v>
      </c>
      <c r="AH5" s="413" t="str">
        <f>'[4]DOE2014 Sales Pen'!AH5</f>
        <v>Notes</v>
      </c>
    </row>
    <row r="6" spans="1:34">
      <c r="A6" s="334"/>
      <c r="B6" s="334"/>
      <c r="C6" s="334"/>
      <c r="D6" s="334"/>
      <c r="E6" s="334"/>
      <c r="F6" s="334"/>
      <c r="G6" s="334"/>
      <c r="H6" s="334"/>
      <c r="I6" s="334"/>
      <c r="J6" s="334"/>
      <c r="K6" s="334"/>
      <c r="L6" s="334"/>
      <c r="M6" s="334"/>
      <c r="N6" s="334"/>
      <c r="O6" s="334"/>
      <c r="P6" s="334"/>
      <c r="Q6" s="334"/>
      <c r="R6" s="334"/>
      <c r="S6" s="334"/>
      <c r="T6" s="334"/>
      <c r="U6" s="334"/>
      <c r="V6" s="334"/>
      <c r="W6" s="334"/>
      <c r="X6" s="334"/>
      <c r="Y6" s="334"/>
      <c r="AA6" s="414"/>
      <c r="AB6" s="113" t="str">
        <f>'[4]DOE2014 Sales Pen'!AB6</f>
        <v>General Service</v>
      </c>
      <c r="AC6" s="113" t="str">
        <f>'[4]DOE2014 Sales Pen'!AC6</f>
        <v>All</v>
      </c>
      <c r="AD6" s="415">
        <f>'[4]DOE2014 Sales Pen'!AD6</f>
        <v>0.19</v>
      </c>
      <c r="AE6" s="60">
        <f>'[4]DOE2014 Sales Pen'!AE6</f>
        <v>0.35333333333334066</v>
      </c>
      <c r="AF6" s="416">
        <f>'[4]DOE2014 Sales Pen'!AF6</f>
        <v>0.1</v>
      </c>
      <c r="AG6" s="417">
        <f>'[4]DOE2014 Sales Pen'!AG6</f>
        <v>0.12</v>
      </c>
      <c r="AH6" s="411" t="str">
        <f>'[4]DOE2014 Sales Pen'!AH6</f>
        <v>revised downward</v>
      </c>
    </row>
    <row r="7" spans="1:34">
      <c r="A7" s="334"/>
      <c r="B7" s="334"/>
      <c r="C7" s="334"/>
      <c r="D7" s="334"/>
      <c r="E7" s="334"/>
      <c r="F7" s="334"/>
      <c r="G7" s="334"/>
      <c r="H7" s="334"/>
      <c r="I7" s="334"/>
      <c r="J7" s="334"/>
      <c r="K7" s="334"/>
      <c r="L7" s="334"/>
      <c r="M7" s="334"/>
      <c r="N7" s="334"/>
      <c r="O7" s="334"/>
      <c r="P7" s="334"/>
      <c r="Q7" s="334"/>
      <c r="R7" s="334"/>
      <c r="S7" s="334"/>
      <c r="T7" s="334"/>
      <c r="U7" s="334"/>
      <c r="V7" s="334"/>
      <c r="W7" s="334"/>
      <c r="X7" s="334"/>
      <c r="Y7" s="334"/>
      <c r="AA7" s="414"/>
      <c r="AB7" s="113" t="str">
        <f>'[4]DOE2014 Sales Pen'!AB7</f>
        <v>Decorative</v>
      </c>
      <c r="AC7" s="113" t="str">
        <f>'[4]DOE2014 Sales Pen'!AC7</f>
        <v>All</v>
      </c>
      <c r="AD7" s="415">
        <f>'[4]DOE2014 Sales Pen'!AD7</f>
        <v>0.03</v>
      </c>
      <c r="AE7" s="60">
        <f>'[4]DOE2014 Sales Pen'!AE7</f>
        <v>0.06</v>
      </c>
      <c r="AF7" s="416">
        <f>'[4]DOE2014 Sales Pen'!AF7</f>
        <v>0.03</v>
      </c>
      <c r="AG7" s="417">
        <f>'[4]DOE2014 Sales Pen'!AG7</f>
        <v>0.06</v>
      </c>
      <c r="AH7" s="411" t="str">
        <f>'[4]DOE2014 Sales Pen'!AH7</f>
        <v>no change</v>
      </c>
    </row>
    <row r="8" spans="1:34">
      <c r="A8" s="334"/>
      <c r="B8" s="334"/>
      <c r="C8" s="334"/>
      <c r="D8" s="334"/>
      <c r="E8" s="334"/>
      <c r="F8" s="334"/>
      <c r="G8" s="334"/>
      <c r="H8" s="334"/>
      <c r="I8" s="334"/>
      <c r="J8" s="334"/>
      <c r="K8" s="334"/>
      <c r="L8" s="334"/>
      <c r="M8" s="334"/>
      <c r="N8" s="334"/>
      <c r="O8" s="334"/>
      <c r="P8" s="334"/>
      <c r="Q8" s="334"/>
      <c r="R8" s="334"/>
      <c r="S8" s="334"/>
      <c r="T8" s="334"/>
      <c r="U8" s="334"/>
      <c r="V8" s="334"/>
      <c r="W8" s="334"/>
      <c r="X8" s="334"/>
      <c r="Y8" s="334"/>
      <c r="AA8" s="414"/>
      <c r="AB8" s="113" t="str">
        <f>'[4]DOE2014 Sales Pen'!AB8</f>
        <v>Directional</v>
      </c>
      <c r="AC8" s="113" t="str">
        <f>'[4]DOE2014 Sales Pen'!AC8</f>
        <v>All</v>
      </c>
      <c r="AD8" s="415">
        <f>'[4]DOE2014 Sales Pen'!AD8</f>
        <v>0.13</v>
      </c>
      <c r="AE8">
        <f>'[4]DOE2014 Sales Pen'!AE8</f>
        <v>0</v>
      </c>
      <c r="AF8" s="416">
        <f>'[4]DOE2014 Sales Pen'!AF8</f>
        <v>0</v>
      </c>
      <c r="AG8" s="417">
        <f>'[4]DOE2014 Sales Pen'!AG8</f>
        <v>0.15</v>
      </c>
      <c r="AH8" s="411" t="str">
        <f>'[4]DOE2014 Sales Pen'!AH8</f>
        <v>revised downward</v>
      </c>
    </row>
    <row r="9" spans="1:34">
      <c r="A9" s="334"/>
      <c r="B9" s="334"/>
      <c r="C9" s="334"/>
      <c r="D9" s="334"/>
      <c r="E9" s="334"/>
      <c r="F9" s="334"/>
      <c r="G9" s="334"/>
      <c r="H9" s="334"/>
      <c r="I9" s="334"/>
      <c r="J9" s="334"/>
      <c r="K9" s="334"/>
      <c r="L9" s="334"/>
      <c r="M9" s="334"/>
      <c r="N9" s="334"/>
      <c r="O9" s="334"/>
      <c r="P9" s="334"/>
      <c r="Q9" s="334"/>
      <c r="R9" s="334"/>
      <c r="S9" s="334"/>
      <c r="T9" s="334"/>
      <c r="U9" s="334"/>
      <c r="V9" s="334"/>
      <c r="W9" s="334"/>
      <c r="X9" s="334"/>
      <c r="Y9" s="334"/>
      <c r="AA9" s="414"/>
      <c r="AB9" s="113" t="str">
        <f>'[4]DOE2014 Sales Pen'!AB9</f>
        <v>Directional</v>
      </c>
      <c r="AC9" s="113" t="str">
        <f>'[4]DOE2014 Sales Pen'!AC9</f>
        <v>PAR Lamp</v>
      </c>
      <c r="AD9" s="415">
        <f>'[4]DOE2014 Sales Pen'!AD9</f>
        <v>0.25</v>
      </c>
      <c r="AE9" s="60">
        <f>'[4]DOE2014 Sales Pen'!AE9</f>
        <v>0.4</v>
      </c>
      <c r="AF9" s="416">
        <f>'[4]DOE2014 Sales Pen'!AF9</f>
        <v>0.25</v>
      </c>
      <c r="AG9" s="417">
        <f>'[4]DOE2014 Sales Pen'!AG9</f>
        <v>0.3</v>
      </c>
      <c r="AH9" s="411" t="str">
        <f>'[4]DOE2014 Sales Pen'!AH9</f>
        <v>revised downward</v>
      </c>
    </row>
    <row r="10" spans="1:34">
      <c r="A10" s="334"/>
      <c r="B10" s="334"/>
      <c r="C10" s="334"/>
      <c r="D10" s="334"/>
      <c r="E10" s="334"/>
      <c r="F10" s="334"/>
      <c r="G10" s="334"/>
      <c r="H10" s="334"/>
      <c r="I10" s="334"/>
      <c r="J10" s="334"/>
      <c r="K10" s="334"/>
      <c r="L10" s="334"/>
      <c r="M10" s="334"/>
      <c r="N10" s="334"/>
      <c r="O10" s="334"/>
      <c r="P10" s="334"/>
      <c r="Q10" s="334"/>
      <c r="R10" s="334"/>
      <c r="S10" s="334"/>
      <c r="T10" s="334"/>
      <c r="U10" s="334"/>
      <c r="V10" s="334"/>
      <c r="W10" s="334"/>
      <c r="X10" s="334"/>
      <c r="Y10" s="334"/>
      <c r="AA10" s="414"/>
      <c r="AB10" s="113" t="str">
        <f>'[4]DOE2014 Sales Pen'!AB10</f>
        <v>Directional</v>
      </c>
      <c r="AC10" s="113" t="str">
        <f>'[4]DOE2014 Sales Pen'!AC10</f>
        <v>MR Lamp</v>
      </c>
      <c r="AD10" s="415">
        <f>'[4]DOE2014 Sales Pen'!AD10</f>
        <v>0.25</v>
      </c>
      <c r="AE10" s="60">
        <f>'[4]DOE2014 Sales Pen'!AE10</f>
        <v>0.4</v>
      </c>
      <c r="AF10" s="416">
        <f>'[4]DOE2014 Sales Pen'!AF10</f>
        <v>0.25</v>
      </c>
      <c r="AG10" s="417">
        <f>'[4]DOE2014 Sales Pen'!AG10</f>
        <v>0.25</v>
      </c>
      <c r="AH10" s="411" t="str">
        <f>'[4]DOE2014 Sales Pen'!AH10</f>
        <v>revised downward</v>
      </c>
    </row>
    <row r="11" spans="1:34">
      <c r="A11" s="334"/>
      <c r="B11" s="334"/>
      <c r="C11" s="334"/>
      <c r="D11" s="334"/>
      <c r="E11" s="334"/>
      <c r="F11" s="334"/>
      <c r="G11" s="334"/>
      <c r="H11" s="334"/>
      <c r="I11" s="334"/>
      <c r="J11" s="334"/>
      <c r="K11" s="334"/>
      <c r="L11" s="334"/>
      <c r="M11" s="334"/>
      <c r="N11" s="334"/>
      <c r="O11" s="334"/>
      <c r="P11" s="334"/>
      <c r="Q11" s="334"/>
      <c r="R11" s="334"/>
      <c r="S11" s="334"/>
      <c r="T11" s="334"/>
      <c r="U11" s="334"/>
      <c r="V11" s="334"/>
      <c r="W11" s="334"/>
      <c r="X11" s="334"/>
      <c r="Y11" s="334"/>
      <c r="AA11" s="414"/>
      <c r="AB11" s="113" t="str">
        <f>'[4]DOE2014 Sales Pen'!AB11</f>
        <v>Directional</v>
      </c>
      <c r="AC11" s="113" t="str">
        <f>'[4]DOE2014 Sales Pen'!AC11</f>
        <v>PAR Fixture</v>
      </c>
      <c r="AD11" s="415">
        <f>'[4]DOE2014 Sales Pen'!AD11</f>
        <v>0.04</v>
      </c>
      <c r="AE11">
        <f>'[4]DOE2014 Sales Pen'!AE11</f>
        <v>0</v>
      </c>
      <c r="AF11" s="416">
        <f>'[4]DOE2014 Sales Pen'!AF11</f>
        <v>0.05</v>
      </c>
      <c r="AG11" s="417">
        <f>'[4]DOE2014 Sales Pen'!AG11</f>
        <v>0.05</v>
      </c>
      <c r="AH11" s="411" t="str">
        <f>'[4]DOE2014 Sales Pen'!AH11</f>
        <v>revised downward</v>
      </c>
    </row>
    <row r="12" spans="1:34">
      <c r="A12" s="334"/>
      <c r="B12" s="334"/>
      <c r="C12" s="334"/>
      <c r="D12" s="334"/>
      <c r="E12" s="334"/>
      <c r="F12" s="334"/>
      <c r="G12" s="334"/>
      <c r="H12" s="334"/>
      <c r="I12" s="334"/>
      <c r="J12" s="334"/>
      <c r="K12" s="334"/>
      <c r="L12" s="334"/>
      <c r="M12" s="334"/>
      <c r="N12" s="334"/>
      <c r="O12" s="334"/>
      <c r="P12" s="334"/>
      <c r="Q12" s="334"/>
      <c r="R12" s="334"/>
      <c r="S12" s="334"/>
      <c r="T12" s="334"/>
      <c r="U12" s="334"/>
      <c r="V12" s="334"/>
      <c r="W12" s="334"/>
      <c r="X12" s="334"/>
      <c r="Y12" s="334"/>
      <c r="AA12" s="414"/>
      <c r="AB12" s="113" t="str">
        <f>'[4]DOE2014 Sales Pen'!AB12</f>
        <v>Directional</v>
      </c>
      <c r="AC12" s="113" t="str">
        <f>'[4]DOE2014 Sales Pen'!AC12</f>
        <v>MR Fixture</v>
      </c>
      <c r="AD12" s="415">
        <f>'[4]DOE2014 Sales Pen'!AD12</f>
        <v>0.04</v>
      </c>
      <c r="AE12">
        <f>'[4]DOE2014 Sales Pen'!AE12</f>
        <v>0</v>
      </c>
      <c r="AF12" s="416">
        <f>'[4]DOE2014 Sales Pen'!AF12</f>
        <v>0.05</v>
      </c>
      <c r="AG12" s="417">
        <f>'[4]DOE2014 Sales Pen'!AG12</f>
        <v>0.05</v>
      </c>
      <c r="AH12" s="411" t="str">
        <f>'[4]DOE2014 Sales Pen'!AH12</f>
        <v>revised downward</v>
      </c>
    </row>
    <row r="13" spans="1:34">
      <c r="A13" s="334"/>
      <c r="B13" s="334"/>
      <c r="C13" s="334"/>
      <c r="D13" s="334"/>
      <c r="E13" s="334"/>
      <c r="F13" s="334"/>
      <c r="G13" s="334"/>
      <c r="H13" s="334"/>
      <c r="I13" s="334"/>
      <c r="J13" s="334"/>
      <c r="K13" s="334"/>
      <c r="L13" s="334"/>
      <c r="M13" s="334"/>
      <c r="N13" s="334"/>
      <c r="O13" s="334"/>
      <c r="P13" s="334"/>
      <c r="Q13" s="334"/>
      <c r="R13" s="334"/>
      <c r="S13" s="334"/>
      <c r="T13" s="334"/>
      <c r="U13" s="334"/>
      <c r="V13" s="334"/>
      <c r="W13" s="334"/>
      <c r="X13" s="334"/>
      <c r="Y13" s="334"/>
      <c r="AA13" s="414"/>
      <c r="AB13" s="113" t="str">
        <f>'[4]DOE2014 Sales Pen'!AB13</f>
        <v>Downlight</v>
      </c>
      <c r="AC13" s="113" t="str">
        <f>'[4]DOE2014 Sales Pen'!AC13</f>
        <v>DL Lamp</v>
      </c>
      <c r="AD13" s="415">
        <f>'[4]DOE2014 Sales Pen'!AD13</f>
        <v>0.05</v>
      </c>
      <c r="AE13" s="60">
        <f>'[4]DOE2014 Sales Pen'!AE13</f>
        <v>0.08</v>
      </c>
      <c r="AF13" s="416">
        <f>'[4]DOE2014 Sales Pen'!AF13</f>
        <v>0.05</v>
      </c>
      <c r="AG13" s="417">
        <f>'[4]DOE2014 Sales Pen'!AG13</f>
        <v>0.06</v>
      </c>
      <c r="AH13" s="411" t="str">
        <f>'[4]DOE2014 Sales Pen'!AH13</f>
        <v>revised downward</v>
      </c>
    </row>
    <row r="14" spans="1:34">
      <c r="A14" s="334"/>
      <c r="B14" s="334"/>
      <c r="C14" s="334"/>
      <c r="D14" s="334"/>
      <c r="E14" s="334"/>
      <c r="F14" s="334"/>
      <c r="G14" s="334"/>
      <c r="H14" s="334"/>
      <c r="I14" s="334"/>
      <c r="J14" s="334"/>
      <c r="K14" s="334"/>
      <c r="L14" s="334"/>
      <c r="M14" s="334"/>
      <c r="N14" s="334"/>
      <c r="O14" s="334"/>
      <c r="P14" s="334"/>
      <c r="Q14" s="334"/>
      <c r="R14" s="334"/>
      <c r="S14" s="334"/>
      <c r="T14" s="334"/>
      <c r="U14" s="334"/>
      <c r="V14" s="334"/>
      <c r="W14" s="334"/>
      <c r="X14" s="334"/>
      <c r="Y14" s="334"/>
      <c r="AA14" s="414"/>
      <c r="AB14" s="113" t="str">
        <f>'[4]DOE2014 Sales Pen'!AB14</f>
        <v>Downlight</v>
      </c>
      <c r="AC14" s="113" t="str">
        <f>'[4]DOE2014 Sales Pen'!AC14</f>
        <v>DL Luminaire</v>
      </c>
      <c r="AD14" s="415">
        <f>'[4]DOE2014 Sales Pen'!AD14</f>
        <v>0.02</v>
      </c>
      <c r="AE14" s="60">
        <f>'[4]DOE2014 Sales Pen'!AE14</f>
        <v>0.02</v>
      </c>
      <c r="AF14" s="416">
        <f>'[4]DOE2014 Sales Pen'!AF14</f>
        <v>0.05</v>
      </c>
      <c r="AG14" s="417">
        <f>'[4]DOE2014 Sales Pen'!AG14</f>
        <v>0.02</v>
      </c>
      <c r="AH14" s="411" t="str">
        <f>'[4]DOE2014 Sales Pen'!AH14</f>
        <v>revised downward</v>
      </c>
    </row>
    <row r="15" spans="1:34">
      <c r="A15" s="334"/>
      <c r="B15" s="334"/>
      <c r="C15" s="334"/>
      <c r="D15" s="334"/>
      <c r="E15" s="334"/>
      <c r="F15" s="334"/>
      <c r="G15" s="334"/>
      <c r="H15" s="334"/>
      <c r="I15" s="334"/>
      <c r="J15" s="334"/>
      <c r="K15" s="334"/>
      <c r="L15" s="334"/>
      <c r="M15" s="334"/>
      <c r="N15" s="334"/>
      <c r="O15" s="334"/>
      <c r="P15" s="334"/>
      <c r="Q15" s="334"/>
      <c r="R15" s="334"/>
      <c r="S15" s="334"/>
      <c r="T15" s="334"/>
      <c r="U15" s="334"/>
      <c r="V15" s="334"/>
      <c r="W15" s="334"/>
      <c r="X15" s="334"/>
      <c r="Y15" s="334"/>
      <c r="AA15" s="414"/>
      <c r="AB15" s="113" t="str">
        <f>'[4]DOE2014 Sales Pen'!AB15</f>
        <v>Linear Fluorescent Fixture</v>
      </c>
      <c r="AC15" s="113" t="str">
        <f>'[4]DOE2014 Sales Pen'!AC15</f>
        <v>Commercial</v>
      </c>
      <c r="AD15" s="415">
        <f>'[4]DOE2014 Sales Pen'!AD15</f>
        <v>0.08</v>
      </c>
      <c r="AE15" s="60">
        <f>'[4]DOE2014 Sales Pen'!AE15</f>
        <v>0.16</v>
      </c>
      <c r="AF15" s="416">
        <f>'[4]DOE2014 Sales Pen'!AF15</f>
        <v>0.05</v>
      </c>
      <c r="AG15" s="417">
        <f>'[4]DOE2014 Sales Pen'!AG15</f>
        <v>0.06</v>
      </c>
      <c r="AH15" s="411" t="str">
        <f>'[4]DOE2014 Sales Pen'!AH15</f>
        <v>revised downward</v>
      </c>
    </row>
    <row r="16" spans="1:34">
      <c r="A16" s="334"/>
      <c r="B16" s="334"/>
      <c r="C16" s="334"/>
      <c r="D16" s="334"/>
      <c r="E16" s="334"/>
      <c r="F16" s="334"/>
      <c r="G16" s="334"/>
      <c r="H16" s="334"/>
      <c r="I16" s="334"/>
      <c r="J16" s="334"/>
      <c r="K16" s="334"/>
      <c r="L16" s="334"/>
      <c r="M16" s="334"/>
      <c r="N16" s="334"/>
      <c r="O16" s="334"/>
      <c r="P16" s="334"/>
      <c r="Q16" s="334"/>
      <c r="R16" s="334"/>
      <c r="S16" s="334"/>
      <c r="T16" s="334"/>
      <c r="U16" s="334"/>
      <c r="V16" s="334"/>
      <c r="W16" s="334"/>
      <c r="X16" s="334"/>
      <c r="Y16" s="334"/>
      <c r="AA16" s="410"/>
      <c r="AB16" s="113" t="str">
        <f>'[4]DOE2014 Sales Pen'!AB16</f>
        <v>Linear Fluorescent Fixture</v>
      </c>
      <c r="AC16" s="113" t="str">
        <f>'[4]DOE2014 Sales Pen'!AC16</f>
        <v>Industrtial</v>
      </c>
      <c r="AD16" s="415">
        <f>'[4]DOE2014 Sales Pen'!AD16</f>
        <v>0.05</v>
      </c>
      <c r="AE16">
        <f>'[4]DOE2014 Sales Pen'!AE16</f>
        <v>0</v>
      </c>
      <c r="AF16" s="416">
        <f>'[4]DOE2014 Sales Pen'!AF16</f>
        <v>0.05</v>
      </c>
      <c r="AG16" s="417">
        <f>'[4]DOE2014 Sales Pen'!AG16</f>
        <v>0.06</v>
      </c>
      <c r="AH16" s="411" t="str">
        <f>'[4]DOE2014 Sales Pen'!AH16</f>
        <v>revised downward</v>
      </c>
    </row>
    <row r="17" spans="1:34">
      <c r="A17" s="334"/>
      <c r="B17" s="334"/>
      <c r="C17" s="334"/>
      <c r="D17" s="334"/>
      <c r="E17" s="334"/>
      <c r="F17" s="334"/>
      <c r="G17" s="334"/>
      <c r="H17" s="334"/>
      <c r="I17" s="334"/>
      <c r="J17" s="334"/>
      <c r="K17" s="334"/>
      <c r="L17" s="334"/>
      <c r="M17" s="334"/>
      <c r="N17" s="334"/>
      <c r="O17" s="334"/>
      <c r="P17" s="334"/>
      <c r="Q17" s="334"/>
      <c r="R17" s="334"/>
      <c r="S17" s="334"/>
      <c r="T17" s="334"/>
      <c r="U17" s="334"/>
      <c r="V17" s="334"/>
      <c r="W17" s="334"/>
      <c r="X17" s="334"/>
      <c r="Y17" s="334"/>
      <c r="AA17" s="414"/>
      <c r="AB17" s="113" t="str">
        <f>'[4]DOE2014 Sales Pen'!AB17</f>
        <v>Low/High Bay</v>
      </c>
      <c r="AC17" s="113" t="str">
        <f>'[4]DOE2014 Sales Pen'!AC17</f>
        <v>Commercial</v>
      </c>
      <c r="AD17" s="415">
        <f>'[4]DOE2014 Sales Pen'!AD17</f>
        <v>0.04</v>
      </c>
      <c r="AE17" s="60">
        <f>'[4]DOE2014 Sales Pen'!AE17</f>
        <v>0.1</v>
      </c>
      <c r="AF17" s="416">
        <f>'[4]DOE2014 Sales Pen'!AF17</f>
        <v>0.05</v>
      </c>
      <c r="AG17" s="417">
        <f>'[4]DOE2014 Sales Pen'!AG17</f>
        <v>0.06</v>
      </c>
      <c r="AH17" s="411" t="str">
        <f>'[4]DOE2014 Sales Pen'!AH17</f>
        <v>revised downward</v>
      </c>
    </row>
    <row r="18" spans="1:34">
      <c r="A18" s="334"/>
      <c r="B18" s="334"/>
      <c r="C18" s="334"/>
      <c r="D18" s="334"/>
      <c r="E18" s="334"/>
      <c r="F18" s="334"/>
      <c r="G18" s="334"/>
      <c r="H18" s="334"/>
      <c r="I18" s="334"/>
      <c r="J18" s="334"/>
      <c r="K18" s="334"/>
      <c r="L18" s="334"/>
      <c r="M18" s="334"/>
      <c r="N18" s="334"/>
      <c r="O18" s="334"/>
      <c r="P18" s="334"/>
      <c r="Q18" s="334"/>
      <c r="R18" s="334"/>
      <c r="S18" s="334"/>
      <c r="T18" s="334"/>
      <c r="U18" s="334"/>
      <c r="V18" s="334"/>
      <c r="W18" s="334"/>
      <c r="X18" s="334"/>
      <c r="Y18" s="334"/>
      <c r="AA18" s="410"/>
      <c r="AB18" s="113" t="str">
        <f>'[4]DOE2014 Sales Pen'!AB18</f>
        <v>Low/High Bay</v>
      </c>
      <c r="AC18" s="113" t="str">
        <f>'[4]DOE2014 Sales Pen'!AC18</f>
        <v>Industrtial</v>
      </c>
      <c r="AD18" s="415">
        <f>'[4]DOE2014 Sales Pen'!AD18</f>
        <v>0.09</v>
      </c>
      <c r="AE18">
        <f>'[4]DOE2014 Sales Pen'!AE18</f>
        <v>0</v>
      </c>
      <c r="AF18" s="416">
        <f>'[4]DOE2014 Sales Pen'!AF18</f>
        <v>0.1</v>
      </c>
      <c r="AG18" s="417">
        <f>'[4]DOE2014 Sales Pen'!AG18</f>
        <v>0.1</v>
      </c>
      <c r="AH18" s="411" t="str">
        <f>'[4]DOE2014 Sales Pen'!AH18</f>
        <v>revised downward</v>
      </c>
    </row>
    <row r="19" spans="1:34">
      <c r="A19" s="334"/>
      <c r="B19" s="334"/>
      <c r="C19" s="334"/>
      <c r="D19" s="334"/>
      <c r="E19" s="334"/>
      <c r="F19" s="334"/>
      <c r="G19" s="334"/>
      <c r="H19" s="334"/>
      <c r="I19" s="334"/>
      <c r="J19" s="334"/>
      <c r="K19" s="334"/>
      <c r="L19" s="334"/>
      <c r="M19" s="334"/>
      <c r="N19" s="334"/>
      <c r="O19" s="334"/>
      <c r="P19" s="334"/>
      <c r="Q19" s="334"/>
      <c r="R19" s="334"/>
      <c r="S19" s="334"/>
      <c r="T19" s="334"/>
      <c r="U19" s="334"/>
      <c r="V19" s="334"/>
      <c r="W19" s="334"/>
      <c r="X19" s="334"/>
      <c r="Y19" s="334"/>
      <c r="AA19" s="410"/>
      <c r="AB19" s="113" t="str">
        <f>'[4]DOE2014 Sales Pen'!AB19</f>
        <v>Street &amp; Roadway</v>
      </c>
      <c r="AC19" s="113" t="str">
        <f>'[4]DOE2014 Sales Pen'!AC19</f>
        <v>All</v>
      </c>
      <c r="AD19" s="415">
        <f>'[4]DOE2014 Sales Pen'!AD19</f>
        <v>0.31</v>
      </c>
      <c r="AE19" s="60">
        <f>'[4]DOE2014 Sales Pen'!AE19</f>
        <v>0.4</v>
      </c>
      <c r="AF19" s="416">
        <f>'[4]DOE2014 Sales Pen'!AF19</f>
        <v>0.5</v>
      </c>
      <c r="AG19" s="418">
        <f>'[4]DOE2014 Sales Pen'!AG19</f>
        <v>0.4</v>
      </c>
      <c r="AH19" s="411" t="str">
        <f>'[4]DOE2014 Sales Pen'!AH19</f>
        <v>revised downward</v>
      </c>
    </row>
    <row r="20" spans="1:34">
      <c r="A20" s="334"/>
      <c r="B20" s="334"/>
      <c r="C20" s="334"/>
      <c r="D20" s="334"/>
      <c r="E20" s="334"/>
      <c r="F20" s="334"/>
      <c r="G20" s="334"/>
      <c r="H20" s="334"/>
      <c r="I20" s="334"/>
      <c r="J20" s="334"/>
      <c r="K20" s="334"/>
      <c r="L20" s="334"/>
      <c r="M20" s="334"/>
      <c r="N20" s="334"/>
      <c r="O20" s="334"/>
      <c r="P20" s="334"/>
      <c r="Q20" s="334"/>
      <c r="R20" s="334"/>
      <c r="S20" s="334"/>
      <c r="T20" s="334"/>
      <c r="U20" s="334"/>
      <c r="V20" s="334"/>
      <c r="W20" s="334"/>
      <c r="X20" s="334"/>
      <c r="Y20" s="334"/>
      <c r="AA20" s="414" t="s">
        <v>972</v>
      </c>
      <c r="AB20" s="113" t="str">
        <f>'[4]DOE2014 Sales Pen'!AB20</f>
        <v>Parking</v>
      </c>
      <c r="AC20" s="113" t="str">
        <f>'[4]DOE2014 Sales Pen'!AC20</f>
        <v>Lot</v>
      </c>
      <c r="AD20" s="415">
        <f>'[4]DOE2014 Sales Pen'!AD20</f>
        <v>0.2</v>
      </c>
      <c r="AE20" s="60">
        <f>'[4]DOE2014 Sales Pen'!AE20</f>
        <v>0.27</v>
      </c>
      <c r="AF20" s="416">
        <f>'[4]DOE2014 Sales Pen'!AF20</f>
        <v>0.25</v>
      </c>
      <c r="AG20" s="418">
        <f>'[4]DOE2014 Sales Pen'!AG20</f>
        <v>0.25</v>
      </c>
      <c r="AH20" s="411" t="str">
        <f>'[4]DOE2014 Sales Pen'!AH20</f>
        <v>revised downward</v>
      </c>
    </row>
    <row r="21" spans="1:34">
      <c r="A21" s="334"/>
      <c r="B21" s="334"/>
      <c r="C21" s="334"/>
      <c r="D21" s="334"/>
      <c r="E21" s="334"/>
      <c r="F21" s="334"/>
      <c r="G21" s="334"/>
      <c r="H21" s="334"/>
      <c r="I21" s="334"/>
      <c r="J21" s="334"/>
      <c r="K21" s="334"/>
      <c r="L21" s="334"/>
      <c r="M21" s="334"/>
      <c r="N21" s="334"/>
      <c r="O21" s="334"/>
      <c r="P21" s="334"/>
      <c r="Q21" s="334"/>
      <c r="R21" s="334"/>
      <c r="S21" s="334"/>
      <c r="T21" s="334"/>
      <c r="U21" s="334"/>
      <c r="V21" s="334"/>
      <c r="W21" s="334"/>
      <c r="X21" s="334"/>
      <c r="Y21" s="334"/>
      <c r="AA21" s="414"/>
      <c r="AB21" s="113" t="str">
        <f>'[4]DOE2014 Sales Pen'!AB21</f>
        <v>Parking</v>
      </c>
      <c r="AC21" s="113" t="str">
        <f>'[4]DOE2014 Sales Pen'!AC21</f>
        <v>Garage</v>
      </c>
      <c r="AD21" s="415">
        <f>'[4]DOE2014 Sales Pen'!AD21</f>
        <v>0.13</v>
      </c>
      <c r="AE21" s="60">
        <f>'[4]DOE2014 Sales Pen'!AE21</f>
        <v>0.18</v>
      </c>
      <c r="AF21" s="416">
        <f>'[4]DOE2014 Sales Pen'!AF21</f>
        <v>0.2</v>
      </c>
      <c r="AG21" s="419">
        <f>'[4]DOE2014 Sales Pen'!AG21</f>
        <v>0.18</v>
      </c>
      <c r="AH21" s="411" t="str">
        <f>'[4]DOE2014 Sales Pen'!AH21</f>
        <v>revised downward</v>
      </c>
    </row>
    <row r="22" spans="1:34">
      <c r="A22" s="334"/>
      <c r="B22" s="334"/>
      <c r="C22" s="334"/>
      <c r="D22" s="334"/>
      <c r="E22" s="334"/>
      <c r="F22" s="334"/>
      <c r="G22" s="334"/>
      <c r="H22" s="334"/>
      <c r="I22" s="334"/>
      <c r="J22" s="334"/>
      <c r="K22" s="334"/>
      <c r="L22" s="334"/>
      <c r="M22" s="334"/>
      <c r="N22" s="334"/>
      <c r="O22" s="334"/>
      <c r="P22" s="334"/>
      <c r="Q22" s="334"/>
      <c r="R22" s="334"/>
      <c r="S22" s="334"/>
      <c r="T22" s="334"/>
      <c r="U22" s="334"/>
      <c r="V22" s="334"/>
      <c r="W22" s="334"/>
      <c r="X22" s="334"/>
      <c r="Y22" s="334"/>
      <c r="AA22" s="414" t="s">
        <v>1055</v>
      </c>
      <c r="AB22" s="113" t="str">
        <f>'[4]DOE2014 Sales Pen'!AB22</f>
        <v>Exterior</v>
      </c>
      <c r="AC22" s="113" t="str">
        <f>'[4]DOE2014 Sales Pen'!AC22</f>
        <v>All</v>
      </c>
      <c r="AD22" s="415">
        <f>'[4]DOE2014 Sales Pen'!AD22</f>
        <v>0.17</v>
      </c>
      <c r="AE22" s="60">
        <f>'[4]DOE2014 Sales Pen'!AE22</f>
        <v>0.36</v>
      </c>
      <c r="AF22" s="416">
        <f>'[4]DOE2014 Sales Pen'!AF22</f>
        <v>0.25</v>
      </c>
      <c r="AG22" s="418">
        <f>'[4]DOE2014 Sales Pen'!AG22</f>
        <v>0.25</v>
      </c>
      <c r="AH22" s="411" t="str">
        <f>'[4]DOE2014 Sales Pen'!AH22</f>
        <v>revised downward</v>
      </c>
    </row>
    <row r="23" spans="1:34">
      <c r="A23" s="334"/>
      <c r="B23" s="334"/>
      <c r="C23" s="334"/>
      <c r="D23" s="334"/>
      <c r="E23" s="334"/>
      <c r="F23" s="334"/>
      <c r="G23" s="334"/>
      <c r="H23" s="334"/>
      <c r="I23" s="334"/>
      <c r="J23" s="334"/>
      <c r="K23" s="334"/>
      <c r="L23" s="334"/>
      <c r="M23" s="334"/>
      <c r="N23" s="334"/>
      <c r="O23" s="334"/>
      <c r="P23" s="334"/>
      <c r="Q23" s="334"/>
      <c r="R23" s="334"/>
      <c r="S23" s="334"/>
      <c r="T23" s="334"/>
      <c r="U23" s="334"/>
      <c r="V23" s="334"/>
      <c r="W23" s="334"/>
      <c r="X23" s="334"/>
      <c r="Y23" s="334"/>
      <c r="AA23" s="414"/>
      <c r="AB23" s="113"/>
      <c r="AC23" s="113"/>
      <c r="AD23" s="113"/>
      <c r="AE23" s="113"/>
      <c r="AG23" s="417"/>
      <c r="AH23" s="411"/>
    </row>
    <row r="24" spans="1:34">
      <c r="A24" s="334"/>
      <c r="B24" s="334"/>
      <c r="C24" s="334"/>
      <c r="D24" s="334"/>
      <c r="E24" s="334"/>
      <c r="F24" s="334"/>
      <c r="G24" s="334"/>
      <c r="H24" s="334"/>
      <c r="I24" s="334"/>
      <c r="J24" s="334"/>
      <c r="K24" s="334"/>
      <c r="L24" s="334"/>
      <c r="M24" s="334"/>
      <c r="N24" s="334"/>
      <c r="O24" s="334"/>
      <c r="P24" s="334"/>
      <c r="Q24" s="334"/>
      <c r="R24" s="334"/>
      <c r="S24" s="334"/>
      <c r="T24" s="334"/>
      <c r="U24" s="334"/>
      <c r="V24" s="334"/>
      <c r="W24" s="334"/>
      <c r="X24" s="334"/>
      <c r="Y24" s="334"/>
      <c r="AA24" s="414"/>
      <c r="AB24" s="113"/>
      <c r="AC24" s="113"/>
      <c r="AD24" s="113"/>
      <c r="AE24" s="113"/>
      <c r="AG24" s="417"/>
      <c r="AH24" s="411"/>
    </row>
    <row r="25" spans="1:34">
      <c r="A25" s="334"/>
      <c r="B25" s="334"/>
      <c r="C25" s="334"/>
      <c r="D25" s="334"/>
      <c r="E25" s="334"/>
      <c r="F25" s="334"/>
      <c r="G25" s="334"/>
      <c r="H25" s="334"/>
      <c r="I25" s="334"/>
      <c r="J25" s="334"/>
      <c r="K25" s="334"/>
      <c r="L25" s="334"/>
      <c r="M25" s="334"/>
      <c r="N25" s="334"/>
      <c r="O25" s="334"/>
      <c r="P25" s="334"/>
      <c r="Q25" s="334"/>
      <c r="R25" s="334"/>
      <c r="S25" s="334"/>
      <c r="T25" s="334"/>
      <c r="U25" s="334"/>
      <c r="V25" s="334"/>
      <c r="W25" s="334"/>
      <c r="X25" s="334"/>
      <c r="Y25" s="334"/>
      <c r="AA25" s="414"/>
      <c r="AB25" s="113"/>
      <c r="AC25" s="113"/>
      <c r="AD25" s="113"/>
      <c r="AE25" s="113"/>
      <c r="AG25" s="417"/>
      <c r="AH25" s="411"/>
    </row>
    <row r="26" spans="1:34">
      <c r="A26" s="334"/>
      <c r="B26" s="334"/>
      <c r="C26" s="334"/>
      <c r="D26" s="334"/>
      <c r="E26" s="334"/>
      <c r="F26" s="334"/>
      <c r="G26" s="334"/>
      <c r="H26" s="334"/>
      <c r="I26" s="334"/>
      <c r="J26" s="334"/>
      <c r="K26" s="334"/>
      <c r="L26" s="334"/>
      <c r="M26" s="334"/>
      <c r="N26" s="334"/>
      <c r="O26" s="334"/>
      <c r="P26" s="334"/>
      <c r="Q26" s="334"/>
      <c r="R26" s="334"/>
      <c r="S26" s="334"/>
      <c r="T26" s="334"/>
      <c r="U26" s="334"/>
      <c r="V26" s="334"/>
      <c r="W26" s="334"/>
      <c r="X26" s="334"/>
      <c r="Y26" s="334"/>
      <c r="AA26" s="414"/>
      <c r="AB26" s="113"/>
      <c r="AC26" s="113"/>
      <c r="AD26" s="113"/>
      <c r="AE26" s="113"/>
      <c r="AG26" s="417"/>
      <c r="AH26" s="411"/>
    </row>
    <row r="27" spans="1:34">
      <c r="A27" s="334"/>
      <c r="B27" s="334"/>
      <c r="C27" s="334"/>
      <c r="D27" s="334"/>
      <c r="E27" s="334"/>
      <c r="F27" s="334"/>
      <c r="G27" s="334"/>
      <c r="H27" s="334"/>
      <c r="I27" s="334"/>
      <c r="J27" s="334"/>
      <c r="K27" s="334"/>
      <c r="L27" s="334"/>
      <c r="M27" s="334"/>
      <c r="N27" s="334"/>
      <c r="O27" s="334"/>
      <c r="P27" s="334"/>
      <c r="Q27" s="334"/>
      <c r="R27" s="334"/>
      <c r="S27" s="334"/>
      <c r="T27" s="334"/>
      <c r="U27" s="334"/>
      <c r="V27" s="334"/>
      <c r="W27" s="334"/>
      <c r="X27" s="334"/>
      <c r="Y27" s="334"/>
      <c r="AA27" s="414"/>
      <c r="AB27" s="113"/>
      <c r="AC27" s="113"/>
      <c r="AD27" s="113"/>
      <c r="AE27" s="113"/>
      <c r="AG27" s="417"/>
      <c r="AH27" s="411"/>
    </row>
    <row r="28" spans="1:34">
      <c r="A28" s="334"/>
      <c r="B28" s="334"/>
      <c r="C28" s="334"/>
      <c r="D28" s="334"/>
      <c r="E28" s="334"/>
      <c r="F28" s="334"/>
      <c r="G28" s="334"/>
      <c r="H28" s="334"/>
      <c r="I28" s="334"/>
      <c r="J28" s="334"/>
      <c r="K28" s="334"/>
      <c r="L28" s="334"/>
      <c r="M28" s="334"/>
      <c r="N28" s="334"/>
      <c r="O28" s="334"/>
      <c r="P28" s="334"/>
      <c r="Q28" s="334"/>
      <c r="R28" s="334"/>
      <c r="S28" s="334"/>
      <c r="T28" s="334"/>
      <c r="U28" s="334"/>
      <c r="V28" s="334"/>
      <c r="W28" s="334"/>
      <c r="X28" s="334"/>
      <c r="Y28" s="334"/>
      <c r="AA28" s="414"/>
      <c r="AB28" s="113"/>
      <c r="AC28" s="113"/>
      <c r="AD28" s="113"/>
      <c r="AE28" s="113"/>
      <c r="AG28" s="417"/>
      <c r="AH28" s="411"/>
    </row>
    <row r="29" spans="1:34">
      <c r="A29" s="334"/>
      <c r="B29" s="334"/>
      <c r="C29" s="334"/>
      <c r="D29" s="334"/>
      <c r="E29" s="334"/>
      <c r="F29" s="334"/>
      <c r="G29" s="334"/>
      <c r="H29" s="334"/>
      <c r="I29" s="334"/>
      <c r="J29" s="334"/>
      <c r="K29" s="334"/>
      <c r="L29" s="334"/>
      <c r="M29" s="334"/>
      <c r="N29" s="334"/>
      <c r="O29" s="334"/>
      <c r="P29" s="334"/>
      <c r="Q29" s="334"/>
      <c r="R29" s="334"/>
      <c r="S29" s="334"/>
      <c r="T29" s="334"/>
      <c r="U29" s="334"/>
      <c r="V29" s="334"/>
      <c r="W29" s="334"/>
      <c r="X29" s="334"/>
      <c r="Y29" s="334"/>
      <c r="AA29" s="414"/>
      <c r="AB29" s="113"/>
      <c r="AC29" s="113"/>
      <c r="AD29" s="113"/>
      <c r="AE29" s="113"/>
      <c r="AG29" s="417"/>
      <c r="AH29" s="411"/>
    </row>
    <row r="30" spans="1:34">
      <c r="A30" s="334"/>
      <c r="B30" s="334"/>
      <c r="C30" s="334"/>
      <c r="D30" s="334"/>
      <c r="E30" s="334"/>
      <c r="F30" s="334"/>
      <c r="G30" s="334"/>
      <c r="H30" s="334"/>
      <c r="I30" s="334"/>
      <c r="J30" s="334"/>
      <c r="K30" s="334"/>
      <c r="L30" s="334"/>
      <c r="M30" s="334"/>
      <c r="N30" s="334"/>
      <c r="O30" s="334"/>
      <c r="P30" s="334"/>
      <c r="Q30" s="334"/>
      <c r="R30" s="334"/>
      <c r="S30" s="334"/>
      <c r="T30" s="334"/>
      <c r="U30" s="334"/>
      <c r="V30" s="334"/>
      <c r="W30" s="334"/>
      <c r="X30" s="334"/>
      <c r="Y30" s="334"/>
      <c r="AA30" s="410"/>
      <c r="AB30" s="113"/>
      <c r="AC30" s="113"/>
      <c r="AD30" s="113"/>
      <c r="AE30" s="113"/>
      <c r="AF30" s="113"/>
      <c r="AG30" s="113"/>
      <c r="AH30" s="411"/>
    </row>
    <row r="31" spans="1:34">
      <c r="A31" s="334"/>
      <c r="B31" s="334"/>
      <c r="C31" s="334"/>
      <c r="D31" s="334"/>
      <c r="E31" s="334"/>
      <c r="F31" s="334"/>
      <c r="G31" s="334"/>
      <c r="H31" s="334"/>
      <c r="I31" s="334"/>
      <c r="J31" s="334"/>
      <c r="K31" s="334"/>
      <c r="L31" s="334"/>
      <c r="M31" s="334"/>
      <c r="N31" s="334"/>
      <c r="O31" s="334"/>
      <c r="P31" s="334"/>
      <c r="Q31" s="334"/>
      <c r="R31" s="334"/>
      <c r="S31" s="334"/>
      <c r="T31" s="334"/>
      <c r="U31" s="334"/>
      <c r="V31" s="334"/>
      <c r="W31" s="334"/>
      <c r="X31" s="334"/>
      <c r="Y31" s="334"/>
      <c r="AA31" s="410"/>
      <c r="AB31" s="113"/>
      <c r="AC31" s="113"/>
      <c r="AD31" s="113"/>
      <c r="AE31" s="113"/>
      <c r="AF31" s="113"/>
      <c r="AG31" s="113"/>
      <c r="AH31" s="411"/>
    </row>
    <row r="32" spans="1:34">
      <c r="A32" s="334"/>
      <c r="B32" s="334"/>
      <c r="C32" s="334"/>
      <c r="D32" s="334"/>
      <c r="E32" s="334"/>
      <c r="F32" s="334"/>
      <c r="G32" s="334"/>
      <c r="H32" s="334"/>
      <c r="I32" s="334"/>
      <c r="J32" s="334"/>
      <c r="K32" s="334"/>
      <c r="L32" s="334"/>
      <c r="M32" s="334"/>
      <c r="N32" s="334"/>
      <c r="O32" s="334"/>
      <c r="P32" s="334"/>
      <c r="Q32" s="334"/>
      <c r="R32" s="334"/>
      <c r="S32" s="334"/>
      <c r="T32" s="334"/>
      <c r="U32" s="334"/>
      <c r="V32" s="334"/>
      <c r="W32" s="334"/>
      <c r="X32" s="334"/>
      <c r="Y32" s="334"/>
      <c r="AA32" s="410"/>
      <c r="AB32" s="113"/>
      <c r="AC32" s="113"/>
      <c r="AD32" s="113"/>
      <c r="AE32" s="113"/>
      <c r="AF32" s="113"/>
      <c r="AG32" s="113"/>
      <c r="AH32" s="411"/>
    </row>
    <row r="33" spans="1:34">
      <c r="A33" s="334"/>
      <c r="B33" s="334"/>
      <c r="C33" s="334"/>
      <c r="D33" s="334"/>
      <c r="E33" s="334"/>
      <c r="F33" s="334"/>
      <c r="G33" s="334"/>
      <c r="H33" s="334"/>
      <c r="I33" s="334"/>
      <c r="J33" s="334"/>
      <c r="K33" s="334"/>
      <c r="L33" s="334"/>
      <c r="M33" s="334"/>
      <c r="N33" s="334"/>
      <c r="O33" s="334"/>
      <c r="P33" s="334"/>
      <c r="Q33" s="334"/>
      <c r="R33" s="334"/>
      <c r="S33" s="334"/>
      <c r="T33" s="334"/>
      <c r="U33" s="334"/>
      <c r="V33" s="334"/>
      <c r="W33" s="334"/>
      <c r="X33" s="334"/>
      <c r="Y33" s="334"/>
      <c r="AA33" s="410"/>
      <c r="AB33" s="113"/>
      <c r="AC33" s="113"/>
      <c r="AD33" s="113"/>
      <c r="AE33" s="113"/>
      <c r="AF33" s="113"/>
      <c r="AG33" s="113"/>
      <c r="AH33" s="411"/>
    </row>
    <row r="34" spans="1:34">
      <c r="A34" s="334"/>
      <c r="B34" s="334"/>
      <c r="C34" s="334"/>
      <c r="D34" s="334"/>
      <c r="E34" s="334"/>
      <c r="F34" s="334"/>
      <c r="G34" s="334"/>
      <c r="H34" s="334"/>
      <c r="I34" s="334"/>
      <c r="J34" s="334"/>
      <c r="K34" s="334"/>
      <c r="L34" s="334"/>
      <c r="M34" s="334"/>
      <c r="N34" s="334"/>
      <c r="O34" s="334"/>
      <c r="P34" s="334"/>
      <c r="Q34" s="334"/>
      <c r="R34" s="334"/>
      <c r="S34" s="334"/>
      <c r="T34" s="334"/>
      <c r="U34" s="334"/>
      <c r="V34" s="334"/>
      <c r="W34" s="334"/>
      <c r="X34" s="334"/>
      <c r="Y34" s="334"/>
      <c r="AA34" s="410"/>
      <c r="AB34" s="113"/>
      <c r="AC34" s="113"/>
      <c r="AD34" s="113"/>
      <c r="AE34" s="113"/>
      <c r="AF34" s="113"/>
      <c r="AG34" s="113"/>
      <c r="AH34" s="411"/>
    </row>
    <row r="35" spans="1:34">
      <c r="A35" s="334"/>
      <c r="B35" s="334"/>
      <c r="C35" s="334"/>
      <c r="D35" s="334"/>
      <c r="E35" s="334"/>
      <c r="F35" s="334"/>
      <c r="G35" s="334"/>
      <c r="H35" s="334"/>
      <c r="I35" s="334"/>
      <c r="J35" s="334"/>
      <c r="K35" s="334"/>
      <c r="L35" s="334"/>
      <c r="M35" s="334"/>
      <c r="N35" s="334"/>
      <c r="O35" s="334"/>
      <c r="P35" s="334"/>
      <c r="Q35" s="334"/>
      <c r="R35" s="334"/>
      <c r="S35" s="334"/>
      <c r="T35" s="334"/>
      <c r="U35" s="334"/>
      <c r="V35" s="334"/>
      <c r="W35" s="334"/>
      <c r="X35" s="334"/>
      <c r="Y35" s="334"/>
      <c r="AA35" s="410"/>
      <c r="AB35" s="113"/>
      <c r="AC35" s="113"/>
      <c r="AD35" s="113"/>
      <c r="AE35" s="113"/>
      <c r="AF35" s="113"/>
      <c r="AG35" s="113"/>
      <c r="AH35" s="411"/>
    </row>
    <row r="36" spans="1:34">
      <c r="A36" s="334"/>
      <c r="B36" s="334"/>
      <c r="C36" s="334"/>
      <c r="D36" s="334"/>
      <c r="E36" s="334"/>
      <c r="F36" s="334"/>
      <c r="G36" s="334"/>
      <c r="H36" s="334"/>
      <c r="I36" s="334"/>
      <c r="J36" s="334"/>
      <c r="K36" s="334"/>
      <c r="L36" s="334"/>
      <c r="M36" s="334"/>
      <c r="N36" s="334"/>
      <c r="O36" s="334"/>
      <c r="P36" s="334"/>
      <c r="Q36" s="334"/>
      <c r="R36" s="334"/>
      <c r="S36" s="334"/>
      <c r="T36" s="334"/>
      <c r="U36" s="334"/>
      <c r="V36" s="334"/>
      <c r="W36" s="334"/>
      <c r="X36" s="334"/>
      <c r="Y36" s="334"/>
      <c r="AA36" s="410"/>
      <c r="AB36" s="113"/>
      <c r="AC36" s="113"/>
      <c r="AD36" s="113"/>
      <c r="AE36" s="113"/>
      <c r="AF36" s="113"/>
      <c r="AG36" s="113"/>
      <c r="AH36" s="411"/>
    </row>
    <row r="37" spans="1:34">
      <c r="A37" s="334"/>
      <c r="B37" s="334"/>
      <c r="C37" s="334"/>
      <c r="D37" s="334"/>
      <c r="E37" s="334"/>
      <c r="F37" s="334"/>
      <c r="G37" s="334"/>
      <c r="H37" s="334"/>
      <c r="I37" s="334"/>
      <c r="J37" s="334"/>
      <c r="K37" s="334"/>
      <c r="L37" s="334"/>
      <c r="M37" s="334"/>
      <c r="N37" s="334"/>
      <c r="O37" s="334"/>
      <c r="P37" s="334"/>
      <c r="Q37" s="334"/>
      <c r="R37" s="334"/>
      <c r="S37" s="334"/>
      <c r="T37" s="334"/>
      <c r="U37" s="334"/>
      <c r="V37" s="334"/>
      <c r="W37" s="334"/>
      <c r="X37" s="334"/>
      <c r="Y37" s="334"/>
      <c r="AA37" s="410"/>
      <c r="AB37" s="113"/>
      <c r="AC37" s="113"/>
      <c r="AD37" s="113"/>
      <c r="AE37" s="113"/>
      <c r="AF37" s="113"/>
      <c r="AG37" s="113"/>
      <c r="AH37" s="411"/>
    </row>
    <row r="38" spans="1:34">
      <c r="A38" s="334"/>
      <c r="B38" s="334"/>
      <c r="C38" s="334"/>
      <c r="D38" s="334"/>
      <c r="E38" s="334"/>
      <c r="F38" s="334"/>
      <c r="G38" s="334"/>
      <c r="H38" s="334"/>
      <c r="I38" s="334"/>
      <c r="J38" s="334"/>
      <c r="K38" s="334"/>
      <c r="L38" s="334"/>
      <c r="M38" s="334"/>
      <c r="N38" s="334"/>
      <c r="O38" s="334"/>
      <c r="P38" s="334"/>
      <c r="Q38" s="334"/>
      <c r="R38" s="334"/>
      <c r="S38" s="334"/>
      <c r="T38" s="334"/>
      <c r="U38" s="334"/>
      <c r="V38" s="334"/>
      <c r="W38" s="334"/>
      <c r="X38" s="334"/>
      <c r="Y38" s="334"/>
      <c r="AA38" s="420"/>
      <c r="AB38" s="421"/>
      <c r="AC38" s="421"/>
      <c r="AD38" s="421"/>
      <c r="AE38" s="421"/>
      <c r="AF38" s="421"/>
      <c r="AG38" s="421"/>
      <c r="AH38" s="422"/>
    </row>
    <row r="39" spans="1:34">
      <c r="A39" s="334"/>
      <c r="B39" s="334"/>
      <c r="C39" s="334"/>
      <c r="D39" s="334"/>
      <c r="E39" s="334"/>
      <c r="F39" s="334"/>
      <c r="G39" s="334"/>
      <c r="H39" s="334"/>
      <c r="I39" s="334"/>
      <c r="J39" s="334"/>
      <c r="K39" s="334"/>
      <c r="L39" s="334"/>
      <c r="M39" s="334"/>
      <c r="N39" s="334"/>
      <c r="O39" s="334"/>
      <c r="P39" s="334"/>
      <c r="Q39" s="334"/>
      <c r="R39" s="334"/>
      <c r="S39" s="334"/>
      <c r="T39" s="334"/>
      <c r="U39" s="334"/>
      <c r="V39" s="334"/>
      <c r="W39" s="334"/>
      <c r="X39" s="334"/>
      <c r="Y39" s="334"/>
    </row>
    <row r="40" spans="1:34">
      <c r="A40" s="334"/>
      <c r="B40" s="334"/>
      <c r="C40" s="334"/>
      <c r="D40" s="334"/>
      <c r="E40" s="334"/>
      <c r="F40" s="334"/>
      <c r="G40" s="334"/>
      <c r="H40" s="334"/>
      <c r="I40" s="334"/>
      <c r="J40" s="334"/>
      <c r="K40" s="334"/>
      <c r="L40" s="334"/>
      <c r="M40" s="334"/>
      <c r="N40" s="334"/>
      <c r="O40" s="334"/>
      <c r="P40" s="334"/>
      <c r="Q40" s="334"/>
      <c r="R40" s="334"/>
      <c r="S40" s="334"/>
      <c r="T40" s="334"/>
      <c r="U40" s="334"/>
      <c r="V40" s="334"/>
      <c r="W40" s="334"/>
      <c r="X40" s="334"/>
      <c r="Y40" s="334"/>
    </row>
    <row r="41" spans="1:34">
      <c r="A41" s="334"/>
      <c r="B41" s="334"/>
      <c r="C41" s="334"/>
      <c r="D41" s="334"/>
      <c r="E41" s="334"/>
      <c r="F41" s="334"/>
      <c r="G41" s="334"/>
      <c r="H41" s="334"/>
      <c r="I41" s="334"/>
      <c r="J41" s="334"/>
      <c r="K41" s="334"/>
      <c r="L41" s="334"/>
      <c r="M41" s="334"/>
      <c r="N41" s="334"/>
      <c r="O41" s="334"/>
      <c r="P41" s="334"/>
      <c r="Q41" s="334"/>
      <c r="R41" s="334"/>
      <c r="S41" s="334"/>
      <c r="T41" s="334"/>
      <c r="U41" s="334"/>
      <c r="V41" s="334"/>
      <c r="W41" s="334"/>
      <c r="X41" s="334"/>
      <c r="Y41" s="334"/>
    </row>
    <row r="42" spans="1:34">
      <c r="A42" s="334"/>
      <c r="B42" s="334"/>
      <c r="C42" s="334"/>
      <c r="D42" s="334"/>
      <c r="E42" s="334"/>
      <c r="F42" s="334"/>
      <c r="G42" s="334"/>
      <c r="H42" s="334"/>
      <c r="I42" s="334"/>
      <c r="J42" s="334"/>
      <c r="K42" s="334"/>
      <c r="L42" s="334"/>
      <c r="M42" s="334"/>
      <c r="N42" s="334"/>
      <c r="O42" s="334"/>
      <c r="P42" s="334"/>
      <c r="Q42" s="334"/>
      <c r="R42" s="334"/>
      <c r="S42" s="334"/>
      <c r="T42" s="334"/>
      <c r="U42" s="334"/>
      <c r="V42" s="334"/>
      <c r="W42" s="334"/>
      <c r="X42" s="334"/>
      <c r="Y42" s="334"/>
    </row>
    <row r="43" spans="1:34">
      <c r="A43" s="334"/>
      <c r="B43" s="334"/>
      <c r="C43" s="334"/>
      <c r="D43" s="334"/>
      <c r="E43" s="334"/>
      <c r="F43" s="334"/>
      <c r="G43" s="334"/>
      <c r="H43" s="334"/>
      <c r="I43" s="334"/>
      <c r="J43" s="334"/>
      <c r="K43" s="334"/>
      <c r="L43" s="334"/>
      <c r="M43" s="334"/>
      <c r="N43" s="334"/>
      <c r="O43" s="334"/>
      <c r="P43" s="334"/>
      <c r="Q43" s="334"/>
      <c r="R43" s="334"/>
      <c r="S43" s="334"/>
      <c r="T43" s="334"/>
      <c r="U43" s="334"/>
      <c r="V43" s="334"/>
      <c r="W43" s="334"/>
      <c r="X43" s="334"/>
      <c r="Y43" s="334"/>
    </row>
    <row r="44" spans="1:34">
      <c r="A44" s="334"/>
      <c r="B44" s="334"/>
      <c r="C44" s="334"/>
      <c r="D44" s="334"/>
      <c r="E44" s="334"/>
      <c r="F44" s="334"/>
      <c r="G44" s="334"/>
      <c r="H44" s="334"/>
      <c r="I44" s="334"/>
      <c r="J44" s="334"/>
      <c r="K44" s="334"/>
      <c r="L44" s="334"/>
      <c r="M44" s="334"/>
      <c r="N44" s="334"/>
      <c r="O44" s="334"/>
      <c r="P44" s="334"/>
      <c r="Q44" s="334"/>
      <c r="R44" s="334"/>
      <c r="S44" s="334"/>
      <c r="T44" s="334"/>
      <c r="U44" s="334"/>
      <c r="V44" s="334"/>
      <c r="W44" s="334"/>
      <c r="X44" s="334"/>
      <c r="Y44" s="334"/>
    </row>
    <row r="45" spans="1:34">
      <c r="A45" s="334"/>
      <c r="B45" s="334"/>
      <c r="C45" s="334"/>
      <c r="D45" s="334"/>
      <c r="E45" s="334"/>
      <c r="F45" s="334"/>
      <c r="G45" s="334"/>
      <c r="H45" s="334"/>
      <c r="I45" s="334"/>
      <c r="J45" s="334"/>
      <c r="K45" s="334"/>
      <c r="L45" s="334"/>
      <c r="M45" s="334"/>
      <c r="N45" s="334"/>
      <c r="O45" s="334"/>
      <c r="P45" s="334"/>
      <c r="Q45" s="334"/>
      <c r="R45" s="334"/>
      <c r="S45" s="334"/>
      <c r="T45" s="334"/>
      <c r="U45" s="334"/>
      <c r="V45" s="334"/>
      <c r="W45" s="334"/>
      <c r="X45" s="334"/>
      <c r="Y45" s="334"/>
    </row>
    <row r="46" spans="1:34">
      <c r="A46" s="334"/>
      <c r="B46" s="334"/>
      <c r="C46" s="334"/>
      <c r="D46" s="334"/>
      <c r="E46" s="334"/>
      <c r="F46" s="334"/>
      <c r="G46" s="334"/>
      <c r="H46" s="334"/>
      <c r="I46" s="334"/>
      <c r="J46" s="334"/>
      <c r="K46" s="334"/>
      <c r="L46" s="334"/>
      <c r="M46" s="334"/>
      <c r="N46" s="334"/>
      <c r="O46" s="334"/>
      <c r="P46" s="334"/>
      <c r="Q46" s="334"/>
      <c r="R46" s="334"/>
      <c r="S46" s="334"/>
      <c r="T46" s="334"/>
      <c r="U46" s="334"/>
      <c r="V46" s="334"/>
      <c r="W46" s="334"/>
      <c r="X46" s="334"/>
      <c r="Y46" s="334"/>
    </row>
    <row r="47" spans="1:34">
      <c r="A47" s="334"/>
      <c r="B47" s="334"/>
      <c r="C47" s="334"/>
      <c r="D47" s="334"/>
      <c r="E47" s="334"/>
      <c r="F47" s="334"/>
      <c r="G47" s="334"/>
      <c r="H47" s="334"/>
      <c r="I47" s="334"/>
      <c r="J47" s="334"/>
      <c r="K47" s="334"/>
      <c r="L47" s="334"/>
      <c r="M47" s="334"/>
      <c r="N47" s="334"/>
      <c r="O47" s="334"/>
      <c r="P47" s="334"/>
      <c r="Q47" s="334"/>
      <c r="R47" s="334"/>
      <c r="S47" s="334"/>
      <c r="T47" s="334"/>
      <c r="U47" s="334"/>
      <c r="V47" s="334"/>
      <c r="W47" s="334"/>
      <c r="X47" s="334"/>
      <c r="Y47" s="334"/>
    </row>
    <row r="48" spans="1:34">
      <c r="A48" s="334"/>
      <c r="B48" s="334"/>
      <c r="C48" s="334"/>
      <c r="D48" s="334"/>
      <c r="E48" s="334"/>
      <c r="F48" s="334"/>
      <c r="G48" s="334"/>
      <c r="H48" s="334"/>
      <c r="I48" s="334"/>
      <c r="J48" s="334"/>
      <c r="K48" s="334"/>
      <c r="L48" s="334"/>
      <c r="M48" s="334"/>
      <c r="N48" s="334"/>
      <c r="O48" s="334"/>
      <c r="P48" s="334"/>
      <c r="Q48" s="334"/>
      <c r="R48" s="334"/>
      <c r="S48" s="334"/>
      <c r="T48" s="334"/>
      <c r="U48" s="334"/>
      <c r="V48" s="334"/>
      <c r="W48" s="334"/>
      <c r="X48" s="334"/>
      <c r="Y48" s="334"/>
    </row>
    <row r="49" spans="1:56">
      <c r="A49" s="334"/>
      <c r="B49" s="334"/>
      <c r="C49" s="334"/>
      <c r="D49" s="334"/>
      <c r="E49" s="334"/>
      <c r="F49" s="334"/>
      <c r="G49" s="334"/>
      <c r="H49" s="334"/>
      <c r="I49" s="334"/>
      <c r="J49" s="334"/>
      <c r="K49" s="334"/>
      <c r="L49" s="334"/>
      <c r="M49" s="334"/>
      <c r="N49" s="334"/>
      <c r="O49" s="334"/>
      <c r="P49" s="334"/>
      <c r="Q49" s="334"/>
      <c r="R49" s="334"/>
      <c r="S49" s="334"/>
      <c r="T49" s="334"/>
      <c r="U49" s="334"/>
      <c r="V49" s="334"/>
      <c r="W49" s="334"/>
      <c r="X49" s="334"/>
      <c r="Y49" s="334"/>
    </row>
    <row r="50" spans="1:56">
      <c r="A50" s="334"/>
      <c r="B50" s="334"/>
      <c r="C50" s="334"/>
      <c r="D50" s="334"/>
      <c r="E50" s="334"/>
      <c r="F50" s="334"/>
      <c r="G50" s="334"/>
      <c r="H50" s="334"/>
      <c r="I50" s="334"/>
      <c r="J50" s="334"/>
      <c r="K50" s="334"/>
      <c r="L50" s="334"/>
      <c r="M50" s="334"/>
      <c r="N50" s="334"/>
      <c r="O50" s="334"/>
      <c r="P50" s="334"/>
      <c r="Q50" s="334"/>
      <c r="R50" s="334"/>
      <c r="S50" s="334"/>
      <c r="T50" s="334"/>
      <c r="U50" s="334"/>
      <c r="V50" s="334"/>
      <c r="W50" s="334"/>
      <c r="X50" s="334"/>
      <c r="Y50" s="334"/>
    </row>
    <row r="51" spans="1:56">
      <c r="A51" s="334"/>
      <c r="B51" s="334"/>
      <c r="C51" s="334"/>
      <c r="D51" s="334"/>
      <c r="E51" s="334"/>
      <c r="F51" s="334"/>
      <c r="G51" s="334"/>
      <c r="H51" s="334"/>
      <c r="I51" s="334"/>
      <c r="J51" s="334"/>
      <c r="K51" s="334"/>
      <c r="L51" s="334"/>
      <c r="M51" s="334"/>
      <c r="N51" s="334"/>
      <c r="O51" s="334"/>
      <c r="P51" s="334"/>
      <c r="Q51" s="334"/>
      <c r="R51" s="334"/>
      <c r="S51" s="334"/>
      <c r="T51" s="334"/>
      <c r="U51" s="334"/>
      <c r="V51" s="334"/>
      <c r="W51" s="334"/>
      <c r="X51" s="334"/>
      <c r="Y51" s="334"/>
    </row>
    <row r="52" spans="1:56">
      <c r="A52" s="334"/>
      <c r="B52" s="334"/>
      <c r="C52" s="334"/>
      <c r="D52" s="334"/>
      <c r="E52" s="334"/>
      <c r="F52" s="334"/>
      <c r="G52" s="334"/>
      <c r="H52" s="334"/>
      <c r="I52" s="334"/>
      <c r="J52" s="334"/>
      <c r="K52" s="334"/>
      <c r="L52" s="334"/>
      <c r="M52" s="334"/>
      <c r="N52" s="334"/>
      <c r="O52" s="334"/>
      <c r="P52" s="334"/>
      <c r="Q52" s="334"/>
      <c r="R52" s="334"/>
      <c r="S52" s="334"/>
      <c r="T52" s="334"/>
      <c r="U52" s="334"/>
      <c r="V52" s="334"/>
      <c r="W52" s="334"/>
      <c r="X52" s="334"/>
      <c r="Y52" s="334"/>
    </row>
    <row r="53" spans="1:56">
      <c r="A53" s="334"/>
      <c r="B53" s="334"/>
      <c r="C53" s="334"/>
      <c r="D53" s="334"/>
      <c r="E53" s="334"/>
      <c r="F53" s="334"/>
      <c r="G53" s="334"/>
      <c r="H53" s="334"/>
      <c r="I53" s="334"/>
      <c r="J53" s="334"/>
      <c r="K53" s="334"/>
      <c r="L53" s="334"/>
      <c r="M53" s="334"/>
      <c r="N53" s="334"/>
      <c r="O53" s="334"/>
      <c r="P53" s="334"/>
      <c r="Q53" s="334"/>
      <c r="R53" s="334"/>
      <c r="S53" s="334"/>
      <c r="T53" s="334"/>
      <c r="U53" s="334"/>
      <c r="V53" s="334"/>
      <c r="W53" s="334"/>
      <c r="X53" s="334"/>
      <c r="Y53" s="334"/>
    </row>
    <row r="54" spans="1:56">
      <c r="A54" s="334"/>
      <c r="B54" s="334"/>
      <c r="C54" s="334"/>
      <c r="D54" s="334"/>
      <c r="E54" s="334"/>
      <c r="F54" s="334"/>
      <c r="G54" s="334"/>
      <c r="H54" s="334"/>
      <c r="I54" s="334"/>
      <c r="J54" s="334"/>
      <c r="K54" s="334"/>
      <c r="L54" s="334"/>
      <c r="M54" s="334"/>
      <c r="N54" s="334"/>
      <c r="O54" s="334"/>
      <c r="P54" s="334"/>
      <c r="Q54" s="334"/>
      <c r="R54" s="334"/>
      <c r="S54" s="334"/>
      <c r="T54" s="334"/>
      <c r="U54" s="334"/>
      <c r="V54" s="334"/>
      <c r="W54" s="334"/>
      <c r="X54" s="334"/>
      <c r="Y54" s="334"/>
    </row>
    <row r="55" spans="1:56">
      <c r="A55" s="334"/>
      <c r="B55" s="334"/>
      <c r="C55" s="334"/>
      <c r="D55" s="334"/>
      <c r="E55" s="334"/>
      <c r="F55" s="334"/>
      <c r="G55" s="334"/>
      <c r="H55" s="334"/>
      <c r="I55" s="334"/>
      <c r="J55" s="334"/>
      <c r="K55" s="334"/>
      <c r="L55" s="334"/>
      <c r="M55" s="334"/>
      <c r="N55" s="334"/>
      <c r="O55" s="334"/>
      <c r="P55" s="334"/>
      <c r="Q55" s="334"/>
      <c r="R55" s="334"/>
      <c r="S55" s="334"/>
      <c r="T55" s="334"/>
      <c r="U55" s="334"/>
      <c r="V55" s="334"/>
      <c r="W55" s="334"/>
      <c r="X55" s="334"/>
      <c r="Y55" s="334"/>
    </row>
    <row r="56" spans="1:56">
      <c r="A56" s="334"/>
      <c r="B56" s="334"/>
      <c r="C56" s="334"/>
      <c r="D56" s="334"/>
      <c r="E56" s="334"/>
      <c r="F56" s="334"/>
      <c r="G56" s="334"/>
      <c r="H56" s="334"/>
      <c r="I56" s="334"/>
      <c r="J56" s="334"/>
      <c r="K56" s="334"/>
      <c r="L56" s="334"/>
      <c r="M56" s="334"/>
      <c r="N56" s="334"/>
      <c r="O56" s="334"/>
      <c r="P56" s="334"/>
      <c r="Q56" s="334"/>
      <c r="R56" s="334"/>
      <c r="S56" s="334"/>
      <c r="T56" s="334"/>
      <c r="U56" s="334"/>
      <c r="V56" s="334"/>
      <c r="W56" s="334"/>
      <c r="X56" s="334"/>
      <c r="Y56" s="334"/>
    </row>
    <row r="57" spans="1:56">
      <c r="A57" s="334"/>
      <c r="B57" s="334"/>
      <c r="C57" s="334"/>
      <c r="D57" s="334"/>
      <c r="E57" s="334"/>
      <c r="F57" s="334"/>
      <c r="G57" s="334"/>
      <c r="H57" s="334"/>
      <c r="I57" s="334"/>
      <c r="J57" s="334"/>
      <c r="K57" s="334"/>
      <c r="L57" s="334"/>
      <c r="M57" s="334"/>
      <c r="N57" s="334"/>
      <c r="O57" s="334"/>
      <c r="P57" s="334"/>
      <c r="Q57" s="334"/>
      <c r="R57" s="334"/>
      <c r="S57" s="334"/>
      <c r="T57" s="334"/>
      <c r="U57" s="334"/>
      <c r="V57" s="334"/>
      <c r="W57" s="334"/>
      <c r="X57" s="334"/>
      <c r="Y57" s="334"/>
    </row>
    <row r="58" spans="1:56">
      <c r="A58" s="334"/>
      <c r="B58" s="334"/>
      <c r="C58" s="334"/>
      <c r="D58" s="334"/>
      <c r="E58" s="334"/>
      <c r="F58" s="334"/>
      <c r="G58" s="334"/>
      <c r="H58" s="334"/>
      <c r="I58" s="334"/>
      <c r="J58" s="334"/>
      <c r="K58" s="334"/>
      <c r="L58" s="334"/>
      <c r="M58" s="334"/>
      <c r="N58" s="334"/>
      <c r="O58" s="334"/>
      <c r="P58" s="334"/>
      <c r="Q58" s="334"/>
      <c r="R58" s="334"/>
      <c r="S58" s="334"/>
      <c r="T58" s="334"/>
      <c r="U58" s="334"/>
      <c r="V58" s="334"/>
      <c r="W58" s="334"/>
      <c r="X58" s="334"/>
      <c r="Y58" s="334"/>
    </row>
    <row r="59" spans="1:56">
      <c r="A59" s="334"/>
      <c r="B59" s="334"/>
      <c r="C59" s="334"/>
      <c r="D59" s="334"/>
      <c r="E59" s="334"/>
      <c r="F59" s="334"/>
      <c r="G59" s="334"/>
      <c r="H59" s="334"/>
      <c r="I59" s="334"/>
      <c r="J59" s="334"/>
      <c r="K59" s="334"/>
      <c r="L59" s="334"/>
      <c r="M59" s="334"/>
      <c r="N59" s="334"/>
      <c r="O59" s="334"/>
      <c r="P59" s="334"/>
      <c r="Q59" s="334"/>
      <c r="R59" s="334"/>
      <c r="S59" s="334"/>
      <c r="T59" s="334"/>
      <c r="U59" s="334"/>
      <c r="V59" s="334"/>
      <c r="W59" s="334"/>
      <c r="X59" s="334"/>
      <c r="Y59" s="334"/>
    </row>
    <row r="60" spans="1:56">
      <c r="A60" s="334"/>
      <c r="B60" s="334"/>
      <c r="C60" s="334"/>
      <c r="D60" s="334"/>
      <c r="E60" s="334"/>
      <c r="F60" s="334"/>
      <c r="G60" s="334"/>
      <c r="H60" s="334"/>
      <c r="I60" s="334"/>
      <c r="J60" s="334"/>
      <c r="K60" s="334"/>
      <c r="L60" s="334"/>
      <c r="M60" s="334"/>
      <c r="N60" s="334"/>
      <c r="O60" s="334"/>
      <c r="P60" s="334"/>
      <c r="Q60" s="334"/>
      <c r="R60" s="334"/>
      <c r="S60" s="334"/>
      <c r="T60" s="334"/>
      <c r="U60" s="334"/>
      <c r="V60" s="334"/>
      <c r="W60" s="334"/>
      <c r="X60" s="334"/>
      <c r="Y60" s="334"/>
      <c r="AW60" s="399"/>
      <c r="AX60" s="465" t="s">
        <v>1032</v>
      </c>
      <c r="AY60" s="465"/>
      <c r="AZ60" s="465"/>
      <c r="BA60" s="465"/>
      <c r="BB60" s="465"/>
      <c r="BC60" s="387"/>
      <c r="BD60" s="388"/>
    </row>
    <row r="61" spans="1:56" ht="63.75">
      <c r="A61" s="334"/>
      <c r="B61" s="334"/>
      <c r="C61" s="334"/>
      <c r="D61" s="334"/>
      <c r="E61" s="334"/>
      <c r="F61" s="334"/>
      <c r="G61" s="334"/>
      <c r="H61" s="334"/>
      <c r="I61" s="334"/>
      <c r="J61" s="334"/>
      <c r="K61" s="334"/>
      <c r="L61" s="334"/>
      <c r="M61" s="334"/>
      <c r="N61" s="334"/>
      <c r="O61" s="334"/>
      <c r="P61" s="334"/>
      <c r="Q61" s="334"/>
      <c r="R61" s="334"/>
      <c r="S61" s="334"/>
      <c r="T61" s="334"/>
      <c r="U61" s="334"/>
      <c r="V61" s="334"/>
      <c r="W61" s="334"/>
      <c r="X61" s="334"/>
      <c r="Y61" s="334"/>
      <c r="AW61" s="400" t="s">
        <v>1033</v>
      </c>
      <c r="AX61" s="400" t="s">
        <v>883</v>
      </c>
      <c r="AY61" s="400" t="s">
        <v>884</v>
      </c>
      <c r="AZ61" s="401" t="s">
        <v>1034</v>
      </c>
      <c r="BA61" s="401" t="s">
        <v>1035</v>
      </c>
      <c r="BB61" s="401" t="s">
        <v>1036</v>
      </c>
      <c r="BC61" s="395" t="s">
        <v>1037</v>
      </c>
      <c r="BD61" s="405" t="s">
        <v>1038</v>
      </c>
    </row>
    <row r="62" spans="1:56">
      <c r="A62" s="334"/>
      <c r="B62" s="334"/>
      <c r="C62" s="334"/>
      <c r="D62" s="334"/>
      <c r="E62" s="334"/>
      <c r="F62" s="334"/>
      <c r="G62" s="334"/>
      <c r="H62" s="334"/>
      <c r="I62" s="334"/>
      <c r="J62" s="334"/>
      <c r="K62" s="334"/>
      <c r="L62" s="334"/>
      <c r="M62" s="334"/>
      <c r="N62" s="334"/>
      <c r="O62" s="334"/>
      <c r="P62" s="334"/>
      <c r="Q62" s="334"/>
      <c r="R62" s="334"/>
      <c r="S62" s="334"/>
      <c r="T62" s="334"/>
      <c r="U62" s="334"/>
      <c r="V62" s="334"/>
      <c r="W62" s="334"/>
      <c r="X62" s="334"/>
      <c r="Y62" s="334"/>
      <c r="AW62" s="399" t="s">
        <v>1039</v>
      </c>
      <c r="AX62" s="402" t="s">
        <v>885</v>
      </c>
      <c r="AY62" s="402" t="s">
        <v>834</v>
      </c>
      <c r="AZ62" s="403">
        <v>0.19</v>
      </c>
      <c r="BA62" s="404" t="s">
        <v>1040</v>
      </c>
      <c r="BB62" s="403">
        <v>0.25</v>
      </c>
      <c r="BC62" s="396">
        <v>0.1</v>
      </c>
      <c r="BD62" s="406"/>
    </row>
    <row r="63" spans="1:56">
      <c r="A63" s="334"/>
      <c r="B63" s="334"/>
      <c r="C63" s="334"/>
      <c r="D63" s="334"/>
      <c r="E63" s="334"/>
      <c r="F63" s="334"/>
      <c r="G63" s="334"/>
      <c r="H63" s="334"/>
      <c r="I63" s="334"/>
      <c r="J63" s="334"/>
      <c r="K63" s="334"/>
      <c r="L63" s="334"/>
      <c r="M63" s="334"/>
      <c r="N63" s="334"/>
      <c r="O63" s="334"/>
      <c r="P63" s="334"/>
      <c r="Q63" s="334"/>
      <c r="R63" s="334"/>
      <c r="S63" s="334"/>
      <c r="T63" s="334"/>
      <c r="U63" s="334"/>
      <c r="V63" s="334"/>
      <c r="W63" s="334"/>
      <c r="X63" s="334"/>
      <c r="Y63" s="334"/>
      <c r="AW63" s="399"/>
      <c r="AX63" s="402" t="s">
        <v>886</v>
      </c>
      <c r="AY63" s="402" t="s">
        <v>834</v>
      </c>
      <c r="AZ63" s="403">
        <v>0.03</v>
      </c>
      <c r="BA63" s="404" t="s">
        <v>1040</v>
      </c>
      <c r="BB63" s="403">
        <v>0.08</v>
      </c>
      <c r="BC63" s="396">
        <v>0.03</v>
      </c>
      <c r="BD63" s="406"/>
    </row>
    <row r="64" spans="1:56">
      <c r="A64" s="334"/>
      <c r="B64" s="334"/>
      <c r="C64" s="334"/>
      <c r="D64" s="334"/>
      <c r="E64" s="334"/>
      <c r="F64" s="334"/>
      <c r="G64" s="334"/>
      <c r="H64" s="334"/>
      <c r="I64" s="334"/>
      <c r="J64" s="334"/>
      <c r="K64" s="334"/>
      <c r="L64" s="334"/>
      <c r="M64" s="334"/>
      <c r="N64" s="334"/>
      <c r="O64" s="334"/>
      <c r="P64" s="334"/>
      <c r="Q64" s="334"/>
      <c r="R64" s="334"/>
      <c r="S64" s="334"/>
      <c r="T64" s="334"/>
      <c r="U64" s="334"/>
      <c r="V64" s="334"/>
      <c r="W64" s="334"/>
      <c r="X64" s="334"/>
      <c r="Y64" s="334"/>
      <c r="AW64" s="399"/>
      <c r="AX64" s="402" t="s">
        <v>887</v>
      </c>
      <c r="AY64" s="402" t="s">
        <v>834</v>
      </c>
      <c r="AZ64" s="403">
        <v>0.13</v>
      </c>
      <c r="BA64" s="404" t="s">
        <v>1040</v>
      </c>
      <c r="BB64" s="403">
        <v>0.2</v>
      </c>
      <c r="BC64" s="396" t="s">
        <v>1041</v>
      </c>
      <c r="BD64" s="406"/>
    </row>
    <row r="65" spans="1:56" ht="25.5">
      <c r="A65" s="334"/>
      <c r="B65" s="334"/>
      <c r="C65" s="334"/>
      <c r="D65" s="334"/>
      <c r="E65" s="334"/>
      <c r="F65" s="334"/>
      <c r="G65" s="334"/>
      <c r="H65" s="334"/>
      <c r="I65" s="334"/>
      <c r="J65" s="334"/>
      <c r="K65" s="334"/>
      <c r="L65" s="334"/>
      <c r="M65" s="334"/>
      <c r="N65" s="334"/>
      <c r="O65" s="334"/>
      <c r="P65" s="334"/>
      <c r="Q65" s="334"/>
      <c r="R65" s="334"/>
      <c r="S65" s="334"/>
      <c r="T65" s="334"/>
      <c r="U65" s="334"/>
      <c r="V65" s="334"/>
      <c r="W65" s="334"/>
      <c r="X65" s="334"/>
      <c r="Y65" s="334"/>
      <c r="AA65" s="82" t="s">
        <v>1030</v>
      </c>
      <c r="AB65" s="82" t="s">
        <v>998</v>
      </c>
      <c r="AC65" s="82" t="s">
        <v>142</v>
      </c>
      <c r="AD65" s="82" t="s">
        <v>831</v>
      </c>
      <c r="AE65" s="82" t="s">
        <v>1002</v>
      </c>
      <c r="AW65" s="399" t="s">
        <v>1042</v>
      </c>
      <c r="AX65" s="402" t="s">
        <v>887</v>
      </c>
      <c r="AY65" s="402" t="s">
        <v>888</v>
      </c>
      <c r="AZ65" s="403">
        <v>0.25</v>
      </c>
      <c r="BA65" s="404" t="s">
        <v>1040</v>
      </c>
      <c r="BB65" s="403">
        <v>0.3</v>
      </c>
      <c r="BC65" s="396">
        <v>0.25</v>
      </c>
      <c r="BD65" s="406"/>
    </row>
    <row r="66" spans="1:56">
      <c r="A66" s="334"/>
      <c r="B66" s="334"/>
      <c r="C66" s="334"/>
      <c r="D66" s="334"/>
      <c r="E66" s="334"/>
      <c r="F66" s="334"/>
      <c r="G66" s="334"/>
      <c r="H66" s="334"/>
      <c r="I66" s="334"/>
      <c r="J66" s="334"/>
      <c r="K66" s="334"/>
      <c r="L66" s="334"/>
      <c r="M66" s="334"/>
      <c r="N66" s="334"/>
      <c r="O66" s="334"/>
      <c r="P66" s="334"/>
      <c r="Q66" s="334"/>
      <c r="R66" s="334"/>
      <c r="S66" s="334"/>
      <c r="T66" s="334"/>
      <c r="U66" s="334"/>
      <c r="V66" s="334"/>
      <c r="W66" s="334"/>
      <c r="X66" s="334"/>
      <c r="Y66" s="334"/>
      <c r="AA66">
        <v>2013</v>
      </c>
      <c r="AB66" s="60">
        <v>4.2999999999999997E-2</v>
      </c>
      <c r="AC66" s="60">
        <v>7.0000000000000007E-2</v>
      </c>
      <c r="AD66" s="60">
        <v>7.0000000000000007E-2</v>
      </c>
      <c r="AE66" s="60">
        <v>0.14000000000000001</v>
      </c>
      <c r="AW66" s="399"/>
      <c r="AX66" s="402" t="s">
        <v>887</v>
      </c>
      <c r="AY66" s="402" t="s">
        <v>889</v>
      </c>
      <c r="AZ66" s="403">
        <v>0.25</v>
      </c>
      <c r="BA66" s="404" t="s">
        <v>1040</v>
      </c>
      <c r="BB66" s="403">
        <v>0.3</v>
      </c>
      <c r="BC66" s="396">
        <v>0.25</v>
      </c>
      <c r="BD66" s="406"/>
    </row>
    <row r="67" spans="1:56">
      <c r="A67" s="334"/>
      <c r="B67" s="334"/>
      <c r="C67" s="334"/>
      <c r="D67" s="334"/>
      <c r="E67" s="334"/>
      <c r="F67" s="334"/>
      <c r="G67" s="334"/>
      <c r="H67" s="334"/>
      <c r="I67" s="334"/>
      <c r="J67" s="334"/>
      <c r="K67" s="334"/>
      <c r="L67" s="334"/>
      <c r="M67" s="334"/>
      <c r="N67" s="334"/>
      <c r="O67" s="334"/>
      <c r="P67" s="334"/>
      <c r="Q67" s="334"/>
      <c r="R67" s="334"/>
      <c r="S67" s="334"/>
      <c r="T67" s="334"/>
      <c r="U67" s="334"/>
      <c r="V67" s="334"/>
      <c r="W67" s="334"/>
      <c r="X67" s="334"/>
      <c r="Y67" s="334"/>
      <c r="AA67">
        <v>2014</v>
      </c>
      <c r="AB67" s="60"/>
      <c r="AW67" s="399" t="s">
        <v>1043</v>
      </c>
      <c r="AX67" s="402" t="s">
        <v>887</v>
      </c>
      <c r="AY67" s="402" t="s">
        <v>890</v>
      </c>
      <c r="AZ67" s="403">
        <v>0.04</v>
      </c>
      <c r="BA67" s="404" t="s">
        <v>1040</v>
      </c>
      <c r="BB67" s="403">
        <v>0.05</v>
      </c>
      <c r="BC67" s="397">
        <v>0.05</v>
      </c>
      <c r="BD67" s="406"/>
    </row>
    <row r="68" spans="1:56">
      <c r="A68" s="334"/>
      <c r="B68" s="334"/>
      <c r="C68" s="334"/>
      <c r="D68" s="334"/>
      <c r="E68" s="334"/>
      <c r="F68" s="334"/>
      <c r="G68" s="334"/>
      <c r="H68" s="334"/>
      <c r="I68" s="334"/>
      <c r="J68" s="334"/>
      <c r="K68" s="334"/>
      <c r="L68" s="334"/>
      <c r="M68" s="334"/>
      <c r="N68" s="334"/>
      <c r="O68" s="334"/>
      <c r="P68" s="334"/>
      <c r="Q68" s="334"/>
      <c r="R68" s="334"/>
      <c r="S68" s="334"/>
      <c r="T68" s="334"/>
      <c r="U68" s="334"/>
      <c r="V68" s="334"/>
      <c r="W68" s="334"/>
      <c r="X68" s="334"/>
      <c r="Y68" s="334"/>
      <c r="AA68">
        <v>2015</v>
      </c>
      <c r="AB68" s="60">
        <v>0.13</v>
      </c>
      <c r="AC68" s="60">
        <v>0.2</v>
      </c>
      <c r="AD68" s="60">
        <v>0.17</v>
      </c>
      <c r="AE68" s="60">
        <v>0.31</v>
      </c>
      <c r="AW68" s="399"/>
      <c r="AX68" s="402" t="s">
        <v>887</v>
      </c>
      <c r="AY68" s="402" t="s">
        <v>891</v>
      </c>
      <c r="AZ68" s="403">
        <v>0.04</v>
      </c>
      <c r="BA68" s="404" t="s">
        <v>1040</v>
      </c>
      <c r="BB68" s="403">
        <v>0.05</v>
      </c>
      <c r="BC68" s="397">
        <v>0.05</v>
      </c>
      <c r="BD68" s="406"/>
    </row>
    <row r="69" spans="1:56">
      <c r="A69" s="334"/>
      <c r="B69" s="334"/>
      <c r="C69" s="334"/>
      <c r="D69" s="334"/>
      <c r="E69" s="334"/>
      <c r="F69" s="334"/>
      <c r="G69" s="334"/>
      <c r="H69" s="334"/>
      <c r="I69" s="334"/>
      <c r="J69" s="334"/>
      <c r="K69" s="334"/>
      <c r="L69" s="334"/>
      <c r="M69" s="334"/>
      <c r="N69" s="334"/>
      <c r="O69" s="334"/>
      <c r="P69" s="334"/>
      <c r="Q69" s="334"/>
      <c r="R69" s="334"/>
      <c r="S69" s="334"/>
      <c r="T69" s="334"/>
      <c r="U69" s="334"/>
      <c r="V69" s="334"/>
      <c r="W69" s="334"/>
      <c r="X69" s="334"/>
      <c r="Y69" s="334"/>
      <c r="AA69">
        <v>2020</v>
      </c>
      <c r="AB69" s="60">
        <v>0.67</v>
      </c>
      <c r="AC69" s="60">
        <v>0.74</v>
      </c>
      <c r="AD69" s="60">
        <v>0.71</v>
      </c>
      <c r="AE69" s="60">
        <v>0.83</v>
      </c>
      <c r="AW69" s="399" t="s">
        <v>1042</v>
      </c>
      <c r="AX69" s="402" t="s">
        <v>892</v>
      </c>
      <c r="AY69" s="402" t="s">
        <v>893</v>
      </c>
      <c r="AZ69" s="403">
        <v>0.05</v>
      </c>
      <c r="BA69" s="404" t="s">
        <v>1040</v>
      </c>
      <c r="BB69" s="403">
        <v>0.08</v>
      </c>
      <c r="BC69" s="397">
        <v>0.05</v>
      </c>
      <c r="BD69" s="406"/>
    </row>
    <row r="70" spans="1:56">
      <c r="A70" s="334"/>
      <c r="B70" s="334"/>
      <c r="C70" s="334"/>
      <c r="D70" s="334"/>
      <c r="E70" s="334"/>
      <c r="F70" s="334"/>
      <c r="G70" s="334"/>
      <c r="H70" s="334"/>
      <c r="I70" s="334"/>
      <c r="J70" s="334"/>
      <c r="K70" s="334"/>
      <c r="L70" s="334"/>
      <c r="M70" s="334"/>
      <c r="N70" s="334"/>
      <c r="O70" s="334"/>
      <c r="P70" s="334"/>
      <c r="Q70" s="334"/>
      <c r="R70" s="334"/>
      <c r="S70" s="334"/>
      <c r="T70" s="334"/>
      <c r="U70" s="334"/>
      <c r="V70" s="334"/>
      <c r="W70" s="334"/>
      <c r="X70" s="334"/>
      <c r="Y70" s="334"/>
      <c r="AA70">
        <v>2016</v>
      </c>
      <c r="AB70" s="369">
        <f>FORECAST(AA70,AB66:AB69,AA66:AA69)</f>
        <v>0.28100000000000591</v>
      </c>
      <c r="AC70" s="369">
        <f>FORECAST(AA70,AC66:AC69,AA66:AA69)</f>
        <v>0.33666666666667311</v>
      </c>
      <c r="AD70" s="369">
        <f>FORECAST(AA70,AD66:AD69,AA66:AA69)</f>
        <v>0.31666666666666288</v>
      </c>
      <c r="AE70" s="369">
        <f>FORECAST(AA70,AE66:AE69,AA66:AA69)</f>
        <v>0.42666666666667652</v>
      </c>
      <c r="AW70" s="399" t="s">
        <v>1044</v>
      </c>
      <c r="AX70" s="402" t="s">
        <v>892</v>
      </c>
      <c r="AY70" s="402" t="s">
        <v>894</v>
      </c>
      <c r="AZ70" s="403">
        <v>0.02</v>
      </c>
      <c r="BA70" s="404" t="s">
        <v>1040</v>
      </c>
      <c r="BB70" s="403">
        <v>0.05</v>
      </c>
      <c r="BC70" s="397">
        <v>0.05</v>
      </c>
      <c r="BD70" s="406"/>
    </row>
    <row r="71" spans="1:56">
      <c r="A71" s="334"/>
      <c r="B71" s="334"/>
      <c r="C71" s="334"/>
      <c r="D71" s="334"/>
      <c r="E71" s="334"/>
      <c r="F71" s="334"/>
      <c r="G71" s="334"/>
      <c r="H71" s="334"/>
      <c r="I71" s="334"/>
      <c r="J71" s="334"/>
      <c r="K71" s="334"/>
      <c r="L71" s="334"/>
      <c r="M71" s="334"/>
      <c r="N71" s="334"/>
      <c r="O71" s="334"/>
      <c r="P71" s="334"/>
      <c r="Q71" s="334"/>
      <c r="R71" s="334"/>
      <c r="S71" s="334"/>
      <c r="T71" s="334"/>
      <c r="U71" s="334"/>
      <c r="V71" s="334"/>
      <c r="W71" s="334"/>
      <c r="X71" s="334"/>
      <c r="Y71" s="334"/>
      <c r="AA71">
        <v>2017</v>
      </c>
      <c r="AB71" s="155">
        <f t="shared" ref="AB71:AB73" si="0">FORECAST(AA71,AB69:AB70,AA69:AA70)</f>
        <v>0.37825000000000841</v>
      </c>
      <c r="AC71" s="373">
        <f t="shared" ref="AC71:AC73" si="1">FORECAST(AA71,AC69:AC70,AA69:AA70)</f>
        <v>0.4375</v>
      </c>
      <c r="AD71" s="373">
        <f t="shared" ref="AD71:AD73" si="2">FORECAST(AA71,AD69:AD70,AA69:AA70)</f>
        <v>0.41499999999996362</v>
      </c>
      <c r="AW71" s="399" t="s">
        <v>1045</v>
      </c>
      <c r="AX71" s="402" t="s">
        <v>895</v>
      </c>
      <c r="AY71" s="402" t="s">
        <v>896</v>
      </c>
      <c r="AZ71" s="403">
        <v>0.08</v>
      </c>
      <c r="BA71" s="404" t="s">
        <v>1040</v>
      </c>
      <c r="BB71" s="403">
        <v>0.1</v>
      </c>
      <c r="BC71" s="396">
        <v>0.05</v>
      </c>
      <c r="BD71" s="406"/>
    </row>
    <row r="72" spans="1:56">
      <c r="A72" s="334"/>
      <c r="B72" s="334"/>
      <c r="C72" s="334"/>
      <c r="D72" s="334"/>
      <c r="E72" s="334"/>
      <c r="F72" s="334"/>
      <c r="G72" s="334"/>
      <c r="H72" s="334"/>
      <c r="I72" s="334"/>
      <c r="J72" s="334"/>
      <c r="K72" s="334"/>
      <c r="L72" s="334"/>
      <c r="M72" s="334"/>
      <c r="N72" s="334"/>
      <c r="O72" s="334"/>
      <c r="P72" s="334"/>
      <c r="Q72" s="334"/>
      <c r="R72" s="334"/>
      <c r="S72" s="334"/>
      <c r="T72" s="334"/>
      <c r="U72" s="334"/>
      <c r="V72" s="334"/>
      <c r="W72" s="334"/>
      <c r="X72" s="334"/>
      <c r="Y72" s="334"/>
      <c r="AA72">
        <v>2018</v>
      </c>
      <c r="AB72" s="155">
        <f t="shared" si="0"/>
        <v>0.47550000000001091</v>
      </c>
      <c r="AC72" s="373">
        <f t="shared" si="1"/>
        <v>0.53833333333335531</v>
      </c>
      <c r="AD72" s="373">
        <f t="shared" si="2"/>
        <v>0.51333333333326436</v>
      </c>
      <c r="AW72" s="399"/>
      <c r="AX72" s="402" t="s">
        <v>895</v>
      </c>
      <c r="AY72" s="402" t="s">
        <v>897</v>
      </c>
      <c r="AZ72" s="403">
        <v>0.05</v>
      </c>
      <c r="BA72" s="404" t="s">
        <v>1040</v>
      </c>
      <c r="BB72" s="403">
        <v>0.1</v>
      </c>
      <c r="BC72" s="396">
        <v>0.05</v>
      </c>
      <c r="BD72" s="406"/>
    </row>
    <row r="73" spans="1:56">
      <c r="A73" s="334"/>
      <c r="B73" s="334"/>
      <c r="C73" s="334"/>
      <c r="D73" s="334"/>
      <c r="E73" s="334"/>
      <c r="F73" s="334"/>
      <c r="G73" s="334"/>
      <c r="H73" s="334"/>
      <c r="I73" s="334"/>
      <c r="J73" s="334"/>
      <c r="K73" s="334"/>
      <c r="L73" s="334"/>
      <c r="M73" s="334"/>
      <c r="N73" s="334"/>
      <c r="O73" s="334"/>
      <c r="P73" s="334"/>
      <c r="Q73" s="334"/>
      <c r="R73" s="334"/>
      <c r="S73" s="334"/>
      <c r="T73" s="334"/>
      <c r="U73" s="334"/>
      <c r="V73" s="334"/>
      <c r="W73" s="334"/>
      <c r="X73" s="334"/>
      <c r="Y73" s="334"/>
      <c r="AA73">
        <v>2019</v>
      </c>
      <c r="AB73" s="155">
        <f t="shared" si="0"/>
        <v>0.57275000000001342</v>
      </c>
      <c r="AC73" s="373">
        <f t="shared" si="1"/>
        <v>0.63916666666671063</v>
      </c>
      <c r="AD73" s="373">
        <f t="shared" si="2"/>
        <v>0.61166666666656511</v>
      </c>
      <c r="AW73" s="399" t="s">
        <v>1046</v>
      </c>
      <c r="AX73" s="402" t="s">
        <v>898</v>
      </c>
      <c r="AY73" s="402" t="s">
        <v>896</v>
      </c>
      <c r="AZ73" s="403">
        <v>0.04</v>
      </c>
      <c r="BA73" s="404" t="s">
        <v>1040</v>
      </c>
      <c r="BB73" s="403">
        <v>0.08</v>
      </c>
      <c r="BC73" s="396">
        <v>0.05</v>
      </c>
      <c r="BD73" s="406"/>
    </row>
    <row r="74" spans="1:56">
      <c r="A74" s="334"/>
      <c r="B74" s="334"/>
      <c r="C74" s="334"/>
      <c r="D74" s="334"/>
      <c r="E74" s="334"/>
      <c r="F74" s="334"/>
      <c r="G74" s="334"/>
      <c r="H74" s="334"/>
      <c r="I74" s="334"/>
      <c r="J74" s="334"/>
      <c r="K74" s="334"/>
      <c r="L74" s="334"/>
      <c r="M74" s="334"/>
      <c r="N74" s="334"/>
      <c r="O74" s="334"/>
      <c r="P74" s="334"/>
      <c r="Q74" s="334"/>
      <c r="R74" s="334"/>
      <c r="S74" s="334"/>
      <c r="T74" s="334"/>
      <c r="U74" s="334"/>
      <c r="V74" s="334"/>
      <c r="W74" s="334"/>
      <c r="X74" s="334"/>
      <c r="Y74" s="334"/>
      <c r="AW74" s="399"/>
      <c r="AX74" s="402" t="s">
        <v>898</v>
      </c>
      <c r="AY74" s="402" t="s">
        <v>897</v>
      </c>
      <c r="AZ74" s="403">
        <v>0.09</v>
      </c>
      <c r="BA74" s="404" t="s">
        <v>1040</v>
      </c>
      <c r="BB74" s="403">
        <v>0.15</v>
      </c>
      <c r="BC74" s="396">
        <v>0.1</v>
      </c>
      <c r="BD74" s="406"/>
    </row>
    <row r="75" spans="1:56">
      <c r="A75" s="334"/>
      <c r="B75" s="334"/>
      <c r="C75" s="334"/>
      <c r="D75" s="334"/>
      <c r="E75" s="334"/>
      <c r="F75" s="334"/>
      <c r="G75" s="334"/>
      <c r="H75" s="334"/>
      <c r="I75" s="334"/>
      <c r="J75" s="334"/>
      <c r="K75" s="334"/>
      <c r="L75" s="334"/>
      <c r="M75" s="334"/>
      <c r="N75" s="334"/>
      <c r="O75" s="334"/>
      <c r="P75" s="334"/>
      <c r="Q75" s="334"/>
      <c r="R75" s="334"/>
      <c r="S75" s="334"/>
      <c r="T75" s="334"/>
      <c r="U75" s="334"/>
      <c r="V75" s="334"/>
      <c r="W75" s="334"/>
      <c r="X75" s="334"/>
      <c r="Y75" s="334"/>
      <c r="AW75" s="399"/>
      <c r="AX75" s="402" t="s">
        <v>899</v>
      </c>
      <c r="AY75" s="402" t="s">
        <v>834</v>
      </c>
      <c r="AZ75" s="403">
        <v>0.31</v>
      </c>
      <c r="BA75" s="404" t="s">
        <v>1040</v>
      </c>
      <c r="BB75" s="403">
        <v>0.5</v>
      </c>
      <c r="BC75" s="397">
        <v>0.5</v>
      </c>
      <c r="BD75" s="406"/>
    </row>
    <row r="76" spans="1:56">
      <c r="A76" s="334"/>
      <c r="B76" s="334"/>
      <c r="C76" s="334"/>
      <c r="D76" s="334"/>
      <c r="E76" s="334"/>
      <c r="F76" s="334"/>
      <c r="G76" s="334"/>
      <c r="H76" s="334"/>
      <c r="I76" s="334"/>
      <c r="J76" s="334"/>
      <c r="K76" s="334"/>
      <c r="L76" s="334"/>
      <c r="M76" s="334"/>
      <c r="N76" s="334"/>
      <c r="O76" s="334"/>
      <c r="P76" s="334"/>
      <c r="Q76" s="334"/>
      <c r="R76" s="334"/>
      <c r="S76" s="334"/>
      <c r="T76" s="334"/>
      <c r="U76" s="334"/>
      <c r="V76" s="334"/>
      <c r="W76" s="334"/>
      <c r="X76" s="334"/>
      <c r="Y76" s="334"/>
      <c r="AW76" s="399"/>
      <c r="AX76" s="402" t="s">
        <v>900</v>
      </c>
      <c r="AY76" s="402" t="s">
        <v>901</v>
      </c>
      <c r="AZ76" s="403">
        <v>0.2</v>
      </c>
      <c r="BA76" s="404" t="s">
        <v>1040</v>
      </c>
      <c r="BB76" s="403">
        <v>0.3</v>
      </c>
      <c r="BC76" s="396">
        <v>0.25</v>
      </c>
      <c r="BD76" s="406"/>
    </row>
    <row r="77" spans="1:56" ht="28.5" customHeight="1">
      <c r="A77" s="334"/>
      <c r="B77" s="334"/>
      <c r="C77" s="334"/>
      <c r="D77" s="334"/>
      <c r="E77" s="334"/>
      <c r="F77" s="334"/>
      <c r="G77" s="334"/>
      <c r="H77" s="334"/>
      <c r="I77" s="334"/>
      <c r="J77" s="334"/>
      <c r="K77" s="334"/>
      <c r="L77" s="334"/>
      <c r="M77" s="334"/>
      <c r="N77" s="334"/>
      <c r="O77" s="334"/>
      <c r="P77" s="334"/>
      <c r="Q77" s="334"/>
      <c r="R77" s="334"/>
      <c r="S77" s="334"/>
      <c r="T77" s="334"/>
      <c r="U77" s="334"/>
      <c r="V77" s="334"/>
      <c r="W77" s="334"/>
      <c r="X77" s="334"/>
      <c r="Y77" s="334"/>
      <c r="AA77" s="82" t="s">
        <v>1031</v>
      </c>
      <c r="AB77" s="82" t="s">
        <v>998</v>
      </c>
      <c r="AC77" s="82" t="s">
        <v>142</v>
      </c>
      <c r="AD77" s="82" t="s">
        <v>831</v>
      </c>
      <c r="AE77" s="82" t="s">
        <v>1002</v>
      </c>
      <c r="AW77" s="399"/>
      <c r="AX77" s="402" t="s">
        <v>900</v>
      </c>
      <c r="AY77" s="402" t="s">
        <v>902</v>
      </c>
      <c r="AZ77" s="403">
        <v>0.13</v>
      </c>
      <c r="BA77" s="404" t="s">
        <v>1040</v>
      </c>
      <c r="BB77" s="403">
        <v>0.2</v>
      </c>
      <c r="BC77" s="396">
        <v>0.2</v>
      </c>
      <c r="BD77" s="406"/>
    </row>
    <row r="78" spans="1:56">
      <c r="A78" s="334"/>
      <c r="B78" s="334"/>
      <c r="C78" s="334"/>
      <c r="D78" s="334"/>
      <c r="E78" s="334"/>
      <c r="F78" s="334"/>
      <c r="G78" s="334"/>
      <c r="H78" s="334"/>
      <c r="I78" s="334"/>
      <c r="J78" s="334"/>
      <c r="K78" s="334"/>
      <c r="L78" s="334"/>
      <c r="M78" s="334"/>
      <c r="N78" s="334"/>
      <c r="O78" s="334"/>
      <c r="P78" s="334"/>
      <c r="Q78" s="334"/>
      <c r="R78" s="334"/>
      <c r="S78" s="334"/>
      <c r="T78" s="334"/>
      <c r="U78" s="334"/>
      <c r="V78" s="334"/>
      <c r="W78" s="334"/>
      <c r="X78" s="334"/>
      <c r="Y78" s="334"/>
      <c r="Z78">
        <v>1</v>
      </c>
      <c r="AA78">
        <v>2013</v>
      </c>
      <c r="AB78" s="60">
        <v>4.2999999999999997E-2</v>
      </c>
      <c r="AC78" s="60">
        <v>7.0000000000000007E-2</v>
      </c>
      <c r="AD78" s="60">
        <v>7.0000000000000007E-2</v>
      </c>
      <c r="AE78" s="60">
        <v>0.14000000000000001</v>
      </c>
      <c r="AW78" s="399"/>
      <c r="AX78" s="402" t="s">
        <v>831</v>
      </c>
      <c r="AY78" s="402" t="s">
        <v>834</v>
      </c>
      <c r="AZ78" s="403">
        <v>0.17</v>
      </c>
      <c r="BA78" s="404" t="s">
        <v>1040</v>
      </c>
      <c r="BB78" s="403">
        <v>0.25</v>
      </c>
      <c r="BC78" s="396">
        <v>0.25</v>
      </c>
      <c r="BD78" s="406"/>
    </row>
    <row r="79" spans="1:56">
      <c r="A79" s="334"/>
      <c r="B79" s="334"/>
      <c r="C79" s="334"/>
      <c r="D79" s="334"/>
      <c r="E79" s="334"/>
      <c r="F79" s="334"/>
      <c r="G79" s="334"/>
      <c r="H79" s="334"/>
      <c r="I79" s="334"/>
      <c r="J79" s="334"/>
      <c r="K79" s="334"/>
      <c r="L79" s="334"/>
      <c r="M79" s="334"/>
      <c r="N79" s="334"/>
      <c r="O79" s="334"/>
      <c r="P79" s="334"/>
      <c r="Q79" s="334"/>
      <c r="R79" s="334"/>
      <c r="S79" s="334"/>
      <c r="T79" s="334"/>
      <c r="U79" s="334"/>
      <c r="V79" s="334"/>
      <c r="W79" s="334"/>
      <c r="X79" s="334"/>
      <c r="Y79" s="334"/>
      <c r="Z79">
        <v>2</v>
      </c>
      <c r="AA79">
        <v>2014</v>
      </c>
      <c r="AB79" s="60"/>
      <c r="AW79" s="399" t="s">
        <v>1047</v>
      </c>
      <c r="AX79" s="402"/>
      <c r="AY79" s="402"/>
      <c r="AZ79" s="402"/>
      <c r="BA79" s="402"/>
      <c r="BB79" s="403">
        <v>0.1</v>
      </c>
      <c r="BC79" s="398" t="s">
        <v>1040</v>
      </c>
      <c r="BD79" s="406"/>
    </row>
    <row r="80" spans="1:56">
      <c r="A80" s="334"/>
      <c r="B80" s="334"/>
      <c r="C80" s="334"/>
      <c r="D80" s="334"/>
      <c r="E80" s="334"/>
      <c r="F80" s="334"/>
      <c r="G80" s="334"/>
      <c r="H80" s="334"/>
      <c r="I80" s="334"/>
      <c r="J80" s="334"/>
      <c r="K80" s="334"/>
      <c r="L80" s="334"/>
      <c r="M80" s="334"/>
      <c r="N80" s="334"/>
      <c r="O80" s="334"/>
      <c r="P80" s="334"/>
      <c r="Q80" s="334"/>
      <c r="R80" s="334"/>
      <c r="S80" s="334"/>
      <c r="T80" s="334"/>
      <c r="U80" s="334"/>
      <c r="V80" s="334"/>
      <c r="W80" s="334"/>
      <c r="X80" s="334"/>
      <c r="Y80" s="334"/>
      <c r="Z80">
        <v>3</v>
      </c>
      <c r="AA80">
        <v>2015</v>
      </c>
      <c r="AB80" s="60">
        <v>0.13</v>
      </c>
      <c r="AC80" s="60">
        <v>0.2</v>
      </c>
      <c r="AD80" s="60">
        <v>0.17</v>
      </c>
      <c r="AE80" s="60">
        <v>0.31</v>
      </c>
      <c r="AW80" s="399" t="s">
        <v>1048</v>
      </c>
      <c r="AX80" s="402"/>
      <c r="AY80" s="402"/>
      <c r="AZ80" s="402"/>
      <c r="BA80" s="402"/>
      <c r="BB80" s="403">
        <v>0.1</v>
      </c>
      <c r="BC80" s="398" t="s">
        <v>1040</v>
      </c>
      <c r="BD80" s="406"/>
    </row>
    <row r="81" spans="1:56">
      <c r="A81" s="334"/>
      <c r="B81" s="334"/>
      <c r="C81" s="334"/>
      <c r="D81" s="334"/>
      <c r="E81" s="334"/>
      <c r="F81" s="334"/>
      <c r="G81" s="334"/>
      <c r="H81" s="334"/>
      <c r="I81" s="334"/>
      <c r="J81" s="334"/>
      <c r="K81" s="334"/>
      <c r="L81" s="334"/>
      <c r="M81" s="334"/>
      <c r="N81" s="334"/>
      <c r="O81" s="334"/>
      <c r="P81" s="334"/>
      <c r="Q81" s="334"/>
      <c r="R81" s="334"/>
      <c r="S81" s="334"/>
      <c r="T81" s="334"/>
      <c r="U81" s="334"/>
      <c r="V81" s="334"/>
      <c r="W81" s="334"/>
      <c r="X81" s="334"/>
      <c r="Y81" s="334"/>
      <c r="Z81">
        <v>4</v>
      </c>
      <c r="AA81">
        <v>2016</v>
      </c>
      <c r="AB81" s="369">
        <v>0.18</v>
      </c>
      <c r="AC81" s="369">
        <v>0.27</v>
      </c>
      <c r="AD81" s="369">
        <v>0.36</v>
      </c>
      <c r="AE81" s="369">
        <v>0.4</v>
      </c>
      <c r="AW81" s="399" t="s">
        <v>1049</v>
      </c>
      <c r="AX81" s="402"/>
      <c r="AY81" s="402"/>
      <c r="AZ81" s="402"/>
      <c r="BA81" s="402"/>
      <c r="BB81" s="403">
        <f t="shared" ref="BB81:BB82" si="3">$AF$15</f>
        <v>0.05</v>
      </c>
      <c r="BC81" s="398" t="s">
        <v>1040</v>
      </c>
      <c r="BD81" s="406"/>
    </row>
    <row r="82" spans="1:56">
      <c r="A82" s="334"/>
      <c r="B82" s="334"/>
      <c r="C82" s="334"/>
      <c r="D82" s="334"/>
      <c r="E82" s="334"/>
      <c r="F82" s="334"/>
      <c r="G82" s="334"/>
      <c r="H82" s="334"/>
      <c r="I82" s="334"/>
      <c r="J82" s="334"/>
      <c r="K82" s="334"/>
      <c r="L82" s="334"/>
      <c r="M82" s="334"/>
      <c r="N82" s="334"/>
      <c r="O82" s="334"/>
      <c r="P82" s="334"/>
      <c r="Q82" s="334"/>
      <c r="R82" s="334"/>
      <c r="S82" s="334"/>
      <c r="T82" s="334"/>
      <c r="U82" s="334"/>
      <c r="V82" s="334"/>
      <c r="W82" s="334"/>
      <c r="X82" s="334"/>
      <c r="Y82" s="334"/>
      <c r="Z82">
        <v>5</v>
      </c>
      <c r="AA82">
        <v>2017</v>
      </c>
      <c r="AB82" s="60"/>
      <c r="AW82" s="399" t="s">
        <v>1050</v>
      </c>
      <c r="AX82" s="402"/>
      <c r="AY82" s="402"/>
      <c r="AZ82" s="402"/>
      <c r="BA82" s="402"/>
      <c r="BB82" s="403">
        <f t="shared" si="3"/>
        <v>0.05</v>
      </c>
      <c r="BC82" s="398" t="s">
        <v>1040</v>
      </c>
      <c r="BD82" s="406"/>
    </row>
    <row r="83" spans="1:56">
      <c r="A83" s="334"/>
      <c r="B83" s="334"/>
      <c r="C83" s="334"/>
      <c r="D83" s="334"/>
      <c r="E83" s="334"/>
      <c r="F83" s="334"/>
      <c r="G83" s="334"/>
      <c r="H83" s="334"/>
      <c r="I83" s="334"/>
      <c r="J83" s="334"/>
      <c r="K83" s="334"/>
      <c r="L83" s="334"/>
      <c r="M83" s="334"/>
      <c r="N83" s="334"/>
      <c r="O83" s="334"/>
      <c r="P83" s="334"/>
      <c r="Q83" s="334"/>
      <c r="R83" s="334"/>
      <c r="S83" s="334"/>
      <c r="T83" s="334"/>
      <c r="U83" s="334"/>
      <c r="V83" s="334"/>
      <c r="W83" s="334"/>
      <c r="X83" s="334"/>
      <c r="Y83" s="334"/>
      <c r="Z83">
        <v>6</v>
      </c>
      <c r="AA83">
        <v>2018</v>
      </c>
      <c r="AB83" s="60"/>
      <c r="AW83" s="399" t="s">
        <v>1051</v>
      </c>
      <c r="AX83" s="402"/>
      <c r="AY83" s="402"/>
      <c r="AZ83" s="402"/>
      <c r="BA83" s="402"/>
      <c r="BB83" s="403">
        <f>BB69</f>
        <v>0.08</v>
      </c>
      <c r="BC83" s="398" t="s">
        <v>1040</v>
      </c>
      <c r="BD83" s="406"/>
    </row>
    <row r="84" spans="1:56">
      <c r="A84" s="334"/>
      <c r="B84" s="334"/>
      <c r="C84" s="334"/>
      <c r="D84" s="334"/>
      <c r="E84" s="334"/>
      <c r="F84" s="334"/>
      <c r="G84" s="334"/>
      <c r="H84" s="334"/>
      <c r="I84" s="334"/>
      <c r="J84" s="334"/>
      <c r="K84" s="334"/>
      <c r="L84" s="334"/>
      <c r="M84" s="334"/>
      <c r="N84" s="334"/>
      <c r="O84" s="334"/>
      <c r="P84" s="334"/>
      <c r="Q84" s="334"/>
      <c r="R84" s="334"/>
      <c r="S84" s="334"/>
      <c r="T84" s="334"/>
      <c r="U84" s="334"/>
      <c r="V84" s="334"/>
      <c r="W84" s="334"/>
      <c r="X84" s="334"/>
      <c r="Y84" s="334"/>
      <c r="Z84">
        <v>7</v>
      </c>
      <c r="AA84">
        <v>2019</v>
      </c>
      <c r="AB84" s="60"/>
      <c r="AW84" s="399" t="s">
        <v>1052</v>
      </c>
      <c r="AX84" s="402"/>
      <c r="AY84" s="402"/>
      <c r="AZ84" s="402"/>
      <c r="BA84" s="402"/>
      <c r="BB84" s="403">
        <v>0.2</v>
      </c>
      <c r="BC84" s="398" t="s">
        <v>1040</v>
      </c>
      <c r="BD84" s="406"/>
    </row>
    <row r="85" spans="1:56">
      <c r="A85" s="334"/>
      <c r="B85" s="334"/>
      <c r="C85" s="334"/>
      <c r="D85" s="334"/>
      <c r="E85" s="334"/>
      <c r="F85" s="334"/>
      <c r="G85" s="334"/>
      <c r="H85" s="334"/>
      <c r="I85" s="334"/>
      <c r="J85" s="334"/>
      <c r="K85" s="334"/>
      <c r="L85" s="334"/>
      <c r="M85" s="334"/>
      <c r="N85" s="334"/>
      <c r="O85" s="334"/>
      <c r="P85" s="334"/>
      <c r="Q85" s="334"/>
      <c r="R85" s="334"/>
      <c r="S85" s="334"/>
      <c r="T85" s="334"/>
      <c r="U85" s="334"/>
      <c r="V85" s="334"/>
      <c r="W85" s="334"/>
      <c r="X85" s="334"/>
      <c r="Y85" s="334"/>
      <c r="Z85">
        <v>8</v>
      </c>
      <c r="AA85">
        <v>2020</v>
      </c>
      <c r="AB85" s="60">
        <v>0.67</v>
      </c>
      <c r="AC85" s="60">
        <v>0.74</v>
      </c>
      <c r="AD85" s="60">
        <v>0.71</v>
      </c>
      <c r="AE85" s="60">
        <v>0.83</v>
      </c>
      <c r="AW85" s="399" t="s">
        <v>1053</v>
      </c>
      <c r="AX85" s="402"/>
      <c r="AY85" s="402"/>
      <c r="AZ85" s="402"/>
      <c r="BA85" s="402"/>
      <c r="BB85" s="403">
        <v>0.3</v>
      </c>
      <c r="BC85" s="398" t="s">
        <v>1040</v>
      </c>
      <c r="BD85" s="406"/>
    </row>
    <row r="86" spans="1:56">
      <c r="A86" s="334"/>
      <c r="B86" s="334"/>
      <c r="C86" s="334"/>
      <c r="D86" s="334"/>
      <c r="E86" s="334"/>
      <c r="F86" s="334"/>
      <c r="G86" s="334"/>
      <c r="H86" s="334"/>
      <c r="I86" s="334"/>
      <c r="J86" s="334"/>
      <c r="K86" s="334"/>
      <c r="L86" s="334"/>
      <c r="M86" s="334"/>
      <c r="N86" s="334"/>
      <c r="O86" s="334"/>
      <c r="P86" s="334"/>
      <c r="Q86" s="334"/>
      <c r="R86" s="334"/>
      <c r="S86" s="334"/>
      <c r="T86" s="334"/>
      <c r="U86" s="334"/>
      <c r="V86" s="334"/>
      <c r="W86" s="334"/>
      <c r="X86" s="334"/>
      <c r="Y86" s="334"/>
    </row>
    <row r="87" spans="1:56">
      <c r="A87" s="334"/>
      <c r="B87" s="334"/>
      <c r="C87" s="334"/>
      <c r="D87" s="334"/>
      <c r="E87" s="334"/>
      <c r="F87" s="334"/>
      <c r="G87" s="334"/>
      <c r="H87" s="334"/>
      <c r="I87" s="334"/>
      <c r="J87" s="334"/>
      <c r="K87" s="334"/>
      <c r="L87" s="334"/>
      <c r="M87" s="334"/>
      <c r="N87" s="334"/>
      <c r="O87" s="334"/>
      <c r="P87" s="334"/>
      <c r="Q87" s="334"/>
      <c r="R87" s="334"/>
      <c r="S87" s="334"/>
      <c r="T87" s="334"/>
      <c r="U87" s="334"/>
      <c r="V87" s="334"/>
      <c r="W87" s="334"/>
      <c r="X87" s="334"/>
      <c r="Y87" s="334"/>
    </row>
    <row r="88" spans="1:56">
      <c r="A88" s="334"/>
      <c r="B88" s="334"/>
      <c r="C88" s="334"/>
      <c r="D88" s="334"/>
      <c r="E88" s="334"/>
      <c r="F88" s="334"/>
      <c r="G88" s="334"/>
      <c r="H88" s="334"/>
      <c r="I88" s="334"/>
      <c r="J88" s="334"/>
      <c r="K88" s="334"/>
      <c r="L88" s="334"/>
      <c r="M88" s="334"/>
      <c r="N88" s="334"/>
      <c r="O88" s="334"/>
      <c r="P88" s="334"/>
      <c r="Q88" s="334"/>
      <c r="R88" s="334"/>
      <c r="S88" s="334"/>
      <c r="T88" s="334"/>
      <c r="U88" s="334"/>
      <c r="V88" s="334"/>
      <c r="W88" s="334"/>
      <c r="X88" s="334"/>
      <c r="Y88" s="334"/>
    </row>
    <row r="89" spans="1:56">
      <c r="A89" s="334"/>
      <c r="B89" s="334"/>
      <c r="C89" s="334"/>
      <c r="D89" s="334"/>
      <c r="E89" s="334"/>
      <c r="F89" s="334"/>
      <c r="G89" s="334"/>
      <c r="H89" s="334"/>
      <c r="I89" s="334"/>
      <c r="J89" s="334"/>
      <c r="K89" s="334"/>
      <c r="L89" s="334"/>
      <c r="M89" s="334"/>
      <c r="N89" s="334"/>
      <c r="O89" s="334"/>
      <c r="P89" s="334"/>
      <c r="Q89" s="334"/>
      <c r="R89" s="334"/>
      <c r="S89" s="334"/>
      <c r="T89" s="334"/>
      <c r="U89" s="334"/>
      <c r="V89" s="334"/>
      <c r="W89" s="334"/>
      <c r="X89" s="334"/>
      <c r="Y89" s="334"/>
    </row>
    <row r="90" spans="1:56">
      <c r="A90" s="334"/>
      <c r="B90" s="334"/>
      <c r="C90" s="334"/>
      <c r="D90" s="334"/>
      <c r="E90" s="334"/>
      <c r="F90" s="334"/>
      <c r="G90" s="334"/>
      <c r="H90" s="334"/>
      <c r="I90" s="334"/>
      <c r="J90" s="334"/>
      <c r="K90" s="334"/>
      <c r="L90" s="334"/>
      <c r="M90" s="334"/>
      <c r="N90" s="334"/>
      <c r="O90" s="334"/>
      <c r="P90" s="334"/>
      <c r="Q90" s="334"/>
      <c r="R90" s="334"/>
      <c r="S90" s="334"/>
      <c r="T90" s="334"/>
      <c r="U90" s="334"/>
      <c r="V90" s="334"/>
      <c r="W90" s="334"/>
      <c r="X90" s="334"/>
      <c r="Y90" s="334"/>
      <c r="AA90" t="s">
        <v>831</v>
      </c>
      <c r="AF90" t="s">
        <v>900</v>
      </c>
      <c r="AM90" t="s">
        <v>1002</v>
      </c>
    </row>
    <row r="91" spans="1:56">
      <c r="A91" s="334"/>
      <c r="B91" s="334"/>
      <c r="C91" s="334"/>
      <c r="D91" s="334"/>
      <c r="E91" s="334"/>
      <c r="F91" s="334"/>
      <c r="G91" s="334"/>
      <c r="H91" s="334"/>
      <c r="I91" s="334"/>
      <c r="J91" s="334"/>
      <c r="K91" s="334"/>
      <c r="L91" s="334"/>
      <c r="M91" s="334"/>
      <c r="N91" s="334"/>
      <c r="O91" s="334"/>
      <c r="P91" s="334"/>
      <c r="Q91" s="334"/>
      <c r="R91" s="334"/>
      <c r="S91" s="334"/>
      <c r="T91" s="334"/>
      <c r="U91" s="334"/>
      <c r="V91" s="334"/>
      <c r="W91" s="334"/>
      <c r="X91" s="334"/>
      <c r="Y91" s="334"/>
    </row>
    <row r="92" spans="1:56">
      <c r="A92" s="334"/>
      <c r="B92" s="334"/>
      <c r="C92" s="334"/>
      <c r="D92" s="334"/>
      <c r="E92" s="334"/>
      <c r="F92" s="334"/>
      <c r="G92" s="334"/>
      <c r="H92" s="334"/>
      <c r="I92" s="334"/>
      <c r="J92" s="334"/>
      <c r="K92" s="334"/>
      <c r="L92" s="334"/>
      <c r="M92" s="334"/>
      <c r="N92" s="334"/>
      <c r="O92" s="334"/>
      <c r="P92" s="334"/>
      <c r="Q92" s="334"/>
      <c r="R92" s="334"/>
      <c r="S92" s="334"/>
      <c r="T92" s="334"/>
      <c r="U92" s="334"/>
      <c r="V92" s="334"/>
      <c r="W92" s="334"/>
      <c r="X92" s="334"/>
      <c r="Y92" s="334"/>
    </row>
    <row r="93" spans="1:56">
      <c r="A93" s="334"/>
      <c r="B93" s="334"/>
      <c r="C93" s="334"/>
      <c r="D93" s="334"/>
      <c r="E93" s="334"/>
      <c r="F93" s="334"/>
      <c r="G93" s="334"/>
      <c r="H93" s="334"/>
      <c r="I93" s="334"/>
      <c r="J93" s="334"/>
      <c r="K93" s="334"/>
      <c r="L93" s="334"/>
      <c r="M93" s="334"/>
      <c r="N93" s="334"/>
      <c r="O93" s="334"/>
      <c r="P93" s="334"/>
      <c r="Q93" s="334"/>
      <c r="R93" s="334"/>
      <c r="S93" s="334"/>
      <c r="T93" s="334"/>
      <c r="U93" s="334"/>
      <c r="V93" s="334"/>
      <c r="W93" s="334"/>
      <c r="X93" s="334"/>
      <c r="Y93" s="334"/>
    </row>
    <row r="94" spans="1:56">
      <c r="A94" s="334"/>
      <c r="B94" s="334"/>
      <c r="C94" s="334"/>
      <c r="D94" s="334"/>
      <c r="E94" s="334"/>
      <c r="F94" s="334"/>
      <c r="G94" s="334"/>
      <c r="H94" s="334"/>
      <c r="I94" s="334"/>
      <c r="J94" s="334"/>
      <c r="K94" s="334"/>
      <c r="L94" s="334"/>
      <c r="M94" s="334"/>
      <c r="N94" s="334"/>
      <c r="O94" s="334"/>
      <c r="P94" s="334"/>
      <c r="Q94" s="334"/>
      <c r="R94" s="334"/>
      <c r="S94" s="334"/>
      <c r="T94" s="334"/>
      <c r="U94" s="334"/>
      <c r="V94" s="334"/>
      <c r="W94" s="334"/>
      <c r="X94" s="334"/>
      <c r="Y94" s="334"/>
    </row>
    <row r="95" spans="1:56">
      <c r="A95" s="334"/>
      <c r="B95" s="334"/>
      <c r="C95" s="334"/>
      <c r="D95" s="334"/>
      <c r="E95" s="334"/>
      <c r="F95" s="334"/>
      <c r="G95" s="334"/>
      <c r="H95" s="334"/>
      <c r="I95" s="334"/>
      <c r="J95" s="334"/>
      <c r="K95" s="334"/>
      <c r="L95" s="334"/>
      <c r="M95" s="334"/>
      <c r="N95" s="334"/>
      <c r="O95" s="334"/>
      <c r="P95" s="334"/>
      <c r="Q95" s="334"/>
      <c r="R95" s="334"/>
      <c r="S95" s="334"/>
      <c r="T95" s="334"/>
      <c r="U95" s="334"/>
      <c r="V95" s="334"/>
      <c r="W95" s="334"/>
      <c r="X95" s="334"/>
      <c r="Y95" s="334"/>
    </row>
    <row r="96" spans="1:56">
      <c r="A96" s="334"/>
      <c r="B96" s="334"/>
      <c r="C96" s="334"/>
      <c r="D96" s="334"/>
      <c r="E96" s="334"/>
      <c r="F96" s="334"/>
      <c r="G96" s="334"/>
      <c r="H96" s="334"/>
      <c r="I96" s="334"/>
      <c r="J96" s="334"/>
      <c r="K96" s="334"/>
      <c r="L96" s="334"/>
      <c r="M96" s="334"/>
      <c r="N96" s="334"/>
      <c r="O96" s="334"/>
      <c r="P96" s="334"/>
      <c r="Q96" s="334"/>
      <c r="R96" s="334"/>
      <c r="S96" s="334"/>
      <c r="T96" s="334"/>
      <c r="U96" s="334"/>
      <c r="V96" s="334"/>
      <c r="W96" s="334"/>
      <c r="X96" s="334"/>
      <c r="Y96" s="334"/>
    </row>
    <row r="97" spans="1:25">
      <c r="A97" s="334"/>
      <c r="B97" s="334"/>
      <c r="C97" s="334"/>
      <c r="D97" s="334"/>
      <c r="E97" s="334"/>
      <c r="F97" s="334"/>
      <c r="G97" s="334"/>
      <c r="H97" s="334"/>
      <c r="I97" s="334"/>
      <c r="J97" s="334"/>
      <c r="K97" s="334"/>
      <c r="L97" s="334"/>
      <c r="M97" s="334"/>
      <c r="N97" s="334"/>
      <c r="O97" s="334"/>
      <c r="P97" s="334"/>
      <c r="Q97" s="334"/>
      <c r="R97" s="334"/>
      <c r="S97" s="334"/>
      <c r="T97" s="334"/>
      <c r="U97" s="334"/>
      <c r="V97" s="334"/>
      <c r="W97" s="334"/>
      <c r="X97" s="334"/>
      <c r="Y97" s="334"/>
    </row>
    <row r="98" spans="1:25">
      <c r="A98" s="334"/>
      <c r="B98" s="334"/>
      <c r="C98" s="334"/>
      <c r="D98" s="334"/>
      <c r="E98" s="334"/>
      <c r="F98" s="334"/>
      <c r="G98" s="334"/>
      <c r="H98" s="334"/>
      <c r="I98" s="334"/>
      <c r="J98" s="334"/>
      <c r="K98" s="334"/>
      <c r="L98" s="334"/>
      <c r="M98" s="334"/>
      <c r="N98" s="334"/>
      <c r="O98" s="334"/>
      <c r="P98" s="334"/>
      <c r="Q98" s="334"/>
      <c r="R98" s="334"/>
      <c r="S98" s="334"/>
      <c r="T98" s="334"/>
      <c r="U98" s="334"/>
      <c r="V98" s="334"/>
      <c r="W98" s="334"/>
      <c r="X98" s="334"/>
      <c r="Y98" s="334"/>
    </row>
    <row r="99" spans="1:25">
      <c r="A99" s="334"/>
      <c r="B99" s="334"/>
      <c r="C99" s="334"/>
      <c r="D99" s="334"/>
      <c r="E99" s="334"/>
      <c r="F99" s="334"/>
      <c r="G99" s="334"/>
      <c r="H99" s="334"/>
      <c r="I99" s="334"/>
      <c r="J99" s="334"/>
      <c r="K99" s="334"/>
      <c r="L99" s="334"/>
      <c r="M99" s="334"/>
      <c r="N99" s="334"/>
      <c r="O99" s="334"/>
      <c r="P99" s="334"/>
      <c r="Q99" s="334"/>
      <c r="R99" s="334"/>
      <c r="S99" s="334"/>
      <c r="T99" s="334"/>
      <c r="U99" s="334"/>
      <c r="V99" s="334"/>
      <c r="W99" s="334"/>
      <c r="X99" s="334"/>
      <c r="Y99" s="334"/>
    </row>
    <row r="100" spans="1:25">
      <c r="A100" s="334"/>
      <c r="B100" s="334"/>
      <c r="C100" s="334"/>
      <c r="D100" s="334"/>
      <c r="E100" s="334"/>
      <c r="F100" s="334"/>
      <c r="G100" s="334"/>
      <c r="H100" s="334"/>
      <c r="I100" s="334"/>
      <c r="J100" s="334"/>
      <c r="K100" s="334"/>
      <c r="L100" s="334"/>
      <c r="M100" s="334"/>
      <c r="N100" s="334"/>
      <c r="O100" s="334"/>
      <c r="P100" s="334"/>
      <c r="Q100" s="334"/>
      <c r="R100" s="334"/>
      <c r="S100" s="334"/>
      <c r="T100" s="334"/>
      <c r="U100" s="334"/>
      <c r="V100" s="334"/>
      <c r="W100" s="334"/>
      <c r="X100" s="334"/>
      <c r="Y100" s="334"/>
    </row>
    <row r="101" spans="1:25">
      <c r="A101" s="334"/>
      <c r="B101" s="334"/>
      <c r="C101" s="334"/>
      <c r="D101" s="334"/>
      <c r="E101" s="334"/>
      <c r="F101" s="334"/>
      <c r="G101" s="334"/>
      <c r="H101" s="334"/>
      <c r="I101" s="334"/>
      <c r="J101" s="334"/>
      <c r="K101" s="334"/>
      <c r="L101" s="334"/>
      <c r="M101" s="334"/>
      <c r="N101" s="334"/>
      <c r="O101" s="334"/>
      <c r="P101" s="334"/>
      <c r="Q101" s="334"/>
      <c r="R101" s="334"/>
      <c r="S101" s="334"/>
      <c r="T101" s="334"/>
      <c r="U101" s="334"/>
      <c r="V101" s="334"/>
      <c r="W101" s="334"/>
      <c r="X101" s="334"/>
      <c r="Y101" s="334"/>
    </row>
    <row r="102" spans="1:25">
      <c r="A102" s="334"/>
      <c r="B102" s="334"/>
      <c r="C102" s="334"/>
      <c r="D102" s="334"/>
      <c r="E102" s="334"/>
      <c r="F102" s="334"/>
      <c r="G102" s="334"/>
      <c r="H102" s="334"/>
      <c r="I102" s="334"/>
      <c r="J102" s="334"/>
      <c r="K102" s="334"/>
      <c r="L102" s="334"/>
      <c r="M102" s="334"/>
      <c r="N102" s="334"/>
      <c r="O102" s="334"/>
      <c r="P102" s="334"/>
      <c r="Q102" s="334"/>
      <c r="R102" s="334"/>
      <c r="S102" s="334"/>
      <c r="T102" s="334"/>
      <c r="U102" s="334"/>
      <c r="V102" s="334"/>
      <c r="W102" s="334"/>
      <c r="X102" s="334"/>
      <c r="Y102" s="334"/>
    </row>
    <row r="103" spans="1:25">
      <c r="A103" s="334"/>
      <c r="B103" s="334"/>
      <c r="C103" s="334"/>
      <c r="D103" s="334"/>
      <c r="E103" s="334"/>
      <c r="F103" s="334"/>
      <c r="G103" s="334"/>
      <c r="H103" s="334"/>
      <c r="I103" s="334"/>
      <c r="J103" s="334"/>
      <c r="K103" s="334"/>
      <c r="L103" s="334"/>
      <c r="M103" s="334"/>
      <c r="N103" s="334"/>
      <c r="O103" s="334"/>
      <c r="P103" s="334"/>
      <c r="Q103" s="334"/>
      <c r="R103" s="334"/>
      <c r="S103" s="334"/>
      <c r="T103" s="334"/>
      <c r="U103" s="334"/>
      <c r="V103" s="334"/>
      <c r="W103" s="334"/>
      <c r="X103" s="334"/>
      <c r="Y103" s="334"/>
    </row>
    <row r="104" spans="1:25">
      <c r="A104" s="334"/>
      <c r="B104" s="334"/>
      <c r="C104" s="334"/>
      <c r="D104" s="334"/>
      <c r="E104" s="334"/>
      <c r="F104" s="334"/>
      <c r="G104" s="334"/>
      <c r="H104" s="334"/>
      <c r="I104" s="334"/>
      <c r="J104" s="334"/>
      <c r="K104" s="334"/>
      <c r="L104" s="334"/>
      <c r="M104" s="334"/>
      <c r="N104" s="334"/>
      <c r="O104" s="334"/>
      <c r="P104" s="334"/>
      <c r="Q104" s="334"/>
      <c r="R104" s="334"/>
      <c r="S104" s="334"/>
      <c r="T104" s="334"/>
      <c r="U104" s="334"/>
      <c r="V104" s="334"/>
      <c r="W104" s="334"/>
      <c r="X104" s="334"/>
      <c r="Y104" s="334"/>
    </row>
    <row r="105" spans="1:25">
      <c r="A105" s="334"/>
      <c r="B105" s="334"/>
      <c r="C105" s="334"/>
      <c r="D105" s="334"/>
      <c r="E105" s="334"/>
      <c r="F105" s="334"/>
      <c r="G105" s="334"/>
      <c r="H105" s="334"/>
      <c r="I105" s="334"/>
      <c r="J105" s="334"/>
      <c r="K105" s="334"/>
      <c r="L105" s="334"/>
      <c r="M105" s="334"/>
      <c r="N105" s="334"/>
      <c r="O105" s="334"/>
      <c r="P105" s="334"/>
      <c r="Q105" s="334"/>
      <c r="R105" s="334"/>
      <c r="S105" s="334"/>
      <c r="T105" s="334"/>
      <c r="U105" s="334"/>
      <c r="V105" s="334"/>
      <c r="W105" s="334"/>
      <c r="X105" s="334"/>
      <c r="Y105" s="334"/>
    </row>
    <row r="106" spans="1:25">
      <c r="A106" s="334"/>
      <c r="B106" s="334"/>
      <c r="C106" s="334"/>
      <c r="D106" s="334"/>
      <c r="E106" s="334"/>
      <c r="F106" s="334"/>
      <c r="G106" s="334"/>
      <c r="H106" s="334"/>
      <c r="I106" s="334"/>
      <c r="J106" s="334"/>
      <c r="K106" s="334"/>
      <c r="L106" s="334"/>
      <c r="M106" s="334"/>
      <c r="N106" s="334"/>
      <c r="O106" s="334"/>
      <c r="P106" s="334"/>
      <c r="Q106" s="334"/>
      <c r="R106" s="334"/>
      <c r="S106" s="334"/>
      <c r="T106" s="334"/>
      <c r="U106" s="334"/>
      <c r="V106" s="334"/>
      <c r="W106" s="334"/>
      <c r="X106" s="334"/>
      <c r="Y106" s="334"/>
    </row>
    <row r="107" spans="1:25">
      <c r="A107" s="334"/>
      <c r="B107" s="334"/>
      <c r="C107" s="334"/>
      <c r="D107" s="334"/>
      <c r="E107" s="334"/>
      <c r="F107" s="334"/>
      <c r="G107" s="334"/>
      <c r="H107" s="334"/>
      <c r="I107" s="334"/>
      <c r="J107" s="334"/>
      <c r="K107" s="334"/>
      <c r="L107" s="334"/>
      <c r="M107" s="334"/>
      <c r="N107" s="334"/>
      <c r="O107" s="334"/>
      <c r="P107" s="334"/>
      <c r="Q107" s="334"/>
      <c r="R107" s="334"/>
      <c r="S107" s="334"/>
      <c r="T107" s="334"/>
      <c r="U107" s="334"/>
      <c r="V107" s="334"/>
      <c r="W107" s="334"/>
      <c r="X107" s="334"/>
      <c r="Y107" s="334"/>
    </row>
    <row r="108" spans="1:25">
      <c r="A108" s="334"/>
      <c r="B108" s="334"/>
      <c r="C108" s="334"/>
      <c r="D108" s="334"/>
      <c r="E108" s="334"/>
      <c r="F108" s="334"/>
      <c r="G108" s="334"/>
      <c r="H108" s="334"/>
      <c r="I108" s="334"/>
      <c r="J108" s="334"/>
      <c r="K108" s="334"/>
      <c r="L108" s="334"/>
      <c r="M108" s="334"/>
      <c r="N108" s="334"/>
      <c r="O108" s="334"/>
      <c r="P108" s="334"/>
      <c r="Q108" s="334"/>
      <c r="R108" s="334"/>
      <c r="S108" s="334"/>
      <c r="T108" s="334"/>
      <c r="U108" s="334"/>
      <c r="V108" s="334"/>
      <c r="W108" s="334"/>
      <c r="X108" s="334"/>
      <c r="Y108" s="334"/>
    </row>
    <row r="109" spans="1:25">
      <c r="A109" s="334"/>
      <c r="B109" s="334"/>
      <c r="C109" s="334"/>
      <c r="D109" s="334"/>
      <c r="E109" s="334"/>
      <c r="F109" s="334"/>
      <c r="G109" s="334"/>
      <c r="H109" s="334"/>
      <c r="I109" s="334"/>
      <c r="J109" s="334"/>
      <c r="K109" s="334"/>
      <c r="L109" s="334"/>
      <c r="M109" s="334"/>
      <c r="N109" s="334"/>
      <c r="O109" s="334"/>
      <c r="P109" s="334"/>
      <c r="Q109" s="334"/>
      <c r="R109" s="334"/>
      <c r="S109" s="334"/>
      <c r="T109" s="334"/>
      <c r="U109" s="334"/>
      <c r="V109" s="334"/>
      <c r="W109" s="334"/>
      <c r="X109" s="334"/>
      <c r="Y109" s="334"/>
    </row>
    <row r="110" spans="1:25">
      <c r="A110" s="334"/>
      <c r="B110" s="334"/>
      <c r="C110" s="334"/>
      <c r="D110" s="334"/>
      <c r="E110" s="334"/>
      <c r="F110" s="334"/>
      <c r="G110" s="334"/>
      <c r="H110" s="334"/>
      <c r="I110" s="334"/>
      <c r="J110" s="334"/>
      <c r="K110" s="334"/>
      <c r="L110" s="334"/>
      <c r="M110" s="334"/>
      <c r="N110" s="334"/>
      <c r="O110" s="334"/>
      <c r="P110" s="334"/>
      <c r="Q110" s="334"/>
      <c r="R110" s="334"/>
      <c r="S110" s="334"/>
      <c r="T110" s="334"/>
      <c r="U110" s="334"/>
      <c r="V110" s="334"/>
      <c r="W110" s="334"/>
      <c r="X110" s="334"/>
      <c r="Y110" s="334"/>
    </row>
    <row r="111" spans="1:25">
      <c r="A111" s="334"/>
      <c r="B111" s="334"/>
      <c r="C111" s="334"/>
      <c r="D111" s="334"/>
      <c r="E111" s="334"/>
      <c r="F111" s="334"/>
      <c r="G111" s="334"/>
      <c r="H111" s="334"/>
      <c r="I111" s="334"/>
      <c r="J111" s="334"/>
      <c r="K111" s="334"/>
      <c r="L111" s="334"/>
      <c r="M111" s="334"/>
      <c r="N111" s="334"/>
      <c r="O111" s="334"/>
      <c r="P111" s="334"/>
      <c r="Q111" s="334"/>
      <c r="R111" s="334"/>
      <c r="S111" s="334"/>
      <c r="T111" s="334"/>
      <c r="U111" s="334"/>
      <c r="V111" s="334"/>
      <c r="W111" s="334"/>
      <c r="X111" s="334"/>
      <c r="Y111" s="334"/>
    </row>
    <row r="112" spans="1:25">
      <c r="A112" s="334"/>
      <c r="B112" s="334"/>
      <c r="C112" s="334"/>
      <c r="D112" s="334"/>
      <c r="E112" s="334"/>
      <c r="F112" s="334"/>
      <c r="G112" s="334"/>
      <c r="H112" s="334"/>
      <c r="I112" s="334"/>
      <c r="J112" s="334"/>
      <c r="K112" s="334"/>
      <c r="L112" s="334"/>
      <c r="M112" s="334"/>
      <c r="N112" s="334"/>
      <c r="O112" s="334"/>
      <c r="P112" s="334"/>
      <c r="Q112" s="334"/>
      <c r="R112" s="334"/>
      <c r="S112" s="334"/>
      <c r="T112" s="334"/>
      <c r="U112" s="334"/>
      <c r="V112" s="334"/>
      <c r="W112" s="334"/>
      <c r="X112" s="334"/>
      <c r="Y112" s="334"/>
    </row>
    <row r="113" spans="1:25">
      <c r="A113" s="334"/>
      <c r="B113" s="334"/>
      <c r="C113" s="334"/>
      <c r="D113" s="334"/>
      <c r="E113" s="334"/>
      <c r="F113" s="334"/>
      <c r="G113" s="334"/>
      <c r="H113" s="334"/>
      <c r="I113" s="334"/>
      <c r="J113" s="334"/>
      <c r="K113" s="334"/>
      <c r="L113" s="334"/>
      <c r="M113" s="334"/>
      <c r="N113" s="334"/>
      <c r="O113" s="334"/>
      <c r="P113" s="334"/>
      <c r="Q113" s="334"/>
      <c r="R113" s="334"/>
      <c r="S113" s="334"/>
      <c r="T113" s="334"/>
      <c r="U113" s="334"/>
      <c r="V113" s="334"/>
      <c r="W113" s="334"/>
      <c r="X113" s="334"/>
      <c r="Y113" s="334"/>
    </row>
    <row r="114" spans="1:25">
      <c r="A114" s="334"/>
      <c r="B114" s="334"/>
      <c r="C114" s="334"/>
      <c r="D114" s="334"/>
      <c r="E114" s="334"/>
      <c r="F114" s="334"/>
      <c r="G114" s="334"/>
      <c r="H114" s="334"/>
      <c r="I114" s="334"/>
      <c r="J114" s="334"/>
      <c r="K114" s="334"/>
      <c r="L114" s="334"/>
      <c r="M114" s="334"/>
      <c r="N114" s="334"/>
      <c r="O114" s="334"/>
      <c r="P114" s="334"/>
      <c r="Q114" s="334"/>
      <c r="R114" s="334"/>
      <c r="S114" s="334"/>
      <c r="T114" s="334"/>
      <c r="U114" s="334"/>
      <c r="V114" s="334"/>
      <c r="W114" s="334"/>
      <c r="X114" s="334"/>
      <c r="Y114" s="334"/>
    </row>
    <row r="115" spans="1:25">
      <c r="A115" s="334"/>
      <c r="B115" s="334"/>
      <c r="C115" s="334"/>
      <c r="D115" s="334"/>
      <c r="E115" s="334"/>
      <c r="F115" s="334"/>
      <c r="G115" s="334"/>
      <c r="H115" s="334"/>
      <c r="I115" s="334"/>
      <c r="J115" s="334"/>
      <c r="K115" s="334"/>
      <c r="L115" s="334"/>
      <c r="M115" s="334"/>
      <c r="N115" s="334"/>
      <c r="O115" s="334"/>
      <c r="P115" s="334"/>
      <c r="Q115" s="334"/>
      <c r="R115" s="334"/>
      <c r="S115" s="334"/>
      <c r="T115" s="334"/>
      <c r="U115" s="334"/>
      <c r="V115" s="334"/>
      <c r="W115" s="334"/>
      <c r="X115" s="334"/>
      <c r="Y115" s="334"/>
    </row>
    <row r="116" spans="1:25">
      <c r="A116" s="334"/>
      <c r="B116" s="334"/>
      <c r="C116" s="334"/>
      <c r="D116" s="334"/>
      <c r="E116" s="334"/>
      <c r="F116" s="334"/>
      <c r="G116" s="334"/>
      <c r="H116" s="334"/>
      <c r="I116" s="334"/>
      <c r="J116" s="334"/>
      <c r="K116" s="334"/>
      <c r="L116" s="334"/>
      <c r="M116" s="334"/>
      <c r="N116" s="334"/>
      <c r="O116" s="334"/>
      <c r="P116" s="334"/>
      <c r="Q116" s="334"/>
      <c r="R116" s="334"/>
      <c r="S116" s="334"/>
      <c r="T116" s="334"/>
      <c r="U116" s="334"/>
      <c r="V116" s="334"/>
      <c r="W116" s="334"/>
      <c r="X116" s="334"/>
      <c r="Y116" s="334"/>
    </row>
    <row r="117" spans="1:25">
      <c r="A117" s="334"/>
      <c r="B117" s="334"/>
      <c r="C117" s="334"/>
      <c r="D117" s="334"/>
      <c r="E117" s="334"/>
      <c r="F117" s="334"/>
      <c r="G117" s="334"/>
      <c r="H117" s="334"/>
      <c r="I117" s="334"/>
      <c r="J117" s="334"/>
      <c r="K117" s="334"/>
      <c r="L117" s="334"/>
      <c r="M117" s="334"/>
      <c r="N117" s="334"/>
      <c r="O117" s="334"/>
      <c r="P117" s="334"/>
      <c r="Q117" s="334"/>
      <c r="R117" s="334"/>
      <c r="S117" s="334"/>
      <c r="T117" s="334"/>
      <c r="U117" s="334"/>
      <c r="V117" s="334"/>
      <c r="W117" s="334"/>
      <c r="X117" s="334"/>
      <c r="Y117" s="334"/>
    </row>
    <row r="118" spans="1:25">
      <c r="A118" s="334"/>
      <c r="B118" s="334"/>
      <c r="C118" s="334"/>
      <c r="D118" s="334"/>
      <c r="E118" s="334"/>
      <c r="F118" s="334"/>
      <c r="G118" s="334"/>
      <c r="H118" s="334"/>
      <c r="I118" s="334"/>
      <c r="J118" s="334"/>
      <c r="K118" s="334"/>
      <c r="L118" s="334"/>
      <c r="M118" s="334"/>
      <c r="N118" s="334"/>
      <c r="O118" s="334"/>
      <c r="P118" s="334"/>
      <c r="Q118" s="334"/>
      <c r="R118" s="334"/>
      <c r="S118" s="334"/>
      <c r="T118" s="334"/>
      <c r="U118" s="334"/>
      <c r="V118" s="334"/>
      <c r="W118" s="334"/>
      <c r="X118" s="334"/>
      <c r="Y118" s="334"/>
    </row>
    <row r="119" spans="1:25">
      <c r="A119" s="334"/>
      <c r="B119" s="334"/>
      <c r="C119" s="334"/>
      <c r="D119" s="334"/>
      <c r="E119" s="334"/>
      <c r="F119" s="334"/>
      <c r="G119" s="334"/>
      <c r="H119" s="334"/>
      <c r="I119" s="334"/>
      <c r="J119" s="334"/>
      <c r="K119" s="334"/>
      <c r="L119" s="334"/>
      <c r="M119" s="334"/>
      <c r="N119" s="334"/>
      <c r="O119" s="334"/>
      <c r="P119" s="334"/>
      <c r="Q119" s="334"/>
      <c r="R119" s="334"/>
      <c r="S119" s="334"/>
      <c r="T119" s="334"/>
      <c r="U119" s="334"/>
      <c r="V119" s="334"/>
      <c r="W119" s="334"/>
      <c r="X119" s="334"/>
      <c r="Y119" s="334"/>
    </row>
    <row r="120" spans="1:25">
      <c r="A120" s="334"/>
      <c r="B120" s="334"/>
      <c r="C120" s="334"/>
      <c r="D120" s="334"/>
      <c r="E120" s="334"/>
      <c r="F120" s="334"/>
      <c r="G120" s="334"/>
      <c r="H120" s="334"/>
      <c r="I120" s="334"/>
      <c r="J120" s="334"/>
      <c r="K120" s="334"/>
      <c r="L120" s="334"/>
      <c r="M120" s="334"/>
      <c r="N120" s="334"/>
      <c r="O120" s="334"/>
      <c r="P120" s="334"/>
      <c r="Q120" s="334"/>
      <c r="R120" s="334"/>
      <c r="S120" s="334"/>
      <c r="T120" s="334"/>
      <c r="U120" s="334"/>
      <c r="V120" s="334"/>
      <c r="W120" s="334"/>
      <c r="X120" s="334"/>
      <c r="Y120" s="334"/>
    </row>
    <row r="121" spans="1:25">
      <c r="A121" s="334"/>
      <c r="B121" s="334"/>
      <c r="C121" s="334"/>
      <c r="D121" s="334"/>
      <c r="E121" s="334"/>
      <c r="F121" s="334"/>
      <c r="G121" s="334"/>
      <c r="H121" s="334"/>
      <c r="I121" s="334"/>
      <c r="J121" s="334"/>
      <c r="K121" s="334"/>
      <c r="L121" s="334"/>
      <c r="M121" s="334"/>
      <c r="N121" s="334"/>
      <c r="O121" s="334"/>
      <c r="P121" s="334"/>
      <c r="Q121" s="334"/>
      <c r="R121" s="334"/>
      <c r="S121" s="334"/>
      <c r="T121" s="334"/>
      <c r="U121" s="334"/>
      <c r="V121" s="334"/>
      <c r="W121" s="334"/>
      <c r="X121" s="334"/>
      <c r="Y121" s="334"/>
    </row>
    <row r="122" spans="1:25">
      <c r="A122" s="334"/>
      <c r="B122" s="334"/>
      <c r="C122" s="334"/>
      <c r="D122" s="334"/>
      <c r="E122" s="334"/>
      <c r="F122" s="334"/>
      <c r="G122" s="334"/>
      <c r="H122" s="334"/>
      <c r="I122" s="334"/>
      <c r="J122" s="334"/>
      <c r="K122" s="334"/>
      <c r="L122" s="334"/>
      <c r="M122" s="334"/>
      <c r="N122" s="334"/>
      <c r="O122" s="334"/>
      <c r="P122" s="334"/>
      <c r="Q122" s="334"/>
      <c r="R122" s="334"/>
      <c r="S122" s="334"/>
      <c r="T122" s="334"/>
      <c r="U122" s="334"/>
      <c r="V122" s="334"/>
      <c r="W122" s="334"/>
      <c r="X122" s="334"/>
      <c r="Y122" s="334"/>
    </row>
    <row r="123" spans="1:25">
      <c r="A123" s="334"/>
      <c r="B123" s="334"/>
      <c r="C123" s="334"/>
      <c r="D123" s="334"/>
      <c r="E123" s="334"/>
      <c r="F123" s="334"/>
      <c r="G123" s="334"/>
      <c r="H123" s="334"/>
      <c r="I123" s="334"/>
      <c r="J123" s="334"/>
      <c r="K123" s="334"/>
      <c r="L123" s="334"/>
      <c r="M123" s="334"/>
      <c r="N123" s="334"/>
      <c r="O123" s="334"/>
      <c r="P123" s="334"/>
      <c r="Q123" s="334"/>
      <c r="R123" s="334"/>
      <c r="S123" s="334"/>
      <c r="T123" s="334"/>
      <c r="U123" s="334"/>
      <c r="V123" s="334"/>
      <c r="W123" s="334"/>
      <c r="X123" s="334"/>
      <c r="Y123" s="334"/>
    </row>
    <row r="124" spans="1:25">
      <c r="A124" s="334"/>
      <c r="B124" s="334"/>
      <c r="C124" s="334"/>
      <c r="D124" s="334"/>
      <c r="E124" s="334"/>
      <c r="F124" s="334"/>
      <c r="G124" s="334"/>
      <c r="H124" s="334"/>
      <c r="I124" s="334"/>
      <c r="J124" s="334"/>
      <c r="K124" s="334"/>
      <c r="L124" s="334"/>
      <c r="M124" s="334"/>
      <c r="N124" s="334"/>
      <c r="O124" s="334"/>
      <c r="P124" s="334"/>
      <c r="Q124" s="334"/>
      <c r="R124" s="334"/>
      <c r="S124" s="334"/>
      <c r="T124" s="334"/>
      <c r="U124" s="334"/>
      <c r="V124" s="334"/>
      <c r="W124" s="334"/>
      <c r="X124" s="334"/>
      <c r="Y124" s="334"/>
    </row>
    <row r="125" spans="1:25">
      <c r="A125" s="334"/>
      <c r="B125" s="334"/>
      <c r="C125" s="334"/>
      <c r="D125" s="334"/>
      <c r="E125" s="334"/>
      <c r="F125" s="334"/>
      <c r="G125" s="334"/>
      <c r="H125" s="334"/>
      <c r="I125" s="334"/>
      <c r="J125" s="334"/>
      <c r="K125" s="334"/>
      <c r="L125" s="334"/>
      <c r="M125" s="334"/>
      <c r="N125" s="334"/>
      <c r="O125" s="334"/>
      <c r="P125" s="334"/>
      <c r="Q125" s="334"/>
      <c r="R125" s="334"/>
      <c r="S125" s="334"/>
      <c r="T125" s="334"/>
      <c r="U125" s="334"/>
      <c r="V125" s="334"/>
      <c r="W125" s="334"/>
      <c r="X125" s="334"/>
      <c r="Y125" s="334"/>
    </row>
    <row r="126" spans="1:25">
      <c r="A126" s="334"/>
      <c r="B126" s="334"/>
      <c r="C126" s="334"/>
      <c r="D126" s="334"/>
      <c r="E126" s="334"/>
      <c r="F126" s="334"/>
      <c r="G126" s="334"/>
      <c r="H126" s="334"/>
      <c r="I126" s="334"/>
      <c r="J126" s="334"/>
      <c r="K126" s="334"/>
      <c r="L126" s="334"/>
      <c r="M126" s="334"/>
      <c r="N126" s="334"/>
      <c r="O126" s="334"/>
      <c r="P126" s="334"/>
      <c r="Q126" s="334"/>
      <c r="R126" s="334"/>
      <c r="S126" s="334"/>
      <c r="T126" s="334"/>
      <c r="U126" s="334"/>
      <c r="V126" s="334"/>
      <c r="W126" s="334"/>
      <c r="X126" s="334"/>
      <c r="Y126" s="334"/>
    </row>
    <row r="127" spans="1:25">
      <c r="A127" s="334"/>
      <c r="B127" s="334"/>
      <c r="C127" s="334"/>
      <c r="D127" s="334"/>
      <c r="E127" s="334"/>
      <c r="F127" s="334"/>
      <c r="G127" s="334"/>
      <c r="H127" s="334"/>
      <c r="I127" s="334"/>
      <c r="J127" s="334"/>
      <c r="K127" s="334"/>
      <c r="L127" s="334"/>
      <c r="M127" s="334"/>
      <c r="N127" s="334"/>
      <c r="O127" s="334"/>
      <c r="P127" s="334"/>
      <c r="Q127" s="334"/>
      <c r="R127" s="334"/>
      <c r="S127" s="334"/>
      <c r="T127" s="334"/>
      <c r="U127" s="334"/>
      <c r="V127" s="334"/>
      <c r="W127" s="334"/>
      <c r="X127" s="334"/>
      <c r="Y127" s="334"/>
    </row>
    <row r="128" spans="1:25">
      <c r="A128" s="334"/>
      <c r="B128" s="334"/>
      <c r="C128" s="334"/>
      <c r="D128" s="334"/>
      <c r="E128" s="334"/>
      <c r="F128" s="334"/>
      <c r="G128" s="334"/>
      <c r="H128" s="334"/>
      <c r="I128" s="334"/>
      <c r="J128" s="334"/>
      <c r="K128" s="334"/>
      <c r="L128" s="334"/>
      <c r="M128" s="334"/>
      <c r="N128" s="334"/>
      <c r="O128" s="334"/>
      <c r="P128" s="334"/>
      <c r="Q128" s="334"/>
      <c r="R128" s="334"/>
      <c r="S128" s="334"/>
      <c r="T128" s="334"/>
      <c r="U128" s="334"/>
      <c r="V128" s="334"/>
      <c r="W128" s="334"/>
      <c r="X128" s="334"/>
      <c r="Y128" s="334"/>
    </row>
    <row r="129" spans="1:25">
      <c r="A129" s="334"/>
      <c r="B129" s="334"/>
      <c r="C129" s="334"/>
      <c r="D129" s="334"/>
      <c r="E129" s="334"/>
      <c r="F129" s="334"/>
      <c r="G129" s="334"/>
      <c r="H129" s="334"/>
      <c r="I129" s="334"/>
      <c r="J129" s="334"/>
      <c r="K129" s="334"/>
      <c r="L129" s="334"/>
      <c r="M129" s="334"/>
      <c r="N129" s="334"/>
      <c r="O129" s="334"/>
      <c r="P129" s="334"/>
      <c r="Q129" s="334"/>
      <c r="R129" s="334"/>
      <c r="S129" s="334"/>
      <c r="T129" s="334"/>
      <c r="U129" s="334"/>
      <c r="V129" s="334"/>
      <c r="W129" s="334"/>
      <c r="X129" s="334"/>
      <c r="Y129" s="334"/>
    </row>
    <row r="130" spans="1:25">
      <c r="A130" s="334"/>
      <c r="B130" s="334"/>
      <c r="C130" s="334"/>
      <c r="D130" s="334"/>
      <c r="E130" s="334"/>
      <c r="F130" s="334"/>
      <c r="G130" s="334"/>
      <c r="H130" s="334"/>
      <c r="I130" s="334"/>
      <c r="J130" s="334"/>
      <c r="K130" s="334"/>
      <c r="L130" s="334"/>
      <c r="M130" s="334"/>
      <c r="N130" s="334"/>
      <c r="O130" s="334"/>
      <c r="P130" s="334"/>
      <c r="Q130" s="334"/>
      <c r="R130" s="334"/>
      <c r="S130" s="334"/>
      <c r="T130" s="334"/>
      <c r="U130" s="334"/>
      <c r="V130" s="334"/>
      <c r="W130" s="334"/>
      <c r="X130" s="334"/>
      <c r="Y130" s="334"/>
    </row>
    <row r="131" spans="1:25">
      <c r="A131" s="334"/>
      <c r="B131" s="334"/>
      <c r="C131" s="334"/>
      <c r="D131" s="334"/>
      <c r="E131" s="334"/>
      <c r="F131" s="334"/>
      <c r="G131" s="334"/>
      <c r="H131" s="334"/>
      <c r="I131" s="334"/>
      <c r="J131" s="334"/>
      <c r="K131" s="334"/>
      <c r="L131" s="334"/>
      <c r="M131" s="334"/>
      <c r="N131" s="334"/>
      <c r="O131" s="334"/>
      <c r="P131" s="334"/>
      <c r="Q131" s="334"/>
      <c r="R131" s="334"/>
      <c r="S131" s="334"/>
      <c r="T131" s="334"/>
      <c r="U131" s="334"/>
      <c r="V131" s="334"/>
      <c r="W131" s="334"/>
      <c r="X131" s="334"/>
      <c r="Y131" s="334"/>
    </row>
    <row r="132" spans="1:25">
      <c r="A132" s="334"/>
      <c r="B132" s="334"/>
      <c r="C132" s="334"/>
      <c r="D132" s="334"/>
      <c r="E132" s="334"/>
      <c r="F132" s="334"/>
      <c r="G132" s="334"/>
      <c r="H132" s="334"/>
      <c r="I132" s="334"/>
      <c r="J132" s="334"/>
      <c r="K132" s="334"/>
      <c r="L132" s="334"/>
      <c r="M132" s="334"/>
      <c r="N132" s="334"/>
      <c r="O132" s="334"/>
      <c r="P132" s="334"/>
      <c r="Q132" s="334"/>
      <c r="R132" s="334"/>
      <c r="S132" s="334"/>
      <c r="T132" s="334"/>
      <c r="U132" s="334"/>
      <c r="V132" s="334"/>
      <c r="W132" s="334"/>
      <c r="X132" s="334"/>
      <c r="Y132" s="334"/>
    </row>
    <row r="133" spans="1:25">
      <c r="A133" s="334"/>
      <c r="B133" s="334"/>
      <c r="C133" s="334"/>
      <c r="D133" s="334"/>
      <c r="E133" s="334"/>
      <c r="F133" s="334"/>
      <c r="G133" s="334"/>
      <c r="H133" s="334"/>
      <c r="I133" s="334"/>
      <c r="J133" s="334"/>
      <c r="K133" s="334"/>
      <c r="L133" s="334"/>
      <c r="M133" s="334"/>
      <c r="N133" s="334"/>
      <c r="O133" s="334"/>
      <c r="P133" s="334"/>
      <c r="Q133" s="334"/>
      <c r="R133" s="334"/>
      <c r="S133" s="334"/>
      <c r="T133" s="334"/>
      <c r="U133" s="334"/>
      <c r="V133" s="334"/>
      <c r="W133" s="334"/>
      <c r="X133" s="334"/>
      <c r="Y133" s="334"/>
    </row>
    <row r="134" spans="1:25">
      <c r="A134" s="334"/>
      <c r="B134" s="334"/>
      <c r="C134" s="334"/>
      <c r="D134" s="334"/>
      <c r="E134" s="334"/>
      <c r="F134" s="334"/>
      <c r="G134" s="334"/>
      <c r="H134" s="334"/>
      <c r="I134" s="334"/>
      <c r="J134" s="334"/>
      <c r="K134" s="334"/>
      <c r="L134" s="334"/>
      <c r="M134" s="334"/>
      <c r="N134" s="334"/>
      <c r="O134" s="334"/>
      <c r="P134" s="334"/>
      <c r="Q134" s="334"/>
      <c r="R134" s="334"/>
      <c r="S134" s="334"/>
      <c r="T134" s="334"/>
      <c r="U134" s="334"/>
      <c r="V134" s="334"/>
      <c r="W134" s="334"/>
      <c r="X134" s="334"/>
      <c r="Y134" s="334"/>
    </row>
    <row r="135" spans="1:25">
      <c r="A135" s="334"/>
      <c r="B135" s="334"/>
      <c r="C135" s="334"/>
      <c r="D135" s="334"/>
      <c r="E135" s="334"/>
      <c r="F135" s="334"/>
      <c r="G135" s="334"/>
      <c r="H135" s="334"/>
      <c r="I135" s="334"/>
      <c r="J135" s="334"/>
      <c r="K135" s="334"/>
      <c r="L135" s="334"/>
      <c r="M135" s="334"/>
      <c r="N135" s="334"/>
      <c r="O135" s="334"/>
      <c r="P135" s="334"/>
      <c r="Q135" s="334"/>
      <c r="R135" s="334"/>
      <c r="S135" s="334"/>
      <c r="T135" s="334"/>
      <c r="U135" s="334"/>
      <c r="V135" s="334"/>
      <c r="W135" s="334"/>
      <c r="X135" s="334"/>
      <c r="Y135" s="334"/>
    </row>
    <row r="136" spans="1:25">
      <c r="A136" s="334"/>
      <c r="B136" s="334"/>
      <c r="C136" s="334"/>
      <c r="D136" s="334"/>
      <c r="E136" s="334"/>
      <c r="F136" s="334"/>
      <c r="G136" s="334"/>
      <c r="H136" s="334"/>
      <c r="I136" s="334"/>
      <c r="J136" s="334"/>
      <c r="K136" s="334"/>
      <c r="L136" s="334"/>
      <c r="M136" s="334"/>
      <c r="N136" s="334"/>
      <c r="O136" s="334"/>
      <c r="P136" s="334"/>
      <c r="Q136" s="334"/>
      <c r="R136" s="334"/>
      <c r="S136" s="334"/>
      <c r="T136" s="334"/>
      <c r="U136" s="334"/>
      <c r="V136" s="334"/>
      <c r="W136" s="334"/>
      <c r="X136" s="334"/>
      <c r="Y136" s="334"/>
    </row>
    <row r="137" spans="1:25">
      <c r="A137" s="334"/>
      <c r="B137" s="334"/>
      <c r="C137" s="334"/>
      <c r="D137" s="334"/>
      <c r="E137" s="334"/>
      <c r="F137" s="334"/>
      <c r="G137" s="334"/>
      <c r="H137" s="334"/>
      <c r="I137" s="334"/>
      <c r="J137" s="334"/>
      <c r="K137" s="334"/>
      <c r="L137" s="334"/>
      <c r="M137" s="334"/>
      <c r="N137" s="334"/>
      <c r="O137" s="334"/>
      <c r="P137" s="334"/>
      <c r="Q137" s="334"/>
      <c r="R137" s="334"/>
      <c r="S137" s="334"/>
      <c r="T137" s="334"/>
      <c r="U137" s="334"/>
      <c r="V137" s="334"/>
      <c r="W137" s="334"/>
      <c r="X137" s="334"/>
      <c r="Y137" s="334"/>
    </row>
    <row r="138" spans="1:25">
      <c r="A138" s="334"/>
      <c r="B138" s="334"/>
      <c r="C138" s="334"/>
      <c r="D138" s="334"/>
      <c r="E138" s="334"/>
      <c r="F138" s="334"/>
      <c r="G138" s="334"/>
      <c r="H138" s="334"/>
      <c r="I138" s="334"/>
      <c r="J138" s="334"/>
      <c r="K138" s="334"/>
      <c r="L138" s="334"/>
      <c r="M138" s="334"/>
      <c r="N138" s="334"/>
      <c r="O138" s="334"/>
      <c r="P138" s="334"/>
      <c r="Q138" s="334"/>
      <c r="R138" s="334"/>
      <c r="S138" s="334"/>
      <c r="T138" s="334"/>
      <c r="U138" s="334"/>
      <c r="V138" s="334"/>
      <c r="W138" s="334"/>
      <c r="X138" s="334"/>
      <c r="Y138" s="334"/>
    </row>
    <row r="139" spans="1:25">
      <c r="A139" s="334"/>
      <c r="B139" s="334"/>
      <c r="C139" s="334"/>
      <c r="D139" s="334"/>
      <c r="E139" s="334"/>
      <c r="F139" s="334"/>
      <c r="G139" s="334"/>
      <c r="H139" s="334"/>
      <c r="I139" s="334"/>
      <c r="J139" s="334"/>
      <c r="K139" s="334"/>
      <c r="L139" s="334"/>
      <c r="M139" s="334"/>
      <c r="N139" s="334"/>
      <c r="O139" s="334"/>
      <c r="P139" s="334"/>
      <c r="Q139" s="334"/>
      <c r="R139" s="334"/>
      <c r="S139" s="334"/>
      <c r="T139" s="334"/>
      <c r="U139" s="334"/>
      <c r="V139" s="334"/>
      <c r="W139" s="334"/>
      <c r="X139" s="334"/>
      <c r="Y139" s="334"/>
    </row>
    <row r="140" spans="1:25">
      <c r="A140" s="334"/>
      <c r="B140" s="334"/>
      <c r="C140" s="334"/>
      <c r="D140" s="334"/>
      <c r="E140" s="334"/>
      <c r="F140" s="334"/>
      <c r="G140" s="334"/>
      <c r="H140" s="334"/>
      <c r="I140" s="334"/>
      <c r="J140" s="334"/>
      <c r="K140" s="334"/>
      <c r="L140" s="334"/>
      <c r="M140" s="334"/>
      <c r="N140" s="334"/>
      <c r="O140" s="334"/>
      <c r="P140" s="334"/>
      <c r="Q140" s="334"/>
      <c r="R140" s="334"/>
      <c r="S140" s="334"/>
      <c r="T140" s="334"/>
      <c r="U140" s="334"/>
      <c r="V140" s="334"/>
      <c r="W140" s="334"/>
      <c r="X140" s="334"/>
      <c r="Y140" s="334"/>
    </row>
    <row r="141" spans="1:25">
      <c r="A141" s="334"/>
      <c r="B141" s="334"/>
      <c r="C141" s="334"/>
      <c r="D141" s="334"/>
      <c r="E141" s="334"/>
      <c r="F141" s="334"/>
      <c r="G141" s="334"/>
      <c r="H141" s="334"/>
      <c r="I141" s="334"/>
      <c r="J141" s="334"/>
      <c r="K141" s="334"/>
      <c r="L141" s="334"/>
      <c r="M141" s="334"/>
      <c r="N141" s="334"/>
      <c r="O141" s="334"/>
      <c r="P141" s="334"/>
      <c r="Q141" s="334"/>
      <c r="R141" s="334"/>
      <c r="S141" s="334"/>
      <c r="T141" s="334"/>
      <c r="U141" s="334"/>
      <c r="V141" s="334"/>
      <c r="W141" s="334"/>
      <c r="X141" s="334"/>
      <c r="Y141" s="334"/>
    </row>
    <row r="142" spans="1:25">
      <c r="A142" s="334"/>
      <c r="B142" s="334"/>
      <c r="C142" s="334"/>
      <c r="D142" s="334"/>
      <c r="E142" s="334"/>
      <c r="F142" s="334"/>
      <c r="G142" s="334"/>
      <c r="H142" s="334"/>
      <c r="I142" s="334"/>
      <c r="J142" s="334"/>
      <c r="K142" s="334"/>
      <c r="L142" s="334"/>
      <c r="M142" s="334"/>
      <c r="N142" s="334"/>
      <c r="O142" s="334"/>
      <c r="P142" s="334"/>
      <c r="Q142" s="334"/>
      <c r="R142" s="334"/>
      <c r="S142" s="334"/>
      <c r="T142" s="334"/>
      <c r="U142" s="334"/>
      <c r="V142" s="334"/>
      <c r="W142" s="334"/>
      <c r="X142" s="334"/>
      <c r="Y142" s="334"/>
    </row>
    <row r="143" spans="1:25">
      <c r="A143" s="334"/>
      <c r="B143" s="334"/>
      <c r="C143" s="334"/>
      <c r="D143" s="334"/>
      <c r="E143" s="334"/>
      <c r="F143" s="334"/>
      <c r="G143" s="334"/>
      <c r="H143" s="334"/>
      <c r="I143" s="334"/>
      <c r="J143" s="334"/>
      <c r="K143" s="334"/>
      <c r="L143" s="334"/>
      <c r="M143" s="334"/>
      <c r="N143" s="334"/>
      <c r="O143" s="334"/>
      <c r="P143" s="334"/>
      <c r="Q143" s="334"/>
      <c r="R143" s="334"/>
      <c r="S143" s="334"/>
      <c r="T143" s="334"/>
      <c r="U143" s="334"/>
      <c r="V143" s="334"/>
      <c r="W143" s="334"/>
      <c r="X143" s="334"/>
      <c r="Y143" s="334"/>
    </row>
    <row r="144" spans="1:25">
      <c r="A144" s="334"/>
      <c r="B144" s="334"/>
      <c r="C144" s="334"/>
      <c r="D144" s="334"/>
      <c r="E144" s="334"/>
      <c r="F144" s="334"/>
      <c r="G144" s="334"/>
      <c r="H144" s="334"/>
      <c r="I144" s="334"/>
      <c r="J144" s="334"/>
      <c r="K144" s="334"/>
      <c r="L144" s="334"/>
      <c r="M144" s="334"/>
      <c r="N144" s="334"/>
      <c r="O144" s="334"/>
      <c r="P144" s="334"/>
      <c r="Q144" s="334"/>
      <c r="R144" s="334"/>
      <c r="S144" s="334"/>
      <c r="T144" s="334"/>
      <c r="U144" s="334"/>
      <c r="V144" s="334"/>
      <c r="W144" s="334"/>
      <c r="X144" s="334"/>
      <c r="Y144" s="334"/>
    </row>
    <row r="145" spans="1:25">
      <c r="A145" s="334"/>
      <c r="B145" s="334"/>
      <c r="C145" s="334"/>
      <c r="D145" s="334"/>
      <c r="E145" s="334"/>
      <c r="F145" s="334"/>
      <c r="G145" s="334"/>
      <c r="H145" s="334"/>
      <c r="I145" s="334"/>
      <c r="J145" s="334"/>
      <c r="K145" s="334"/>
      <c r="L145" s="334"/>
      <c r="M145" s="334"/>
      <c r="N145" s="334"/>
      <c r="O145" s="334"/>
      <c r="P145" s="334"/>
      <c r="Q145" s="334"/>
      <c r="R145" s="334"/>
      <c r="S145" s="334"/>
      <c r="T145" s="334"/>
      <c r="U145" s="334"/>
      <c r="V145" s="334"/>
      <c r="W145" s="334"/>
      <c r="X145" s="334"/>
      <c r="Y145" s="334"/>
    </row>
    <row r="146" spans="1:25">
      <c r="A146" s="334"/>
      <c r="B146" s="334"/>
      <c r="C146" s="334"/>
      <c r="D146" s="334"/>
      <c r="E146" s="334"/>
      <c r="F146" s="334"/>
      <c r="G146" s="334"/>
      <c r="H146" s="334"/>
      <c r="I146" s="334"/>
      <c r="J146" s="334"/>
      <c r="K146" s="334"/>
      <c r="L146" s="334"/>
      <c r="M146" s="334"/>
      <c r="N146" s="334"/>
      <c r="O146" s="334"/>
      <c r="P146" s="334"/>
      <c r="Q146" s="334"/>
      <c r="R146" s="334"/>
      <c r="S146" s="334"/>
      <c r="T146" s="334"/>
      <c r="U146" s="334"/>
      <c r="V146" s="334"/>
      <c r="W146" s="334"/>
      <c r="X146" s="334"/>
      <c r="Y146" s="334"/>
    </row>
    <row r="147" spans="1:25">
      <c r="A147" s="334"/>
      <c r="B147" s="334"/>
      <c r="C147" s="334"/>
      <c r="D147" s="334"/>
      <c r="E147" s="334"/>
      <c r="F147" s="334"/>
      <c r="G147" s="334"/>
      <c r="H147" s="334"/>
      <c r="I147" s="334"/>
      <c r="J147" s="334"/>
      <c r="K147" s="334"/>
      <c r="L147" s="334"/>
      <c r="M147" s="334"/>
      <c r="N147" s="334"/>
      <c r="O147" s="334"/>
      <c r="P147" s="334"/>
      <c r="Q147" s="334"/>
      <c r="R147" s="334"/>
      <c r="S147" s="334"/>
      <c r="T147" s="334"/>
      <c r="U147" s="334"/>
      <c r="V147" s="334"/>
      <c r="W147" s="334"/>
      <c r="X147" s="334"/>
      <c r="Y147" s="334"/>
    </row>
    <row r="148" spans="1:25">
      <c r="A148" s="334"/>
      <c r="B148" s="334"/>
      <c r="C148" s="334"/>
      <c r="D148" s="334"/>
      <c r="E148" s="334"/>
      <c r="F148" s="334"/>
      <c r="G148" s="334"/>
      <c r="H148" s="334"/>
      <c r="I148" s="334"/>
      <c r="J148" s="334"/>
      <c r="K148" s="334"/>
      <c r="L148" s="334"/>
      <c r="M148" s="334"/>
      <c r="N148" s="334"/>
      <c r="O148" s="334"/>
      <c r="P148" s="334"/>
      <c r="Q148" s="334"/>
      <c r="R148" s="334"/>
      <c r="S148" s="334"/>
      <c r="T148" s="334"/>
      <c r="U148" s="334"/>
      <c r="V148" s="334"/>
      <c r="W148" s="334"/>
      <c r="X148" s="334"/>
      <c r="Y148" s="334"/>
    </row>
    <row r="149" spans="1:25">
      <c r="A149" s="334"/>
      <c r="B149" s="334"/>
      <c r="C149" s="334"/>
      <c r="D149" s="334"/>
      <c r="E149" s="334"/>
      <c r="F149" s="334"/>
      <c r="G149" s="334"/>
      <c r="H149" s="334"/>
      <c r="I149" s="334"/>
      <c r="J149" s="334"/>
      <c r="K149" s="334"/>
      <c r="L149" s="334"/>
      <c r="M149" s="334"/>
      <c r="N149" s="334"/>
      <c r="O149" s="334"/>
      <c r="P149" s="334"/>
      <c r="Q149" s="334"/>
      <c r="R149" s="334"/>
      <c r="S149" s="334"/>
      <c r="T149" s="334"/>
      <c r="U149" s="334"/>
      <c r="V149" s="334"/>
      <c r="W149" s="334"/>
      <c r="X149" s="334"/>
      <c r="Y149" s="334"/>
    </row>
    <row r="150" spans="1:25">
      <c r="A150" s="334"/>
      <c r="B150" s="334"/>
      <c r="C150" s="334"/>
      <c r="D150" s="334"/>
      <c r="E150" s="334"/>
      <c r="F150" s="334"/>
      <c r="G150" s="334"/>
      <c r="H150" s="334"/>
      <c r="I150" s="334"/>
      <c r="J150" s="334"/>
      <c r="K150" s="334"/>
      <c r="L150" s="334"/>
      <c r="M150" s="334"/>
      <c r="N150" s="334"/>
      <c r="O150" s="334"/>
      <c r="P150" s="334"/>
      <c r="Q150" s="334"/>
      <c r="R150" s="334"/>
      <c r="S150" s="334"/>
      <c r="T150" s="334"/>
      <c r="U150" s="334"/>
      <c r="V150" s="334"/>
      <c r="W150" s="334"/>
      <c r="X150" s="334"/>
      <c r="Y150" s="334"/>
    </row>
    <row r="151" spans="1:25">
      <c r="A151" s="334"/>
      <c r="B151" s="334"/>
      <c r="C151" s="334"/>
      <c r="D151" s="334"/>
      <c r="E151" s="334"/>
      <c r="F151" s="334"/>
      <c r="G151" s="334"/>
      <c r="H151" s="334"/>
      <c r="I151" s="334"/>
      <c r="J151" s="334"/>
      <c r="K151" s="334"/>
      <c r="L151" s="334"/>
      <c r="M151" s="334"/>
      <c r="N151" s="334"/>
      <c r="O151" s="334"/>
      <c r="P151" s="334"/>
      <c r="Q151" s="334"/>
      <c r="R151" s="334"/>
      <c r="S151" s="334"/>
      <c r="T151" s="334"/>
      <c r="U151" s="334"/>
      <c r="V151" s="334"/>
      <c r="W151" s="334"/>
      <c r="X151" s="334"/>
      <c r="Y151" s="334"/>
    </row>
    <row r="152" spans="1:25">
      <c r="A152" s="334"/>
      <c r="B152" s="334"/>
      <c r="C152" s="334"/>
      <c r="D152" s="334"/>
      <c r="E152" s="334"/>
      <c r="F152" s="334"/>
      <c r="G152" s="334"/>
      <c r="H152" s="334"/>
      <c r="I152" s="334"/>
      <c r="J152" s="334"/>
      <c r="K152" s="334"/>
      <c r="L152" s="334"/>
      <c r="M152" s="334"/>
      <c r="N152" s="334"/>
      <c r="O152" s="334"/>
      <c r="P152" s="334"/>
      <c r="Q152" s="334"/>
      <c r="R152" s="334"/>
      <c r="S152" s="334"/>
      <c r="T152" s="334"/>
      <c r="U152" s="334"/>
      <c r="V152" s="334"/>
      <c r="W152" s="334"/>
      <c r="X152" s="334"/>
      <c r="Y152" s="334"/>
    </row>
    <row r="153" spans="1:25">
      <c r="A153" s="334"/>
      <c r="B153" s="334"/>
      <c r="C153" s="334"/>
      <c r="D153" s="334"/>
      <c r="E153" s="334"/>
      <c r="F153" s="334"/>
      <c r="G153" s="334"/>
      <c r="H153" s="334"/>
      <c r="I153" s="334"/>
      <c r="J153" s="334"/>
      <c r="K153" s="334"/>
      <c r="L153" s="334"/>
      <c r="M153" s="334"/>
      <c r="N153" s="334"/>
      <c r="O153" s="334"/>
      <c r="P153" s="334"/>
      <c r="Q153" s="334"/>
      <c r="R153" s="334"/>
      <c r="S153" s="334"/>
      <c r="T153" s="334"/>
      <c r="U153" s="334"/>
      <c r="V153" s="334"/>
      <c r="W153" s="334"/>
      <c r="X153" s="334"/>
      <c r="Y153" s="334"/>
    </row>
    <row r="154" spans="1:25">
      <c r="A154" s="334"/>
      <c r="B154" s="334"/>
      <c r="C154" s="334"/>
      <c r="D154" s="334"/>
      <c r="E154" s="334"/>
      <c r="F154" s="334"/>
      <c r="G154" s="334"/>
      <c r="H154" s="334"/>
      <c r="I154" s="334"/>
      <c r="J154" s="334"/>
      <c r="K154" s="334"/>
      <c r="L154" s="334"/>
      <c r="M154" s="334"/>
      <c r="N154" s="334"/>
      <c r="O154" s="334"/>
      <c r="P154" s="334"/>
      <c r="Q154" s="334"/>
      <c r="R154" s="334"/>
      <c r="S154" s="334"/>
      <c r="T154" s="334"/>
      <c r="U154" s="334"/>
      <c r="V154" s="334"/>
      <c r="W154" s="334"/>
      <c r="X154" s="334"/>
      <c r="Y154" s="334"/>
    </row>
    <row r="155" spans="1:25">
      <c r="A155" s="334"/>
      <c r="B155" s="334"/>
      <c r="C155" s="334"/>
      <c r="D155" s="334"/>
      <c r="E155" s="334"/>
      <c r="F155" s="334"/>
      <c r="G155" s="334"/>
      <c r="H155" s="334"/>
      <c r="I155" s="334"/>
      <c r="J155" s="334"/>
      <c r="K155" s="334"/>
      <c r="L155" s="334"/>
      <c r="M155" s="334"/>
      <c r="N155" s="334"/>
      <c r="O155" s="334"/>
      <c r="P155" s="334"/>
      <c r="Q155" s="334"/>
      <c r="R155" s="334"/>
      <c r="S155" s="334"/>
      <c r="T155" s="334"/>
      <c r="U155" s="334"/>
      <c r="V155" s="334"/>
      <c r="W155" s="334"/>
      <c r="X155" s="334"/>
      <c r="Y155" s="334"/>
    </row>
    <row r="156" spans="1:25">
      <c r="A156" s="334"/>
      <c r="B156" s="334"/>
      <c r="C156" s="334"/>
      <c r="D156" s="334"/>
      <c r="E156" s="334"/>
      <c r="F156" s="334"/>
      <c r="G156" s="334"/>
      <c r="H156" s="334"/>
      <c r="I156" s="334"/>
      <c r="J156" s="334"/>
      <c r="K156" s="334"/>
      <c r="L156" s="334"/>
      <c r="M156" s="334"/>
      <c r="N156" s="334"/>
      <c r="O156" s="334"/>
      <c r="P156" s="334"/>
      <c r="Q156" s="334"/>
      <c r="R156" s="334"/>
      <c r="S156" s="334"/>
      <c r="T156" s="334"/>
      <c r="U156" s="334"/>
      <c r="V156" s="334"/>
      <c r="W156" s="334"/>
      <c r="X156" s="334"/>
      <c r="Y156" s="334"/>
    </row>
    <row r="157" spans="1:25">
      <c r="A157" s="334"/>
      <c r="B157" s="334"/>
      <c r="C157" s="334"/>
      <c r="D157" s="334"/>
      <c r="E157" s="334"/>
      <c r="F157" s="334"/>
      <c r="G157" s="334"/>
      <c r="H157" s="334"/>
      <c r="I157" s="334"/>
      <c r="J157" s="334"/>
      <c r="K157" s="334"/>
      <c r="L157" s="334"/>
      <c r="M157" s="334"/>
      <c r="N157" s="334"/>
      <c r="O157" s="334"/>
      <c r="P157" s="334"/>
      <c r="Q157" s="334"/>
      <c r="R157" s="334"/>
      <c r="S157" s="334"/>
      <c r="T157" s="334"/>
      <c r="U157" s="334"/>
      <c r="V157" s="334"/>
      <c r="W157" s="334"/>
      <c r="X157" s="334"/>
      <c r="Y157" s="334"/>
    </row>
    <row r="158" spans="1:25">
      <c r="A158" s="334"/>
      <c r="B158" s="334"/>
      <c r="C158" s="334"/>
      <c r="D158" s="334"/>
      <c r="E158" s="334"/>
      <c r="F158" s="334"/>
      <c r="G158" s="334"/>
      <c r="H158" s="334"/>
      <c r="I158" s="334"/>
      <c r="J158" s="334"/>
      <c r="K158" s="334"/>
      <c r="L158" s="334"/>
      <c r="M158" s="334"/>
      <c r="N158" s="334"/>
      <c r="O158" s="334"/>
      <c r="P158" s="334"/>
      <c r="Q158" s="334"/>
      <c r="R158" s="334"/>
      <c r="S158" s="334"/>
      <c r="T158" s="334"/>
      <c r="U158" s="334"/>
      <c r="V158" s="334"/>
      <c r="W158" s="334"/>
      <c r="X158" s="334"/>
      <c r="Y158" s="334"/>
    </row>
    <row r="159" spans="1:25">
      <c r="A159" s="334"/>
      <c r="B159" s="334"/>
      <c r="C159" s="334"/>
      <c r="D159" s="334"/>
      <c r="E159" s="334"/>
      <c r="F159" s="334"/>
      <c r="G159" s="334"/>
      <c r="H159" s="334"/>
      <c r="I159" s="334"/>
      <c r="J159" s="334"/>
      <c r="K159" s="334"/>
      <c r="L159" s="334"/>
      <c r="M159" s="334"/>
      <c r="N159" s="334"/>
      <c r="O159" s="334"/>
      <c r="P159" s="334"/>
      <c r="Q159" s="334"/>
      <c r="R159" s="334"/>
      <c r="S159" s="334"/>
      <c r="T159" s="334"/>
      <c r="U159" s="334"/>
      <c r="V159" s="334"/>
      <c r="W159" s="334"/>
      <c r="X159" s="334"/>
      <c r="Y159" s="334"/>
    </row>
    <row r="160" spans="1:25">
      <c r="A160" s="334"/>
      <c r="B160" s="334"/>
      <c r="C160" s="334"/>
      <c r="D160" s="334"/>
      <c r="E160" s="334"/>
      <c r="F160" s="334"/>
      <c r="G160" s="334"/>
      <c r="H160" s="334"/>
      <c r="I160" s="334"/>
      <c r="J160" s="334"/>
      <c r="K160" s="334"/>
      <c r="L160" s="334"/>
      <c r="M160" s="334"/>
      <c r="N160" s="334"/>
      <c r="O160" s="334"/>
      <c r="P160" s="334"/>
      <c r="Q160" s="334"/>
      <c r="R160" s="334"/>
      <c r="S160" s="334"/>
      <c r="T160" s="334"/>
      <c r="U160" s="334"/>
      <c r="V160" s="334"/>
      <c r="W160" s="334"/>
      <c r="X160" s="334"/>
      <c r="Y160" s="334"/>
    </row>
    <row r="161" spans="1:25">
      <c r="A161" s="334"/>
      <c r="B161" s="334"/>
      <c r="C161" s="334"/>
      <c r="D161" s="334"/>
      <c r="E161" s="334"/>
      <c r="F161" s="334"/>
      <c r="G161" s="334"/>
      <c r="H161" s="334"/>
      <c r="I161" s="334"/>
      <c r="J161" s="334"/>
      <c r="K161" s="334"/>
      <c r="L161" s="334"/>
      <c r="M161" s="334"/>
      <c r="N161" s="334"/>
      <c r="O161" s="334"/>
      <c r="P161" s="334"/>
      <c r="Q161" s="334"/>
      <c r="R161" s="334"/>
      <c r="S161" s="334"/>
      <c r="T161" s="334"/>
      <c r="U161" s="334"/>
      <c r="V161" s="334"/>
      <c r="W161" s="334"/>
      <c r="X161" s="334"/>
      <c r="Y161" s="334"/>
    </row>
    <row r="162" spans="1:25">
      <c r="A162" s="334"/>
      <c r="B162" s="334"/>
      <c r="C162" s="334"/>
      <c r="D162" s="334"/>
      <c r="E162" s="334"/>
      <c r="F162" s="334"/>
      <c r="G162" s="334"/>
      <c r="H162" s="334"/>
      <c r="I162" s="334"/>
      <c r="J162" s="334"/>
      <c r="K162" s="334"/>
      <c r="L162" s="334"/>
      <c r="M162" s="334"/>
      <c r="N162" s="334"/>
      <c r="O162" s="334"/>
      <c r="P162" s="334"/>
      <c r="Q162" s="334"/>
      <c r="R162" s="334"/>
      <c r="S162" s="334"/>
      <c r="T162" s="334"/>
      <c r="U162" s="334"/>
      <c r="V162" s="334"/>
      <c r="W162" s="334"/>
      <c r="X162" s="334"/>
      <c r="Y162" s="334"/>
    </row>
    <row r="163" spans="1:25">
      <c r="A163" s="334"/>
      <c r="B163" s="334"/>
      <c r="C163" s="334"/>
      <c r="D163" s="334"/>
      <c r="E163" s="334"/>
      <c r="F163" s="334"/>
      <c r="G163" s="334"/>
      <c r="H163" s="334"/>
      <c r="I163" s="334"/>
      <c r="J163" s="334"/>
      <c r="K163" s="334"/>
      <c r="L163" s="334"/>
      <c r="M163" s="334"/>
      <c r="N163" s="334"/>
      <c r="O163" s="334"/>
      <c r="P163" s="334"/>
      <c r="Q163" s="334"/>
      <c r="R163" s="334"/>
      <c r="S163" s="334"/>
      <c r="T163" s="334"/>
      <c r="U163" s="334"/>
      <c r="V163" s="334"/>
      <c r="W163" s="334"/>
      <c r="X163" s="334"/>
      <c r="Y163" s="334"/>
    </row>
    <row r="164" spans="1:25">
      <c r="A164" s="334"/>
      <c r="B164" s="334"/>
      <c r="C164" s="334"/>
      <c r="D164" s="334"/>
      <c r="E164" s="334"/>
      <c r="F164" s="334"/>
      <c r="G164" s="334"/>
      <c r="H164" s="334"/>
      <c r="I164" s="334"/>
      <c r="J164" s="334"/>
      <c r="K164" s="334"/>
      <c r="L164" s="334"/>
      <c r="M164" s="334"/>
      <c r="N164" s="334"/>
      <c r="O164" s="334"/>
      <c r="P164" s="334"/>
      <c r="Q164" s="334"/>
      <c r="R164" s="334"/>
      <c r="S164" s="334"/>
      <c r="T164" s="334"/>
      <c r="U164" s="334"/>
      <c r="V164" s="334"/>
      <c r="W164" s="334"/>
      <c r="X164" s="334"/>
      <c r="Y164" s="334"/>
    </row>
    <row r="165" spans="1:25">
      <c r="A165" s="334"/>
      <c r="B165" s="334"/>
      <c r="C165" s="334"/>
      <c r="D165" s="334"/>
      <c r="E165" s="334"/>
      <c r="F165" s="334"/>
      <c r="G165" s="334"/>
      <c r="H165" s="334"/>
      <c r="I165" s="334"/>
      <c r="J165" s="334"/>
      <c r="K165" s="334"/>
      <c r="L165" s="334"/>
      <c r="M165" s="334"/>
      <c r="N165" s="334"/>
      <c r="O165" s="334"/>
      <c r="P165" s="334"/>
      <c r="Q165" s="334"/>
      <c r="R165" s="334"/>
      <c r="S165" s="334"/>
      <c r="T165" s="334"/>
      <c r="U165" s="334"/>
      <c r="V165" s="334"/>
      <c r="W165" s="334"/>
      <c r="X165" s="334"/>
      <c r="Y165" s="334"/>
    </row>
    <row r="166" spans="1:25">
      <c r="A166" s="334"/>
      <c r="B166" s="334"/>
      <c r="C166" s="334"/>
      <c r="D166" s="334"/>
      <c r="E166" s="334"/>
      <c r="F166" s="334"/>
      <c r="G166" s="334"/>
      <c r="H166" s="334"/>
      <c r="I166" s="334"/>
      <c r="J166" s="334"/>
      <c r="K166" s="334"/>
      <c r="L166" s="334"/>
      <c r="M166" s="334"/>
      <c r="N166" s="334"/>
      <c r="O166" s="334"/>
      <c r="P166" s="334"/>
      <c r="Q166" s="334"/>
      <c r="R166" s="334"/>
      <c r="S166" s="334"/>
      <c r="T166" s="334"/>
      <c r="U166" s="334"/>
      <c r="V166" s="334"/>
      <c r="W166" s="334"/>
      <c r="X166" s="334"/>
      <c r="Y166" s="334"/>
    </row>
    <row r="167" spans="1:25">
      <c r="A167" s="334"/>
      <c r="B167" s="334"/>
      <c r="C167" s="334"/>
      <c r="D167" s="334"/>
      <c r="E167" s="334"/>
      <c r="F167" s="334"/>
      <c r="G167" s="334"/>
      <c r="H167" s="334"/>
      <c r="I167" s="334"/>
      <c r="J167" s="334"/>
      <c r="K167" s="334"/>
      <c r="L167" s="334"/>
      <c r="M167" s="334"/>
      <c r="N167" s="334"/>
      <c r="O167" s="334"/>
      <c r="P167" s="334"/>
      <c r="Q167" s="334"/>
      <c r="R167" s="334"/>
      <c r="S167" s="334"/>
      <c r="T167" s="334"/>
      <c r="U167" s="334"/>
      <c r="V167" s="334"/>
      <c r="W167" s="334"/>
      <c r="X167" s="334"/>
      <c r="Y167" s="334"/>
    </row>
    <row r="168" spans="1:25">
      <c r="A168" s="334"/>
      <c r="B168" s="334"/>
      <c r="C168" s="334"/>
      <c r="D168" s="334"/>
      <c r="E168" s="334"/>
      <c r="F168" s="334"/>
      <c r="G168" s="334"/>
      <c r="H168" s="334"/>
      <c r="I168" s="334"/>
      <c r="J168" s="334"/>
      <c r="K168" s="334"/>
      <c r="L168" s="334"/>
      <c r="M168" s="334"/>
      <c r="N168" s="334"/>
      <c r="O168" s="334"/>
      <c r="P168" s="334"/>
      <c r="Q168" s="334"/>
      <c r="R168" s="334"/>
      <c r="S168" s="334"/>
      <c r="T168" s="334"/>
      <c r="U168" s="334"/>
      <c r="V168" s="334"/>
      <c r="W168" s="334"/>
      <c r="X168" s="334"/>
      <c r="Y168" s="334"/>
    </row>
    <row r="169" spans="1:25">
      <c r="A169" s="334"/>
      <c r="B169" s="334"/>
      <c r="C169" s="334"/>
      <c r="D169" s="334"/>
      <c r="E169" s="334"/>
      <c r="F169" s="334"/>
      <c r="G169" s="334"/>
      <c r="H169" s="334"/>
      <c r="I169" s="334"/>
      <c r="J169" s="334"/>
      <c r="K169" s="334"/>
      <c r="L169" s="334"/>
      <c r="M169" s="334"/>
      <c r="N169" s="334"/>
      <c r="O169" s="334"/>
      <c r="P169" s="334"/>
      <c r="Q169" s="334"/>
      <c r="R169" s="334"/>
      <c r="S169" s="334"/>
      <c r="T169" s="334"/>
      <c r="U169" s="334"/>
      <c r="V169" s="334"/>
      <c r="W169" s="334"/>
      <c r="X169" s="334"/>
      <c r="Y169" s="334"/>
    </row>
    <row r="170" spans="1:25">
      <c r="A170" s="334"/>
      <c r="B170" s="334"/>
      <c r="C170" s="334"/>
      <c r="D170" s="334"/>
      <c r="E170" s="334"/>
      <c r="F170" s="334"/>
      <c r="G170" s="334"/>
      <c r="H170" s="334"/>
      <c r="I170" s="334"/>
      <c r="J170" s="334"/>
      <c r="K170" s="334"/>
      <c r="L170" s="334"/>
      <c r="M170" s="334"/>
      <c r="N170" s="334"/>
      <c r="O170" s="334"/>
      <c r="P170" s="334"/>
      <c r="Q170" s="334"/>
      <c r="R170" s="334"/>
      <c r="S170" s="334"/>
      <c r="T170" s="334"/>
      <c r="U170" s="334"/>
      <c r="V170" s="334"/>
      <c r="W170" s="334"/>
      <c r="X170" s="334"/>
      <c r="Y170" s="334"/>
    </row>
    <row r="171" spans="1:25">
      <c r="A171" s="334"/>
      <c r="B171" s="334"/>
      <c r="C171" s="334"/>
      <c r="D171" s="334"/>
      <c r="E171" s="334"/>
      <c r="F171" s="334"/>
      <c r="G171" s="334"/>
      <c r="H171" s="334"/>
      <c r="I171" s="334"/>
      <c r="J171" s="334"/>
      <c r="K171" s="334"/>
      <c r="L171" s="334"/>
      <c r="M171" s="334"/>
      <c r="N171" s="334"/>
      <c r="O171" s="334"/>
      <c r="P171" s="334"/>
      <c r="Q171" s="334"/>
      <c r="R171" s="334"/>
      <c r="S171" s="334"/>
      <c r="T171" s="334"/>
      <c r="U171" s="334"/>
      <c r="V171" s="334"/>
      <c r="W171" s="334"/>
      <c r="X171" s="334"/>
      <c r="Y171" s="334"/>
    </row>
    <row r="172" spans="1:25">
      <c r="A172" s="334"/>
      <c r="B172" s="334"/>
      <c r="C172" s="334"/>
      <c r="D172" s="334"/>
      <c r="E172" s="334"/>
      <c r="F172" s="334"/>
      <c r="G172" s="334"/>
      <c r="H172" s="334"/>
      <c r="I172" s="334"/>
      <c r="J172" s="334"/>
      <c r="K172" s="334"/>
      <c r="L172" s="334"/>
      <c r="M172" s="334"/>
      <c r="N172" s="334"/>
      <c r="O172" s="334"/>
      <c r="P172" s="334"/>
      <c r="Q172" s="334"/>
      <c r="R172" s="334"/>
      <c r="S172" s="334"/>
      <c r="T172" s="334"/>
      <c r="U172" s="334"/>
      <c r="V172" s="334"/>
      <c r="W172" s="334"/>
      <c r="X172" s="334"/>
      <c r="Y172" s="334"/>
    </row>
    <row r="173" spans="1:25">
      <c r="A173" s="334"/>
      <c r="B173" s="334"/>
      <c r="C173" s="334"/>
      <c r="D173" s="334"/>
      <c r="E173" s="334"/>
      <c r="F173" s="334"/>
      <c r="G173" s="334"/>
      <c r="H173" s="334"/>
      <c r="I173" s="334"/>
      <c r="J173" s="334"/>
      <c r="K173" s="334"/>
      <c r="L173" s="334"/>
      <c r="M173" s="334"/>
      <c r="N173" s="334"/>
      <c r="O173" s="334"/>
      <c r="P173" s="334"/>
      <c r="Q173" s="334"/>
      <c r="R173" s="334"/>
      <c r="S173" s="334"/>
      <c r="T173" s="334"/>
      <c r="U173" s="334"/>
      <c r="V173" s="334"/>
      <c r="W173" s="334"/>
      <c r="X173" s="334"/>
      <c r="Y173" s="334"/>
    </row>
    <row r="174" spans="1:25">
      <c r="A174" s="334"/>
      <c r="B174" s="334"/>
      <c r="C174" s="334"/>
      <c r="D174" s="334"/>
      <c r="E174" s="334"/>
      <c r="F174" s="334"/>
      <c r="G174" s="334"/>
      <c r="H174" s="334"/>
      <c r="I174" s="334"/>
      <c r="J174" s="334"/>
      <c r="K174" s="334"/>
      <c r="L174" s="334"/>
      <c r="M174" s="334"/>
      <c r="N174" s="334"/>
      <c r="O174" s="334"/>
      <c r="P174" s="334"/>
      <c r="Q174" s="334"/>
      <c r="R174" s="334"/>
      <c r="S174" s="334"/>
      <c r="T174" s="334"/>
      <c r="U174" s="334"/>
      <c r="V174" s="334"/>
      <c r="W174" s="334"/>
      <c r="X174" s="334"/>
      <c r="Y174" s="334"/>
    </row>
    <row r="175" spans="1:25">
      <c r="A175" s="334"/>
      <c r="B175" s="334"/>
      <c r="C175" s="334"/>
      <c r="D175" s="334"/>
      <c r="E175" s="334"/>
      <c r="F175" s="334"/>
      <c r="G175" s="334"/>
      <c r="H175" s="334"/>
      <c r="I175" s="334"/>
      <c r="J175" s="334"/>
      <c r="K175" s="334"/>
      <c r="L175" s="334"/>
      <c r="M175" s="334"/>
      <c r="N175" s="334"/>
      <c r="O175" s="334"/>
      <c r="P175" s="334"/>
      <c r="Q175" s="334"/>
      <c r="R175" s="334"/>
      <c r="S175" s="334"/>
      <c r="T175" s="334"/>
      <c r="U175" s="334"/>
      <c r="V175" s="334"/>
      <c r="W175" s="334"/>
      <c r="X175" s="334"/>
      <c r="Y175" s="334"/>
    </row>
    <row r="176" spans="1:25">
      <c r="A176" s="334"/>
      <c r="B176" s="334"/>
      <c r="C176" s="334"/>
      <c r="D176" s="334"/>
      <c r="E176" s="334"/>
      <c r="F176" s="334"/>
      <c r="G176" s="334"/>
      <c r="H176" s="334"/>
      <c r="I176" s="334"/>
      <c r="J176" s="334"/>
      <c r="K176" s="334"/>
      <c r="L176" s="334"/>
      <c r="M176" s="334"/>
      <c r="N176" s="334"/>
      <c r="O176" s="334"/>
      <c r="P176" s="334"/>
      <c r="Q176" s="334"/>
      <c r="R176" s="334"/>
      <c r="S176" s="334"/>
      <c r="T176" s="334"/>
      <c r="U176" s="334"/>
      <c r="V176" s="334"/>
      <c r="W176" s="334"/>
      <c r="X176" s="334"/>
      <c r="Y176" s="334"/>
    </row>
    <row r="177" spans="1:25">
      <c r="A177" s="334"/>
      <c r="B177" s="334"/>
      <c r="C177" s="334"/>
      <c r="D177" s="334"/>
      <c r="E177" s="334"/>
      <c r="F177" s="334"/>
      <c r="G177" s="334"/>
      <c r="H177" s="334"/>
      <c r="I177" s="334"/>
      <c r="J177" s="334"/>
      <c r="K177" s="334"/>
      <c r="L177" s="334"/>
      <c r="M177" s="334"/>
      <c r="N177" s="334"/>
      <c r="O177" s="334"/>
      <c r="P177" s="334"/>
      <c r="Q177" s="334"/>
      <c r="R177" s="334"/>
      <c r="S177" s="334"/>
      <c r="T177" s="334"/>
      <c r="U177" s="334"/>
      <c r="V177" s="334"/>
      <c r="W177" s="334"/>
      <c r="X177" s="334"/>
      <c r="Y177" s="334"/>
    </row>
    <row r="178" spans="1:25">
      <c r="A178" s="334"/>
      <c r="B178" s="334"/>
      <c r="C178" s="334"/>
      <c r="D178" s="334"/>
      <c r="E178" s="334"/>
      <c r="F178" s="334"/>
      <c r="G178" s="334"/>
      <c r="H178" s="334"/>
      <c r="I178" s="334"/>
      <c r="J178" s="334"/>
      <c r="K178" s="334"/>
      <c r="L178" s="334"/>
      <c r="M178" s="334"/>
      <c r="N178" s="334"/>
      <c r="O178" s="334"/>
      <c r="P178" s="334"/>
      <c r="Q178" s="334"/>
      <c r="R178" s="334"/>
      <c r="S178" s="334"/>
      <c r="T178" s="334"/>
      <c r="U178" s="334"/>
      <c r="V178" s="334"/>
      <c r="W178" s="334"/>
      <c r="X178" s="334"/>
      <c r="Y178" s="334"/>
    </row>
    <row r="179" spans="1:25">
      <c r="A179" s="334"/>
      <c r="B179" s="334"/>
      <c r="C179" s="334"/>
      <c r="D179" s="334"/>
      <c r="E179" s="334"/>
      <c r="F179" s="334"/>
      <c r="G179" s="334"/>
      <c r="H179" s="334"/>
      <c r="I179" s="334"/>
      <c r="J179" s="334"/>
      <c r="K179" s="334"/>
      <c r="L179" s="334"/>
      <c r="M179" s="334"/>
      <c r="N179" s="334"/>
      <c r="O179" s="334"/>
      <c r="P179" s="334"/>
      <c r="Q179" s="334"/>
      <c r="R179" s="334"/>
      <c r="S179" s="334"/>
      <c r="T179" s="334"/>
      <c r="U179" s="334"/>
      <c r="V179" s="334"/>
      <c r="W179" s="334"/>
      <c r="X179" s="334"/>
      <c r="Y179" s="334"/>
    </row>
    <row r="180" spans="1:25">
      <c r="A180" s="334"/>
      <c r="B180" s="334"/>
      <c r="C180" s="334"/>
      <c r="D180" s="334"/>
      <c r="E180" s="334"/>
      <c r="F180" s="334"/>
      <c r="G180" s="334"/>
      <c r="H180" s="334"/>
      <c r="I180" s="334"/>
      <c r="J180" s="334"/>
      <c r="K180" s="334"/>
      <c r="L180" s="334"/>
      <c r="M180" s="334"/>
      <c r="N180" s="334"/>
      <c r="O180" s="334"/>
      <c r="P180" s="334"/>
      <c r="Q180" s="334"/>
      <c r="R180" s="334"/>
      <c r="S180" s="334"/>
      <c r="T180" s="334"/>
      <c r="U180" s="334"/>
      <c r="V180" s="334"/>
      <c r="W180" s="334"/>
      <c r="X180" s="334"/>
      <c r="Y180" s="334"/>
    </row>
    <row r="181" spans="1:25">
      <c r="A181" s="334"/>
      <c r="B181" s="334"/>
      <c r="C181" s="334"/>
      <c r="D181" s="334"/>
      <c r="E181" s="334"/>
      <c r="F181" s="334"/>
      <c r="G181" s="334"/>
      <c r="H181" s="334"/>
      <c r="I181" s="334"/>
      <c r="J181" s="334"/>
      <c r="K181" s="334"/>
      <c r="L181" s="334"/>
      <c r="M181" s="334"/>
      <c r="N181" s="334"/>
      <c r="O181" s="334"/>
      <c r="P181" s="334"/>
      <c r="Q181" s="334"/>
      <c r="R181" s="334"/>
      <c r="S181" s="334"/>
      <c r="T181" s="334"/>
      <c r="U181" s="334"/>
      <c r="V181" s="334"/>
      <c r="W181" s="334"/>
      <c r="X181" s="334"/>
      <c r="Y181" s="334"/>
    </row>
    <row r="182" spans="1:25">
      <c r="A182" s="334"/>
      <c r="B182" s="334"/>
      <c r="C182" s="334"/>
      <c r="D182" s="334"/>
      <c r="E182" s="334"/>
      <c r="F182" s="334"/>
      <c r="G182" s="334"/>
      <c r="H182" s="334"/>
      <c r="I182" s="334"/>
      <c r="J182" s="334"/>
      <c r="K182" s="334"/>
      <c r="L182" s="334"/>
      <c r="M182" s="334"/>
      <c r="N182" s="334"/>
      <c r="O182" s="334"/>
      <c r="P182" s="334"/>
      <c r="Q182" s="334"/>
      <c r="R182" s="334"/>
      <c r="S182" s="334"/>
      <c r="T182" s="334"/>
      <c r="U182" s="334"/>
      <c r="V182" s="334"/>
      <c r="W182" s="334"/>
      <c r="X182" s="334"/>
      <c r="Y182" s="334"/>
    </row>
    <row r="183" spans="1:25">
      <c r="A183" s="334"/>
      <c r="B183" s="334"/>
      <c r="C183" s="334"/>
      <c r="D183" s="334"/>
      <c r="E183" s="334"/>
      <c r="F183" s="334"/>
      <c r="G183" s="334"/>
      <c r="H183" s="334"/>
      <c r="I183" s="334"/>
      <c r="J183" s="334"/>
      <c r="K183" s="334"/>
      <c r="L183" s="334"/>
      <c r="M183" s="334"/>
      <c r="N183" s="334"/>
      <c r="O183" s="334"/>
      <c r="P183" s="334"/>
      <c r="Q183" s="334"/>
      <c r="R183" s="334"/>
      <c r="S183" s="334"/>
      <c r="T183" s="334"/>
      <c r="U183" s="334"/>
      <c r="V183" s="334"/>
      <c r="W183" s="334"/>
      <c r="X183" s="334"/>
      <c r="Y183" s="334"/>
    </row>
    <row r="184" spans="1:25">
      <c r="A184" s="334"/>
      <c r="B184" s="334"/>
      <c r="C184" s="334"/>
      <c r="D184" s="334"/>
      <c r="E184" s="334"/>
      <c r="F184" s="334"/>
      <c r="G184" s="334"/>
      <c r="H184" s="334"/>
      <c r="I184" s="334"/>
      <c r="J184" s="334"/>
      <c r="K184" s="334"/>
      <c r="L184" s="334"/>
      <c r="M184" s="334"/>
      <c r="N184" s="334"/>
      <c r="O184" s="334"/>
      <c r="P184" s="334"/>
      <c r="Q184" s="334"/>
      <c r="R184" s="334"/>
      <c r="S184" s="334"/>
      <c r="T184" s="334"/>
      <c r="U184" s="334"/>
      <c r="V184" s="334"/>
      <c r="W184" s="334"/>
      <c r="X184" s="334"/>
      <c r="Y184" s="334"/>
    </row>
    <row r="185" spans="1:25">
      <c r="A185" s="334"/>
      <c r="B185" s="334"/>
      <c r="C185" s="334"/>
      <c r="D185" s="334"/>
      <c r="E185" s="334"/>
      <c r="F185" s="334"/>
      <c r="G185" s="334"/>
      <c r="H185" s="334"/>
      <c r="I185" s="334"/>
      <c r="J185" s="334"/>
      <c r="K185" s="334"/>
      <c r="L185" s="334"/>
      <c r="M185" s="334"/>
      <c r="N185" s="334"/>
      <c r="O185" s="334"/>
      <c r="P185" s="334"/>
      <c r="Q185" s="334"/>
      <c r="R185" s="334"/>
      <c r="S185" s="334"/>
      <c r="T185" s="334"/>
      <c r="U185" s="334"/>
      <c r="V185" s="334"/>
      <c r="W185" s="334"/>
      <c r="X185" s="334"/>
      <c r="Y185" s="334"/>
    </row>
    <row r="186" spans="1:25">
      <c r="A186" s="334"/>
      <c r="B186" s="334"/>
      <c r="C186" s="334"/>
      <c r="D186" s="334"/>
      <c r="E186" s="334"/>
      <c r="F186" s="334"/>
      <c r="G186" s="334"/>
      <c r="H186" s="334"/>
      <c r="I186" s="334"/>
      <c r="J186" s="334"/>
      <c r="K186" s="334"/>
      <c r="L186" s="334"/>
      <c r="M186" s="334"/>
      <c r="N186" s="334"/>
      <c r="O186" s="334"/>
      <c r="P186" s="334"/>
      <c r="Q186" s="334"/>
      <c r="R186" s="334"/>
      <c r="S186" s="334"/>
      <c r="T186" s="334"/>
      <c r="U186" s="334"/>
      <c r="V186" s="334"/>
      <c r="W186" s="334"/>
      <c r="X186" s="334"/>
      <c r="Y186" s="334"/>
    </row>
    <row r="187" spans="1:25">
      <c r="A187" s="334"/>
      <c r="B187" s="334"/>
      <c r="C187" s="334"/>
      <c r="D187" s="334"/>
      <c r="E187" s="334"/>
      <c r="F187" s="334"/>
      <c r="G187" s="334"/>
      <c r="H187" s="334"/>
      <c r="I187" s="334"/>
      <c r="J187" s="334"/>
      <c r="K187" s="334"/>
      <c r="L187" s="334"/>
      <c r="M187" s="334"/>
      <c r="N187" s="334"/>
      <c r="O187" s="334"/>
      <c r="P187" s="334"/>
      <c r="Q187" s="334"/>
      <c r="R187" s="334"/>
      <c r="S187" s="334"/>
      <c r="T187" s="334"/>
      <c r="U187" s="334"/>
      <c r="V187" s="334"/>
      <c r="W187" s="334"/>
      <c r="X187" s="334"/>
      <c r="Y187" s="334"/>
    </row>
    <row r="188" spans="1:25">
      <c r="A188" s="334"/>
      <c r="B188" s="334"/>
      <c r="C188" s="334"/>
      <c r="D188" s="334"/>
      <c r="E188" s="334"/>
      <c r="F188" s="334"/>
      <c r="G188" s="334"/>
      <c r="H188" s="334"/>
      <c r="I188" s="334"/>
      <c r="J188" s="334"/>
      <c r="K188" s="334"/>
      <c r="L188" s="334"/>
      <c r="M188" s="334"/>
      <c r="N188" s="334"/>
      <c r="O188" s="334"/>
      <c r="P188" s="334"/>
      <c r="Q188" s="334"/>
      <c r="R188" s="334"/>
      <c r="S188" s="334"/>
      <c r="T188" s="334"/>
      <c r="U188" s="334"/>
      <c r="V188" s="334"/>
      <c r="W188" s="334"/>
      <c r="X188" s="334"/>
      <c r="Y188" s="334"/>
    </row>
    <row r="189" spans="1:25">
      <c r="A189" s="334"/>
      <c r="B189" s="334"/>
      <c r="C189" s="334"/>
      <c r="D189" s="334"/>
      <c r="E189" s="334"/>
      <c r="F189" s="334"/>
      <c r="G189" s="334"/>
      <c r="H189" s="334"/>
      <c r="I189" s="334"/>
      <c r="J189" s="334"/>
      <c r="K189" s="334"/>
      <c r="L189" s="334"/>
      <c r="M189" s="334"/>
      <c r="N189" s="334"/>
      <c r="O189" s="334"/>
      <c r="P189" s="334"/>
      <c r="Q189" s="334"/>
      <c r="R189" s="334"/>
      <c r="S189" s="334"/>
      <c r="T189" s="334"/>
      <c r="U189" s="334"/>
      <c r="V189" s="334"/>
      <c r="W189" s="334"/>
      <c r="X189" s="334"/>
      <c r="Y189" s="334"/>
    </row>
    <row r="190" spans="1:25">
      <c r="A190" s="334"/>
      <c r="B190" s="334"/>
      <c r="C190" s="334"/>
      <c r="D190" s="334"/>
      <c r="E190" s="334"/>
      <c r="F190" s="334"/>
      <c r="G190" s="334"/>
      <c r="H190" s="334"/>
      <c r="I190" s="334"/>
      <c r="J190" s="334"/>
      <c r="K190" s="334"/>
      <c r="L190" s="334"/>
      <c r="M190" s="334"/>
      <c r="N190" s="334"/>
      <c r="O190" s="334"/>
      <c r="P190" s="334"/>
      <c r="Q190" s="334"/>
      <c r="R190" s="334"/>
      <c r="S190" s="334"/>
      <c r="T190" s="334"/>
      <c r="U190" s="334"/>
      <c r="V190" s="334"/>
      <c r="W190" s="334"/>
      <c r="X190" s="334"/>
      <c r="Y190" s="334"/>
    </row>
    <row r="191" spans="1:25">
      <c r="A191" s="334"/>
      <c r="B191" s="334"/>
      <c r="C191" s="334"/>
      <c r="D191" s="334"/>
      <c r="E191" s="334"/>
      <c r="F191" s="334"/>
      <c r="G191" s="334"/>
      <c r="H191" s="334"/>
      <c r="I191" s="334"/>
      <c r="J191" s="334"/>
      <c r="K191" s="334"/>
      <c r="L191" s="334"/>
      <c r="M191" s="334"/>
      <c r="N191" s="334"/>
      <c r="O191" s="334"/>
      <c r="P191" s="334"/>
      <c r="Q191" s="334"/>
      <c r="R191" s="334"/>
      <c r="S191" s="334"/>
      <c r="T191" s="334"/>
      <c r="U191" s="334"/>
      <c r="V191" s="334"/>
      <c r="W191" s="334"/>
      <c r="X191" s="334"/>
      <c r="Y191" s="334"/>
    </row>
    <row r="192" spans="1:25">
      <c r="A192" s="334"/>
      <c r="B192" s="334"/>
      <c r="C192" s="334"/>
      <c r="D192" s="334"/>
      <c r="E192" s="334"/>
      <c r="F192" s="334"/>
      <c r="G192" s="334"/>
      <c r="H192" s="334"/>
      <c r="I192" s="334"/>
      <c r="J192" s="334"/>
      <c r="K192" s="334"/>
      <c r="L192" s="334"/>
      <c r="M192" s="334"/>
      <c r="N192" s="334"/>
      <c r="O192" s="334"/>
      <c r="P192" s="334"/>
      <c r="Q192" s="334"/>
      <c r="R192" s="334"/>
      <c r="S192" s="334"/>
      <c r="T192" s="334"/>
      <c r="U192" s="334"/>
      <c r="V192" s="334"/>
      <c r="W192" s="334"/>
      <c r="X192" s="334"/>
      <c r="Y192" s="334"/>
    </row>
    <row r="193" spans="1:25">
      <c r="A193" s="334"/>
      <c r="B193" s="334"/>
      <c r="C193" s="334"/>
      <c r="D193" s="334"/>
      <c r="E193" s="334"/>
      <c r="F193" s="334"/>
      <c r="G193" s="334"/>
      <c r="H193" s="334"/>
      <c r="I193" s="334"/>
      <c r="J193" s="334"/>
      <c r="K193" s="334"/>
      <c r="L193" s="334"/>
      <c r="M193" s="334"/>
      <c r="N193" s="334"/>
      <c r="O193" s="334"/>
      <c r="P193" s="334"/>
      <c r="Q193" s="334"/>
      <c r="R193" s="334"/>
      <c r="S193" s="334"/>
      <c r="T193" s="334"/>
      <c r="U193" s="334"/>
      <c r="V193" s="334"/>
      <c r="W193" s="334"/>
      <c r="X193" s="334"/>
      <c r="Y193" s="334"/>
    </row>
    <row r="194" spans="1:25">
      <c r="A194" s="334"/>
      <c r="B194" s="334"/>
      <c r="C194" s="334"/>
      <c r="D194" s="334"/>
      <c r="E194" s="334"/>
      <c r="F194" s="334"/>
      <c r="G194" s="334"/>
      <c r="H194" s="334"/>
      <c r="I194" s="334"/>
      <c r="J194" s="334"/>
      <c r="K194" s="334"/>
      <c r="L194" s="334"/>
      <c r="M194" s="334"/>
      <c r="N194" s="334"/>
      <c r="O194" s="334"/>
      <c r="P194" s="334"/>
      <c r="Q194" s="334"/>
      <c r="R194" s="334"/>
      <c r="S194" s="334"/>
      <c r="T194" s="334"/>
      <c r="U194" s="334"/>
      <c r="V194" s="334"/>
      <c r="W194" s="334"/>
      <c r="X194" s="334"/>
      <c r="Y194" s="334"/>
    </row>
    <row r="195" spans="1:25">
      <c r="A195" s="334"/>
      <c r="B195" s="334"/>
      <c r="C195" s="334"/>
      <c r="D195" s="334"/>
      <c r="E195" s="334"/>
      <c r="F195" s="334"/>
      <c r="G195" s="334"/>
      <c r="H195" s="334"/>
      <c r="I195" s="334"/>
      <c r="J195" s="334"/>
      <c r="K195" s="334"/>
      <c r="L195" s="334"/>
      <c r="M195" s="334"/>
      <c r="N195" s="334"/>
      <c r="O195" s="334"/>
      <c r="P195" s="334"/>
      <c r="Q195" s="334"/>
      <c r="R195" s="334"/>
      <c r="S195" s="334"/>
      <c r="T195" s="334"/>
      <c r="U195" s="334"/>
      <c r="V195" s="334"/>
      <c r="W195" s="334"/>
      <c r="X195" s="334"/>
      <c r="Y195" s="334"/>
    </row>
    <row r="196" spans="1:25">
      <c r="A196" s="334"/>
      <c r="B196" s="334"/>
      <c r="C196" s="334"/>
      <c r="D196" s="334"/>
      <c r="E196" s="334"/>
      <c r="F196" s="334"/>
      <c r="G196" s="334"/>
      <c r="H196" s="334"/>
      <c r="I196" s="334"/>
      <c r="J196" s="334"/>
      <c r="K196" s="334"/>
      <c r="L196" s="334"/>
      <c r="M196" s="334"/>
      <c r="N196" s="334"/>
      <c r="O196" s="334"/>
      <c r="P196" s="334"/>
      <c r="Q196" s="334"/>
      <c r="R196" s="334"/>
      <c r="S196" s="334"/>
      <c r="T196" s="334"/>
      <c r="U196" s="334"/>
      <c r="V196" s="334"/>
      <c r="W196" s="334"/>
      <c r="X196" s="334"/>
      <c r="Y196" s="334"/>
    </row>
    <row r="197" spans="1:25">
      <c r="A197" s="334"/>
      <c r="B197" s="334"/>
      <c r="C197" s="334"/>
      <c r="D197" s="334"/>
      <c r="E197" s="334"/>
      <c r="F197" s="334"/>
      <c r="G197" s="334"/>
      <c r="H197" s="334"/>
      <c r="I197" s="334"/>
      <c r="J197" s="334"/>
      <c r="K197" s="334"/>
      <c r="L197" s="334"/>
      <c r="M197" s="334"/>
      <c r="N197" s="334"/>
      <c r="O197" s="334"/>
      <c r="P197" s="334"/>
      <c r="Q197" s="334"/>
      <c r="R197" s="334"/>
      <c r="S197" s="334"/>
      <c r="T197" s="334"/>
      <c r="U197" s="334"/>
      <c r="V197" s="334"/>
      <c r="W197" s="334"/>
      <c r="X197" s="334"/>
      <c r="Y197" s="334"/>
    </row>
    <row r="198" spans="1:25">
      <c r="A198" s="334"/>
      <c r="B198" s="334"/>
      <c r="C198" s="334"/>
      <c r="D198" s="334"/>
      <c r="E198" s="334"/>
      <c r="F198" s="334"/>
      <c r="G198" s="334"/>
      <c r="H198" s="334"/>
      <c r="I198" s="334"/>
      <c r="J198" s="334"/>
      <c r="K198" s="334"/>
      <c r="L198" s="334"/>
      <c r="M198" s="334"/>
      <c r="N198" s="334"/>
      <c r="O198" s="334"/>
      <c r="P198" s="334"/>
      <c r="Q198" s="334"/>
      <c r="R198" s="334"/>
      <c r="S198" s="334"/>
      <c r="T198" s="334"/>
      <c r="U198" s="334"/>
      <c r="V198" s="334"/>
      <c r="W198" s="334"/>
      <c r="X198" s="334"/>
      <c r="Y198" s="334"/>
    </row>
    <row r="199" spans="1:25">
      <c r="A199" s="334"/>
      <c r="B199" s="334"/>
      <c r="C199" s="334"/>
      <c r="D199" s="334"/>
      <c r="E199" s="334"/>
      <c r="F199" s="334"/>
      <c r="G199" s="334"/>
      <c r="H199" s="334"/>
      <c r="I199" s="334"/>
      <c r="J199" s="334"/>
      <c r="K199" s="334"/>
      <c r="L199" s="334"/>
      <c r="M199" s="334"/>
      <c r="N199" s="334"/>
      <c r="O199" s="334"/>
      <c r="P199" s="334"/>
      <c r="Q199" s="334"/>
      <c r="R199" s="334"/>
      <c r="S199" s="334"/>
      <c r="T199" s="334"/>
      <c r="U199" s="334"/>
      <c r="V199" s="334"/>
      <c r="W199" s="334"/>
      <c r="X199" s="334"/>
      <c r="Y199" s="334"/>
    </row>
    <row r="200" spans="1:25">
      <c r="A200" s="334"/>
      <c r="B200" s="334"/>
      <c r="C200" s="334"/>
      <c r="D200" s="334"/>
      <c r="E200" s="334"/>
      <c r="F200" s="334"/>
      <c r="G200" s="334"/>
      <c r="H200" s="334"/>
      <c r="I200" s="334"/>
      <c r="J200" s="334"/>
      <c r="K200" s="334"/>
      <c r="L200" s="334"/>
      <c r="M200" s="334"/>
      <c r="N200" s="334"/>
      <c r="O200" s="334"/>
      <c r="P200" s="334"/>
      <c r="Q200" s="334"/>
      <c r="R200" s="334"/>
      <c r="S200" s="334"/>
      <c r="T200" s="334"/>
      <c r="U200" s="334"/>
      <c r="V200" s="334"/>
      <c r="W200" s="334"/>
      <c r="X200" s="334"/>
      <c r="Y200" s="334"/>
    </row>
    <row r="201" spans="1:25">
      <c r="A201" s="334"/>
      <c r="B201" s="334"/>
      <c r="C201" s="334"/>
      <c r="D201" s="334"/>
      <c r="E201" s="334"/>
      <c r="F201" s="334"/>
      <c r="G201" s="334"/>
      <c r="H201" s="334"/>
      <c r="I201" s="334"/>
      <c r="J201" s="334"/>
      <c r="K201" s="334"/>
      <c r="L201" s="334"/>
      <c r="M201" s="334"/>
      <c r="N201" s="334"/>
      <c r="O201" s="334"/>
      <c r="P201" s="334"/>
      <c r="Q201" s="334"/>
      <c r="R201" s="334"/>
      <c r="S201" s="334"/>
      <c r="T201" s="334"/>
      <c r="U201" s="334"/>
      <c r="V201" s="334"/>
      <c r="W201" s="334"/>
      <c r="X201" s="334"/>
      <c r="Y201" s="334"/>
    </row>
    <row r="202" spans="1:25">
      <c r="A202" s="334"/>
      <c r="B202" s="334"/>
      <c r="C202" s="334"/>
      <c r="D202" s="334"/>
      <c r="E202" s="334"/>
      <c r="F202" s="334"/>
      <c r="G202" s="334"/>
      <c r="H202" s="334"/>
      <c r="I202" s="334"/>
      <c r="J202" s="334"/>
      <c r="K202" s="334"/>
      <c r="L202" s="334"/>
      <c r="M202" s="334"/>
      <c r="N202" s="334"/>
      <c r="O202" s="334"/>
      <c r="P202" s="334"/>
      <c r="Q202" s="334"/>
      <c r="R202" s="334"/>
      <c r="S202" s="334"/>
      <c r="T202" s="334"/>
      <c r="U202" s="334"/>
      <c r="V202" s="334"/>
      <c r="W202" s="334"/>
      <c r="X202" s="334"/>
      <c r="Y202" s="334"/>
    </row>
    <row r="203" spans="1:25">
      <c r="A203" s="334"/>
      <c r="B203" s="334"/>
      <c r="C203" s="334"/>
      <c r="D203" s="334"/>
      <c r="E203" s="334"/>
      <c r="F203" s="334"/>
      <c r="G203" s="334"/>
      <c r="H203" s="334"/>
      <c r="I203" s="334"/>
      <c r="J203" s="334"/>
      <c r="K203" s="334"/>
      <c r="L203" s="334"/>
      <c r="M203" s="334"/>
      <c r="N203" s="334"/>
      <c r="O203" s="334"/>
      <c r="P203" s="334"/>
      <c r="Q203" s="334"/>
      <c r="R203" s="334"/>
      <c r="S203" s="334"/>
      <c r="T203" s="334"/>
      <c r="U203" s="334"/>
      <c r="V203" s="334"/>
      <c r="W203" s="334"/>
      <c r="X203" s="334"/>
      <c r="Y203" s="334"/>
    </row>
    <row r="204" spans="1:25">
      <c r="A204" s="334"/>
      <c r="B204" s="334"/>
      <c r="C204" s="334"/>
      <c r="D204" s="334"/>
      <c r="E204" s="334"/>
      <c r="F204" s="334"/>
      <c r="G204" s="334"/>
      <c r="H204" s="334"/>
      <c r="I204" s="334"/>
      <c r="J204" s="334"/>
      <c r="K204" s="334"/>
      <c r="L204" s="334"/>
      <c r="M204" s="334"/>
      <c r="N204" s="334"/>
      <c r="O204" s="334"/>
      <c r="P204" s="334"/>
      <c r="Q204" s="334"/>
      <c r="R204" s="334"/>
      <c r="S204" s="334"/>
      <c r="T204" s="334"/>
      <c r="U204" s="334"/>
      <c r="V204" s="334"/>
      <c r="W204" s="334"/>
      <c r="X204" s="334"/>
      <c r="Y204" s="334"/>
    </row>
    <row r="205" spans="1:25">
      <c r="A205" s="334"/>
      <c r="B205" s="334"/>
      <c r="C205" s="334"/>
      <c r="D205" s="334"/>
      <c r="E205" s="334"/>
      <c r="F205" s="334"/>
      <c r="G205" s="334"/>
      <c r="H205" s="334"/>
      <c r="I205" s="334"/>
      <c r="J205" s="334"/>
      <c r="K205" s="334"/>
      <c r="L205" s="334"/>
      <c r="M205" s="334"/>
      <c r="N205" s="334"/>
      <c r="O205" s="334"/>
      <c r="P205" s="334"/>
      <c r="Q205" s="334"/>
      <c r="R205" s="334"/>
      <c r="S205" s="334"/>
      <c r="T205" s="334"/>
      <c r="U205" s="334"/>
      <c r="V205" s="334"/>
      <c r="W205" s="334"/>
      <c r="X205" s="334"/>
      <c r="Y205" s="334"/>
    </row>
    <row r="206" spans="1:25">
      <c r="A206" s="334"/>
      <c r="B206" s="334"/>
      <c r="C206" s="334"/>
      <c r="D206" s="334"/>
      <c r="E206" s="334"/>
      <c r="F206" s="334"/>
      <c r="G206" s="334"/>
      <c r="H206" s="334"/>
      <c r="I206" s="334"/>
      <c r="J206" s="334"/>
      <c r="K206" s="334"/>
      <c r="L206" s="334"/>
      <c r="M206" s="334"/>
      <c r="N206" s="334"/>
      <c r="O206" s="334"/>
      <c r="P206" s="334"/>
      <c r="Q206" s="334"/>
      <c r="R206" s="334"/>
      <c r="S206" s="334"/>
      <c r="T206" s="334"/>
      <c r="U206" s="334"/>
      <c r="V206" s="334"/>
      <c r="W206" s="334"/>
      <c r="X206" s="334"/>
      <c r="Y206" s="334"/>
    </row>
    <row r="207" spans="1:25">
      <c r="A207" s="334"/>
      <c r="B207" s="334"/>
      <c r="C207" s="334"/>
      <c r="D207" s="334"/>
      <c r="E207" s="334"/>
      <c r="F207" s="334"/>
      <c r="G207" s="334"/>
      <c r="H207" s="334"/>
      <c r="I207" s="334"/>
      <c r="J207" s="334"/>
      <c r="K207" s="334"/>
      <c r="L207" s="334"/>
      <c r="M207" s="334"/>
      <c r="N207" s="334"/>
      <c r="O207" s="334"/>
      <c r="P207" s="334"/>
      <c r="Q207" s="334"/>
      <c r="R207" s="334"/>
      <c r="S207" s="334"/>
      <c r="T207" s="334"/>
      <c r="U207" s="334"/>
      <c r="V207" s="334"/>
      <c r="W207" s="334"/>
      <c r="X207" s="334"/>
      <c r="Y207" s="334"/>
    </row>
    <row r="208" spans="1:25">
      <c r="A208" s="334"/>
      <c r="B208" s="334"/>
      <c r="C208" s="334"/>
      <c r="D208" s="334"/>
      <c r="E208" s="334"/>
      <c r="F208" s="334"/>
      <c r="G208" s="334"/>
      <c r="H208" s="334"/>
      <c r="I208" s="334"/>
      <c r="J208" s="334"/>
      <c r="K208" s="334"/>
      <c r="L208" s="334"/>
      <c r="M208" s="334"/>
      <c r="N208" s="334"/>
      <c r="O208" s="334"/>
      <c r="P208" s="334"/>
      <c r="Q208" s="334"/>
      <c r="R208" s="334"/>
      <c r="S208" s="334"/>
      <c r="T208" s="334"/>
      <c r="U208" s="334"/>
      <c r="V208" s="334"/>
      <c r="W208" s="334"/>
      <c r="X208" s="334"/>
      <c r="Y208" s="334"/>
    </row>
    <row r="209" spans="1:25">
      <c r="A209" s="334"/>
      <c r="B209" s="334"/>
      <c r="C209" s="334"/>
      <c r="D209" s="334"/>
      <c r="E209" s="334"/>
      <c r="F209" s="334"/>
      <c r="G209" s="334"/>
      <c r="H209" s="334"/>
      <c r="I209" s="334"/>
      <c r="J209" s="334"/>
      <c r="K209" s="334"/>
      <c r="L209" s="334"/>
      <c r="M209" s="334"/>
      <c r="N209" s="334"/>
      <c r="O209" s="334"/>
      <c r="P209" s="334"/>
      <c r="Q209" s="334"/>
      <c r="R209" s="334"/>
      <c r="S209" s="334"/>
      <c r="T209" s="334"/>
      <c r="U209" s="334"/>
      <c r="V209" s="334"/>
      <c r="W209" s="334"/>
      <c r="X209" s="334"/>
      <c r="Y209" s="334"/>
    </row>
    <row r="210" spans="1:25">
      <c r="A210" s="334"/>
      <c r="B210" s="334"/>
      <c r="C210" s="334"/>
      <c r="D210" s="334"/>
      <c r="E210" s="334"/>
      <c r="F210" s="334"/>
      <c r="G210" s="334"/>
      <c r="H210" s="334"/>
      <c r="I210" s="334"/>
      <c r="J210" s="334"/>
      <c r="K210" s="334"/>
      <c r="L210" s="334"/>
      <c r="M210" s="334"/>
      <c r="N210" s="334"/>
      <c r="O210" s="334"/>
      <c r="P210" s="334"/>
      <c r="Q210" s="334"/>
      <c r="R210" s="334"/>
      <c r="S210" s="334"/>
      <c r="T210" s="334"/>
      <c r="U210" s="334"/>
      <c r="V210" s="334"/>
      <c r="W210" s="334"/>
      <c r="X210" s="334"/>
      <c r="Y210" s="334"/>
    </row>
    <row r="211" spans="1:25">
      <c r="A211" s="334"/>
      <c r="B211" s="334"/>
      <c r="C211" s="334"/>
      <c r="D211" s="334"/>
      <c r="E211" s="334"/>
      <c r="F211" s="334"/>
      <c r="G211" s="334"/>
      <c r="H211" s="334"/>
      <c r="I211" s="334"/>
      <c r="J211" s="334"/>
      <c r="K211" s="334"/>
      <c r="L211" s="334"/>
      <c r="M211" s="334"/>
      <c r="N211" s="334"/>
      <c r="O211" s="334"/>
      <c r="P211" s="334"/>
      <c r="Q211" s="334"/>
      <c r="R211" s="334"/>
      <c r="S211" s="334"/>
      <c r="T211" s="334"/>
      <c r="U211" s="334"/>
      <c r="V211" s="334"/>
      <c r="W211" s="334"/>
      <c r="X211" s="334"/>
      <c r="Y211" s="334"/>
    </row>
    <row r="212" spans="1:25">
      <c r="A212" s="334"/>
      <c r="B212" s="334"/>
      <c r="C212" s="334"/>
      <c r="D212" s="334"/>
      <c r="E212" s="334"/>
      <c r="F212" s="334"/>
      <c r="G212" s="334"/>
      <c r="H212" s="334"/>
      <c r="I212" s="334"/>
      <c r="J212" s="334"/>
      <c r="K212" s="334"/>
      <c r="L212" s="334"/>
      <c r="M212" s="334"/>
      <c r="N212" s="334"/>
      <c r="O212" s="334"/>
      <c r="P212" s="334"/>
      <c r="Q212" s="334"/>
      <c r="R212" s="334"/>
      <c r="S212" s="334"/>
      <c r="T212" s="334"/>
      <c r="U212" s="334"/>
      <c r="V212" s="334"/>
      <c r="W212" s="334"/>
      <c r="X212" s="334"/>
      <c r="Y212" s="334"/>
    </row>
    <row r="213" spans="1:25">
      <c r="A213" s="334"/>
      <c r="B213" s="334"/>
      <c r="C213" s="334"/>
      <c r="D213" s="334"/>
      <c r="E213" s="334"/>
      <c r="F213" s="334"/>
      <c r="G213" s="334"/>
      <c r="H213" s="334"/>
      <c r="I213" s="334"/>
      <c r="J213" s="334"/>
      <c r="K213" s="334"/>
      <c r="L213" s="334"/>
      <c r="M213" s="334"/>
      <c r="N213" s="334"/>
      <c r="O213" s="334"/>
      <c r="P213" s="334"/>
      <c r="Q213" s="334"/>
      <c r="R213" s="334"/>
      <c r="S213" s="334"/>
      <c r="T213" s="334"/>
      <c r="U213" s="334"/>
      <c r="V213" s="334"/>
      <c r="W213" s="334"/>
      <c r="X213" s="334"/>
      <c r="Y213" s="334"/>
    </row>
    <row r="214" spans="1:25">
      <c r="A214" s="334"/>
      <c r="B214" s="334"/>
      <c r="C214" s="334"/>
      <c r="D214" s="334"/>
      <c r="E214" s="334"/>
      <c r="F214" s="334"/>
      <c r="G214" s="334"/>
      <c r="H214" s="334"/>
      <c r="I214" s="334"/>
      <c r="J214" s="334"/>
      <c r="K214" s="334"/>
      <c r="L214" s="334"/>
      <c r="M214" s="334"/>
      <c r="N214" s="334"/>
      <c r="O214" s="334"/>
      <c r="P214" s="334"/>
      <c r="Q214" s="334"/>
      <c r="R214" s="334"/>
      <c r="S214" s="334"/>
      <c r="T214" s="334"/>
      <c r="U214" s="334"/>
      <c r="V214" s="334"/>
      <c r="W214" s="334"/>
      <c r="X214" s="334"/>
      <c r="Y214" s="334"/>
    </row>
    <row r="215" spans="1:25">
      <c r="A215" s="334"/>
      <c r="B215" s="334"/>
      <c r="C215" s="334"/>
      <c r="D215" s="334"/>
      <c r="E215" s="334"/>
      <c r="F215" s="334"/>
      <c r="G215" s="334"/>
      <c r="H215" s="334"/>
      <c r="I215" s="334"/>
      <c r="J215" s="334"/>
      <c r="K215" s="334"/>
      <c r="L215" s="334"/>
      <c r="M215" s="334"/>
      <c r="N215" s="334"/>
      <c r="O215" s="334"/>
      <c r="P215" s="334"/>
      <c r="Q215" s="334"/>
      <c r="R215" s="334"/>
      <c r="S215" s="334"/>
      <c r="T215" s="334"/>
      <c r="U215" s="334"/>
      <c r="V215" s="334"/>
      <c r="W215" s="334"/>
      <c r="X215" s="334"/>
      <c r="Y215" s="334"/>
    </row>
    <row r="216" spans="1:25">
      <c r="A216" s="334"/>
      <c r="B216" s="334"/>
      <c r="C216" s="334"/>
      <c r="D216" s="334"/>
      <c r="E216" s="334"/>
      <c r="F216" s="334"/>
      <c r="G216" s="334"/>
      <c r="H216" s="334"/>
      <c r="I216" s="334"/>
      <c r="J216" s="334"/>
      <c r="K216" s="334"/>
      <c r="L216" s="334"/>
      <c r="M216" s="334"/>
      <c r="N216" s="334"/>
      <c r="O216" s="334"/>
      <c r="P216" s="334"/>
      <c r="Q216" s="334"/>
      <c r="R216" s="334"/>
      <c r="S216" s="334"/>
      <c r="T216" s="334"/>
      <c r="U216" s="334"/>
      <c r="V216" s="334"/>
      <c r="W216" s="334"/>
      <c r="X216" s="334"/>
      <c r="Y216" s="334"/>
    </row>
    <row r="217" spans="1:25">
      <c r="A217" s="334"/>
      <c r="B217" s="334"/>
      <c r="C217" s="334"/>
      <c r="D217" s="334"/>
      <c r="E217" s="334"/>
      <c r="F217" s="334"/>
      <c r="G217" s="334"/>
      <c r="H217" s="334"/>
      <c r="I217" s="334"/>
      <c r="J217" s="334"/>
      <c r="K217" s="334"/>
      <c r="L217" s="334"/>
      <c r="M217" s="334"/>
      <c r="N217" s="334"/>
      <c r="O217" s="334"/>
      <c r="P217" s="334"/>
      <c r="Q217" s="334"/>
      <c r="R217" s="334"/>
      <c r="S217" s="334"/>
      <c r="T217" s="334"/>
      <c r="U217" s="334"/>
      <c r="V217" s="334"/>
      <c r="W217" s="334"/>
      <c r="X217" s="334"/>
      <c r="Y217" s="334"/>
    </row>
    <row r="218" spans="1:25">
      <c r="A218" s="334"/>
      <c r="B218" s="334"/>
      <c r="C218" s="334"/>
      <c r="D218" s="334"/>
      <c r="E218" s="334"/>
      <c r="F218" s="334"/>
      <c r="G218" s="334"/>
      <c r="H218" s="334"/>
      <c r="I218" s="334"/>
      <c r="J218" s="334"/>
      <c r="K218" s="334"/>
      <c r="L218" s="334"/>
      <c r="M218" s="334"/>
      <c r="N218" s="334"/>
      <c r="O218" s="334"/>
      <c r="P218" s="334"/>
      <c r="Q218" s="334"/>
      <c r="R218" s="334"/>
      <c r="S218" s="334"/>
      <c r="T218" s="334"/>
      <c r="U218" s="334"/>
      <c r="V218" s="334"/>
      <c r="W218" s="334"/>
      <c r="X218" s="334"/>
      <c r="Y218" s="334"/>
    </row>
    <row r="219" spans="1:25">
      <c r="A219" s="334"/>
      <c r="B219" s="334"/>
      <c r="C219" s="334"/>
      <c r="D219" s="334"/>
      <c r="E219" s="334"/>
      <c r="F219" s="334"/>
      <c r="G219" s="334"/>
      <c r="H219" s="334"/>
      <c r="I219" s="334"/>
      <c r="J219" s="334"/>
      <c r="K219" s="334"/>
      <c r="L219" s="334"/>
      <c r="M219" s="334"/>
      <c r="N219" s="334"/>
      <c r="O219" s="334"/>
      <c r="P219" s="334"/>
      <c r="Q219" s="334"/>
      <c r="R219" s="334"/>
      <c r="S219" s="334"/>
      <c r="T219" s="334"/>
      <c r="U219" s="334"/>
      <c r="V219" s="334"/>
      <c r="W219" s="334"/>
      <c r="X219" s="334"/>
      <c r="Y219" s="334"/>
    </row>
    <row r="220" spans="1:25">
      <c r="A220" s="334"/>
      <c r="B220" s="334"/>
      <c r="C220" s="334"/>
      <c r="D220" s="334"/>
      <c r="E220" s="334"/>
      <c r="F220" s="334"/>
      <c r="G220" s="334"/>
      <c r="H220" s="334"/>
      <c r="I220" s="334"/>
      <c r="J220" s="334"/>
      <c r="K220" s="334"/>
      <c r="L220" s="334"/>
      <c r="M220" s="334"/>
      <c r="N220" s="334"/>
      <c r="O220" s="334"/>
      <c r="P220" s="334"/>
      <c r="Q220" s="334"/>
      <c r="R220" s="334"/>
      <c r="S220" s="334"/>
      <c r="T220" s="334"/>
      <c r="U220" s="334"/>
      <c r="V220" s="334"/>
      <c r="W220" s="334"/>
      <c r="X220" s="334"/>
      <c r="Y220" s="334"/>
    </row>
    <row r="221" spans="1:25">
      <c r="A221" s="334"/>
      <c r="B221" s="334"/>
      <c r="C221" s="334"/>
      <c r="D221" s="334"/>
      <c r="E221" s="334"/>
      <c r="F221" s="334"/>
      <c r="G221" s="334"/>
      <c r="H221" s="334"/>
      <c r="I221" s="334"/>
      <c r="J221" s="334"/>
      <c r="K221" s="334"/>
      <c r="L221" s="334"/>
      <c r="M221" s="334"/>
      <c r="N221" s="334"/>
      <c r="O221" s="334"/>
      <c r="P221" s="334"/>
      <c r="Q221" s="334"/>
      <c r="R221" s="334"/>
      <c r="S221" s="334"/>
      <c r="T221" s="334"/>
      <c r="U221" s="334"/>
      <c r="V221" s="334"/>
      <c r="W221" s="334"/>
      <c r="X221" s="334"/>
      <c r="Y221" s="334"/>
    </row>
    <row r="222" spans="1:25">
      <c r="A222" s="334"/>
      <c r="B222" s="334"/>
      <c r="C222" s="334"/>
      <c r="D222" s="334"/>
      <c r="E222" s="334"/>
      <c r="F222" s="334"/>
      <c r="G222" s="334"/>
      <c r="H222" s="334"/>
      <c r="I222" s="334"/>
      <c r="J222" s="334"/>
      <c r="K222" s="334"/>
      <c r="L222" s="334"/>
      <c r="M222" s="334"/>
      <c r="N222" s="334"/>
      <c r="O222" s="334"/>
      <c r="P222" s="334"/>
      <c r="Q222" s="334"/>
      <c r="R222" s="334"/>
      <c r="S222" s="334"/>
      <c r="T222" s="334"/>
      <c r="U222" s="334"/>
      <c r="V222" s="334"/>
      <c r="W222" s="334"/>
      <c r="X222" s="334"/>
      <c r="Y222" s="334"/>
    </row>
    <row r="223" spans="1:25">
      <c r="A223" s="334"/>
      <c r="B223" s="334"/>
      <c r="C223" s="334"/>
      <c r="D223" s="334"/>
      <c r="E223" s="334"/>
      <c r="F223" s="334"/>
      <c r="G223" s="334"/>
      <c r="H223" s="334"/>
      <c r="I223" s="334"/>
      <c r="J223" s="334"/>
      <c r="K223" s="334"/>
      <c r="L223" s="334"/>
      <c r="M223" s="334"/>
      <c r="N223" s="334"/>
      <c r="O223" s="334"/>
      <c r="P223" s="334"/>
      <c r="Q223" s="334"/>
      <c r="R223" s="334"/>
      <c r="S223" s="334"/>
      <c r="T223" s="334"/>
      <c r="U223" s="334"/>
      <c r="V223" s="334"/>
      <c r="W223" s="334"/>
      <c r="X223" s="334"/>
      <c r="Y223" s="334"/>
    </row>
    <row r="224" spans="1:25">
      <c r="A224" s="334"/>
      <c r="B224" s="334"/>
      <c r="C224" s="334"/>
      <c r="D224" s="334"/>
      <c r="E224" s="334"/>
      <c r="F224" s="334"/>
      <c r="G224" s="334"/>
      <c r="H224" s="334"/>
      <c r="I224" s="334"/>
      <c r="J224" s="334"/>
      <c r="K224" s="334"/>
      <c r="L224" s="334"/>
      <c r="M224" s="334"/>
      <c r="N224" s="334"/>
      <c r="O224" s="334"/>
      <c r="P224" s="334"/>
      <c r="Q224" s="334"/>
      <c r="R224" s="334"/>
      <c r="S224" s="334"/>
      <c r="T224" s="334"/>
      <c r="U224" s="334"/>
      <c r="V224" s="334"/>
      <c r="W224" s="334"/>
      <c r="X224" s="334"/>
      <c r="Y224" s="334"/>
    </row>
    <row r="225" spans="1:25">
      <c r="A225" s="334"/>
      <c r="B225" s="334"/>
      <c r="C225" s="334"/>
      <c r="D225" s="334"/>
      <c r="E225" s="334"/>
      <c r="F225" s="334"/>
      <c r="G225" s="334"/>
      <c r="H225" s="334"/>
      <c r="I225" s="334"/>
      <c r="J225" s="334"/>
      <c r="K225" s="334"/>
      <c r="L225" s="334"/>
      <c r="M225" s="334"/>
      <c r="N225" s="334"/>
      <c r="O225" s="334"/>
      <c r="P225" s="334"/>
      <c r="Q225" s="334"/>
      <c r="R225" s="334"/>
      <c r="S225" s="334"/>
      <c r="T225" s="334"/>
      <c r="U225" s="334"/>
      <c r="V225" s="334"/>
      <c r="W225" s="334"/>
      <c r="X225" s="334"/>
      <c r="Y225" s="334"/>
    </row>
    <row r="226" spans="1:25">
      <c r="A226" s="334"/>
      <c r="B226" s="334"/>
      <c r="C226" s="334"/>
      <c r="D226" s="334"/>
      <c r="E226" s="334"/>
      <c r="F226" s="334"/>
      <c r="G226" s="334"/>
      <c r="H226" s="334"/>
      <c r="I226" s="334"/>
      <c r="J226" s="334"/>
      <c r="K226" s="334"/>
      <c r="L226" s="334"/>
      <c r="M226" s="334"/>
      <c r="N226" s="334"/>
      <c r="O226" s="334"/>
      <c r="P226" s="334"/>
      <c r="Q226" s="334"/>
      <c r="R226" s="334"/>
      <c r="S226" s="334"/>
      <c r="T226" s="334"/>
      <c r="U226" s="334"/>
      <c r="V226" s="334"/>
      <c r="W226" s="334"/>
      <c r="X226" s="334"/>
      <c r="Y226" s="334"/>
    </row>
    <row r="227" spans="1:25">
      <c r="A227" s="334"/>
      <c r="B227" s="334"/>
      <c r="C227" s="334"/>
      <c r="D227" s="334"/>
      <c r="E227" s="334"/>
      <c r="F227" s="334"/>
      <c r="G227" s="334"/>
      <c r="H227" s="334"/>
      <c r="I227" s="334"/>
      <c r="J227" s="334"/>
      <c r="K227" s="334"/>
      <c r="L227" s="334"/>
      <c r="M227" s="334"/>
      <c r="N227" s="334"/>
      <c r="O227" s="334"/>
      <c r="P227" s="334"/>
      <c r="Q227" s="334"/>
      <c r="R227" s="334"/>
      <c r="S227" s="334"/>
      <c r="T227" s="334"/>
      <c r="U227" s="334"/>
      <c r="V227" s="334"/>
      <c r="W227" s="334"/>
      <c r="X227" s="334"/>
      <c r="Y227" s="334"/>
    </row>
    <row r="228" spans="1:25">
      <c r="A228" s="334"/>
      <c r="B228" s="334"/>
      <c r="C228" s="334"/>
      <c r="D228" s="334"/>
      <c r="E228" s="334"/>
      <c r="F228" s="334"/>
      <c r="G228" s="334"/>
      <c r="H228" s="334"/>
      <c r="I228" s="334"/>
      <c r="J228" s="334"/>
      <c r="K228" s="334"/>
      <c r="L228" s="334"/>
      <c r="M228" s="334"/>
      <c r="N228" s="334"/>
      <c r="O228" s="334"/>
      <c r="P228" s="334"/>
      <c r="Q228" s="334"/>
      <c r="R228" s="334"/>
      <c r="S228" s="334"/>
      <c r="T228" s="334"/>
      <c r="U228" s="334"/>
      <c r="V228" s="334"/>
      <c r="W228" s="334"/>
      <c r="X228" s="334"/>
      <c r="Y228" s="334"/>
    </row>
    <row r="229" spans="1:25">
      <c r="A229" s="334"/>
      <c r="B229" s="334"/>
      <c r="C229" s="334"/>
      <c r="D229" s="334"/>
      <c r="E229" s="334"/>
      <c r="F229" s="334"/>
      <c r="G229" s="334"/>
      <c r="H229" s="334"/>
      <c r="I229" s="334"/>
      <c r="J229" s="334"/>
      <c r="K229" s="334"/>
      <c r="L229" s="334"/>
      <c r="M229" s="334"/>
      <c r="N229" s="334"/>
      <c r="O229" s="334"/>
      <c r="P229" s="334"/>
      <c r="Q229" s="334"/>
      <c r="R229" s="334"/>
      <c r="S229" s="334"/>
      <c r="T229" s="334"/>
      <c r="U229" s="334"/>
      <c r="V229" s="334"/>
      <c r="W229" s="334"/>
      <c r="X229" s="334"/>
      <c r="Y229" s="334"/>
    </row>
    <row r="230" spans="1:25">
      <c r="A230" s="334"/>
      <c r="B230" s="334"/>
      <c r="C230" s="334"/>
      <c r="D230" s="334"/>
      <c r="E230" s="334"/>
      <c r="F230" s="334"/>
      <c r="G230" s="334"/>
      <c r="H230" s="334"/>
      <c r="I230" s="334"/>
      <c r="J230" s="334"/>
      <c r="K230" s="334"/>
      <c r="L230" s="334"/>
      <c r="M230" s="334"/>
      <c r="N230" s="334"/>
      <c r="O230" s="334"/>
      <c r="P230" s="334"/>
      <c r="Q230" s="334"/>
      <c r="R230" s="334"/>
      <c r="S230" s="334"/>
      <c r="T230" s="334"/>
      <c r="U230" s="334"/>
      <c r="V230" s="334"/>
      <c r="W230" s="334"/>
      <c r="X230" s="334"/>
      <c r="Y230" s="334"/>
    </row>
    <row r="231" spans="1:25">
      <c r="A231" s="334"/>
      <c r="B231" s="334"/>
      <c r="C231" s="334"/>
      <c r="D231" s="334"/>
      <c r="E231" s="334"/>
      <c r="F231" s="334"/>
      <c r="G231" s="334"/>
      <c r="H231" s="334"/>
      <c r="I231" s="334"/>
      <c r="J231" s="334"/>
      <c r="K231" s="334"/>
      <c r="L231" s="334"/>
      <c r="M231" s="334"/>
      <c r="N231" s="334"/>
      <c r="O231" s="334"/>
      <c r="P231" s="334"/>
      <c r="Q231" s="334"/>
      <c r="R231" s="334"/>
      <c r="S231" s="334"/>
      <c r="T231" s="334"/>
      <c r="U231" s="334"/>
      <c r="V231" s="334"/>
      <c r="W231" s="334"/>
      <c r="X231" s="334"/>
      <c r="Y231" s="334"/>
    </row>
    <row r="232" spans="1:25">
      <c r="A232" s="334"/>
      <c r="B232" s="334"/>
      <c r="C232" s="334"/>
      <c r="D232" s="334"/>
      <c r="E232" s="334"/>
      <c r="F232" s="334"/>
      <c r="G232" s="334"/>
      <c r="H232" s="334"/>
      <c r="I232" s="334"/>
      <c r="J232" s="334"/>
      <c r="K232" s="334"/>
      <c r="L232" s="334"/>
      <c r="M232" s="334"/>
      <c r="N232" s="334"/>
      <c r="O232" s="334"/>
      <c r="P232" s="334"/>
      <c r="Q232" s="334"/>
      <c r="R232" s="334"/>
      <c r="S232" s="334"/>
      <c r="T232" s="334"/>
      <c r="U232" s="334"/>
      <c r="V232" s="334"/>
      <c r="W232" s="334"/>
      <c r="X232" s="334"/>
      <c r="Y232" s="334"/>
    </row>
    <row r="233" spans="1:25">
      <c r="A233" s="334"/>
      <c r="B233" s="334"/>
      <c r="C233" s="334"/>
      <c r="D233" s="334"/>
      <c r="E233" s="334"/>
      <c r="F233" s="334"/>
      <c r="G233" s="334"/>
      <c r="H233" s="334"/>
      <c r="I233" s="334"/>
      <c r="J233" s="334"/>
      <c r="K233" s="334"/>
      <c r="L233" s="334"/>
      <c r="M233" s="334"/>
      <c r="N233" s="334"/>
      <c r="O233" s="334"/>
      <c r="P233" s="334"/>
      <c r="Q233" s="334"/>
      <c r="R233" s="334"/>
      <c r="S233" s="334"/>
      <c r="T233" s="334"/>
      <c r="U233" s="334"/>
      <c r="V233" s="334"/>
      <c r="W233" s="334"/>
      <c r="X233" s="334"/>
      <c r="Y233" s="334"/>
    </row>
    <row r="234" spans="1:25">
      <c r="A234" s="334"/>
      <c r="B234" s="334"/>
      <c r="C234" s="334"/>
      <c r="D234" s="334"/>
      <c r="E234" s="334"/>
      <c r="F234" s="334"/>
      <c r="G234" s="334"/>
      <c r="H234" s="334"/>
      <c r="I234" s="334"/>
      <c r="J234" s="334"/>
      <c r="K234" s="334"/>
      <c r="L234" s="334"/>
      <c r="M234" s="334"/>
      <c r="N234" s="334"/>
      <c r="O234" s="334"/>
      <c r="P234" s="334"/>
      <c r="Q234" s="334"/>
      <c r="R234" s="334"/>
      <c r="S234" s="334"/>
      <c r="T234" s="334"/>
      <c r="U234" s="334"/>
      <c r="V234" s="334"/>
      <c r="W234" s="334"/>
      <c r="X234" s="334"/>
      <c r="Y234" s="334"/>
    </row>
    <row r="235" spans="1:25">
      <c r="A235" s="334"/>
      <c r="B235" s="334"/>
      <c r="C235" s="334"/>
      <c r="D235" s="334"/>
      <c r="E235" s="334"/>
      <c r="F235" s="334"/>
      <c r="G235" s="334"/>
      <c r="H235" s="334"/>
      <c r="I235" s="334"/>
      <c r="J235" s="334"/>
      <c r="K235" s="334"/>
      <c r="L235" s="334"/>
      <c r="M235" s="334"/>
      <c r="N235" s="334"/>
      <c r="O235" s="334"/>
      <c r="P235" s="334"/>
      <c r="Q235" s="334"/>
      <c r="R235" s="334"/>
      <c r="S235" s="334"/>
      <c r="T235" s="334"/>
      <c r="U235" s="334"/>
      <c r="V235" s="334"/>
      <c r="W235" s="334"/>
      <c r="X235" s="334"/>
      <c r="Y235" s="334"/>
    </row>
    <row r="236" spans="1:25">
      <c r="A236" s="334"/>
      <c r="B236" s="334"/>
      <c r="C236" s="334"/>
      <c r="D236" s="334"/>
      <c r="E236" s="334"/>
      <c r="F236" s="334"/>
      <c r="G236" s="334"/>
      <c r="H236" s="334"/>
      <c r="I236" s="334"/>
      <c r="J236" s="334"/>
      <c r="K236" s="334"/>
      <c r="L236" s="334"/>
      <c r="M236" s="334"/>
      <c r="N236" s="334"/>
      <c r="O236" s="334"/>
      <c r="P236" s="334"/>
      <c r="Q236" s="334"/>
      <c r="R236" s="334"/>
      <c r="S236" s="334"/>
      <c r="T236" s="334"/>
      <c r="U236" s="334"/>
      <c r="V236" s="334"/>
      <c r="W236" s="334"/>
      <c r="X236" s="334"/>
      <c r="Y236" s="334"/>
    </row>
    <row r="237" spans="1:25">
      <c r="A237" s="334"/>
      <c r="B237" s="334"/>
      <c r="C237" s="334"/>
      <c r="D237" s="334"/>
      <c r="E237" s="334"/>
      <c r="F237" s="334"/>
      <c r="G237" s="334"/>
      <c r="H237" s="334"/>
      <c r="I237" s="334"/>
      <c r="J237" s="334"/>
      <c r="K237" s="334"/>
      <c r="L237" s="334"/>
      <c r="M237" s="334"/>
      <c r="N237" s="334"/>
      <c r="O237" s="334"/>
      <c r="P237" s="334"/>
      <c r="Q237" s="334"/>
      <c r="R237" s="334"/>
      <c r="S237" s="334"/>
      <c r="T237" s="334"/>
      <c r="U237" s="334"/>
      <c r="V237" s="334"/>
      <c r="W237" s="334"/>
      <c r="X237" s="334"/>
      <c r="Y237" s="334"/>
    </row>
    <row r="238" spans="1:25">
      <c r="A238" s="334"/>
      <c r="B238" s="334"/>
      <c r="C238" s="334"/>
      <c r="D238" s="334"/>
      <c r="E238" s="334"/>
      <c r="F238" s="334"/>
      <c r="G238" s="334"/>
      <c r="H238" s="334"/>
      <c r="I238" s="334"/>
      <c r="J238" s="334"/>
      <c r="K238" s="334"/>
      <c r="L238" s="334"/>
      <c r="M238" s="334"/>
      <c r="N238" s="334"/>
      <c r="O238" s="334"/>
      <c r="P238" s="334"/>
      <c r="Q238" s="334"/>
      <c r="R238" s="334"/>
      <c r="S238" s="334"/>
      <c r="T238" s="334"/>
      <c r="U238" s="334"/>
      <c r="V238" s="334"/>
      <c r="W238" s="334"/>
      <c r="X238" s="334"/>
      <c r="Y238" s="334"/>
    </row>
    <row r="239" spans="1:25">
      <c r="A239" s="334"/>
      <c r="B239" s="334"/>
      <c r="C239" s="334"/>
      <c r="D239" s="334"/>
      <c r="E239" s="334"/>
      <c r="F239" s="334"/>
      <c r="G239" s="334"/>
      <c r="H239" s="334"/>
      <c r="I239" s="334"/>
      <c r="J239" s="334"/>
      <c r="K239" s="334"/>
      <c r="L239" s="334"/>
      <c r="M239" s="334"/>
      <c r="N239" s="334"/>
      <c r="O239" s="334"/>
      <c r="P239" s="334"/>
      <c r="Q239" s="334"/>
      <c r="R239" s="334"/>
      <c r="S239" s="334"/>
      <c r="T239" s="334"/>
      <c r="U239" s="334"/>
      <c r="V239" s="334"/>
      <c r="W239" s="334"/>
      <c r="X239" s="334"/>
      <c r="Y239" s="334"/>
    </row>
    <row r="240" spans="1:25">
      <c r="A240" s="334"/>
      <c r="B240" s="334"/>
      <c r="C240" s="334"/>
      <c r="D240" s="334"/>
      <c r="E240" s="334"/>
      <c r="F240" s="334"/>
      <c r="G240" s="334"/>
      <c r="H240" s="334"/>
      <c r="I240" s="334"/>
      <c r="J240" s="334"/>
      <c r="K240" s="334"/>
      <c r="L240" s="334"/>
      <c r="M240" s="334"/>
      <c r="N240" s="334"/>
      <c r="O240" s="334"/>
      <c r="P240" s="334"/>
      <c r="Q240" s="334"/>
      <c r="R240" s="334"/>
      <c r="S240" s="334"/>
      <c r="T240" s="334"/>
      <c r="U240" s="334"/>
      <c r="V240" s="334"/>
      <c r="W240" s="334"/>
      <c r="X240" s="334"/>
      <c r="Y240" s="334"/>
    </row>
    <row r="241" spans="1:25">
      <c r="A241" s="334"/>
      <c r="B241" s="334"/>
      <c r="C241" s="334"/>
      <c r="D241" s="334"/>
      <c r="E241" s="334"/>
      <c r="F241" s="334"/>
      <c r="G241" s="334"/>
      <c r="H241" s="334"/>
      <c r="I241" s="334"/>
      <c r="J241" s="334"/>
      <c r="K241" s="334"/>
      <c r="L241" s="334"/>
      <c r="M241" s="334"/>
      <c r="N241" s="334"/>
      <c r="O241" s="334"/>
      <c r="P241" s="334"/>
      <c r="Q241" s="334"/>
      <c r="R241" s="334"/>
      <c r="S241" s="334"/>
      <c r="T241" s="334"/>
      <c r="U241" s="334"/>
      <c r="V241" s="334"/>
      <c r="W241" s="334"/>
      <c r="X241" s="334"/>
      <c r="Y241" s="334"/>
    </row>
    <row r="242" spans="1:25">
      <c r="A242" s="334"/>
      <c r="B242" s="334"/>
      <c r="C242" s="334"/>
      <c r="D242" s="334"/>
      <c r="E242" s="334"/>
      <c r="F242" s="334"/>
      <c r="G242" s="334"/>
      <c r="H242" s="334"/>
      <c r="I242" s="334"/>
      <c r="J242" s="334"/>
      <c r="K242" s="334"/>
      <c r="L242" s="334"/>
      <c r="M242" s="334"/>
      <c r="N242" s="334"/>
      <c r="O242" s="334"/>
      <c r="P242" s="334"/>
      <c r="Q242" s="334"/>
      <c r="R242" s="334"/>
      <c r="S242" s="334"/>
      <c r="T242" s="334"/>
      <c r="U242" s="334"/>
      <c r="V242" s="334"/>
      <c r="W242" s="334"/>
      <c r="X242" s="334"/>
      <c r="Y242" s="334"/>
    </row>
    <row r="243" spans="1:25">
      <c r="A243" s="334"/>
      <c r="B243" s="334"/>
      <c r="C243" s="334"/>
      <c r="D243" s="334"/>
      <c r="E243" s="334"/>
      <c r="F243" s="334"/>
      <c r="G243" s="334"/>
      <c r="H243" s="334"/>
      <c r="I243" s="334"/>
      <c r="J243" s="334"/>
      <c r="K243" s="334"/>
      <c r="L243" s="334"/>
      <c r="M243" s="334"/>
      <c r="N243" s="334"/>
      <c r="O243" s="334"/>
      <c r="P243" s="334"/>
      <c r="Q243" s="334"/>
      <c r="R243" s="334"/>
      <c r="S243" s="334"/>
      <c r="T243" s="334"/>
      <c r="U243" s="334"/>
      <c r="V243" s="334"/>
      <c r="W243" s="334"/>
      <c r="X243" s="334"/>
      <c r="Y243" s="334"/>
    </row>
    <row r="244" spans="1:25">
      <c r="A244" s="334"/>
      <c r="B244" s="334"/>
      <c r="C244" s="334"/>
      <c r="D244" s="334"/>
      <c r="E244" s="334"/>
      <c r="F244" s="334"/>
      <c r="G244" s="334"/>
      <c r="H244" s="334"/>
      <c r="I244" s="334"/>
      <c r="J244" s="334"/>
      <c r="K244" s="334"/>
      <c r="L244" s="334"/>
      <c r="M244" s="334"/>
      <c r="N244" s="334"/>
      <c r="O244" s="334"/>
      <c r="P244" s="334"/>
      <c r="Q244" s="334"/>
      <c r="R244" s="334"/>
      <c r="S244" s="334"/>
      <c r="T244" s="334"/>
      <c r="U244" s="334"/>
      <c r="V244" s="334"/>
      <c r="W244" s="334"/>
      <c r="X244" s="334"/>
      <c r="Y244" s="334"/>
    </row>
    <row r="245" spans="1:25">
      <c r="A245" s="334"/>
      <c r="B245" s="334"/>
      <c r="C245" s="334"/>
      <c r="D245" s="334"/>
      <c r="E245" s="334"/>
      <c r="F245" s="334"/>
      <c r="G245" s="334"/>
      <c r="H245" s="334"/>
      <c r="I245" s="334"/>
      <c r="J245" s="334"/>
      <c r="K245" s="334"/>
      <c r="L245" s="334"/>
      <c r="M245" s="334"/>
      <c r="N245" s="334"/>
      <c r="O245" s="334"/>
      <c r="P245" s="334"/>
      <c r="Q245" s="334"/>
      <c r="R245" s="334"/>
      <c r="S245" s="334"/>
      <c r="T245" s="334"/>
      <c r="U245" s="334"/>
      <c r="V245" s="334"/>
      <c r="W245" s="334"/>
      <c r="X245" s="334"/>
      <c r="Y245" s="334"/>
    </row>
    <row r="246" spans="1:25">
      <c r="A246" s="334"/>
      <c r="B246" s="334"/>
      <c r="C246" s="334"/>
      <c r="D246" s="334"/>
      <c r="E246" s="334"/>
      <c r="F246" s="334"/>
      <c r="G246" s="334"/>
      <c r="H246" s="334"/>
      <c r="I246" s="334"/>
      <c r="J246" s="334"/>
      <c r="K246" s="334"/>
      <c r="L246" s="334"/>
      <c r="M246" s="334"/>
      <c r="N246" s="334"/>
      <c r="O246" s="334"/>
      <c r="P246" s="334"/>
      <c r="Q246" s="334"/>
      <c r="R246" s="334"/>
      <c r="S246" s="334"/>
      <c r="T246" s="334"/>
      <c r="U246" s="334"/>
      <c r="V246" s="334"/>
      <c r="W246" s="334"/>
      <c r="X246" s="334"/>
      <c r="Y246" s="334"/>
    </row>
    <row r="247" spans="1:25">
      <c r="A247" s="334"/>
      <c r="B247" s="334"/>
      <c r="C247" s="334"/>
      <c r="D247" s="334"/>
      <c r="E247" s="334"/>
      <c r="F247" s="334"/>
      <c r="G247" s="334"/>
      <c r="H247" s="334"/>
      <c r="I247" s="334"/>
      <c r="J247" s="334"/>
      <c r="K247" s="334"/>
      <c r="L247" s="334"/>
      <c r="M247" s="334"/>
      <c r="N247" s="334"/>
      <c r="O247" s="334"/>
      <c r="P247" s="334"/>
      <c r="Q247" s="334"/>
      <c r="R247" s="334"/>
      <c r="S247" s="334"/>
      <c r="T247" s="334"/>
      <c r="U247" s="334"/>
      <c r="V247" s="334"/>
      <c r="W247" s="334"/>
      <c r="X247" s="334"/>
      <c r="Y247" s="334"/>
    </row>
    <row r="248" spans="1:25">
      <c r="A248" s="334"/>
      <c r="B248" s="334"/>
      <c r="C248" s="334"/>
      <c r="D248" s="334"/>
      <c r="E248" s="334"/>
      <c r="F248" s="334"/>
      <c r="G248" s="334"/>
      <c r="H248" s="334"/>
      <c r="I248" s="334"/>
      <c r="J248" s="334"/>
      <c r="K248" s="334"/>
      <c r="L248" s="334"/>
      <c r="M248" s="334"/>
      <c r="N248" s="334"/>
      <c r="O248" s="334"/>
      <c r="P248" s="334"/>
      <c r="Q248" s="334"/>
      <c r="R248" s="334"/>
      <c r="S248" s="334"/>
      <c r="T248" s="334"/>
      <c r="U248" s="334"/>
      <c r="V248" s="334"/>
      <c r="W248" s="334"/>
      <c r="X248" s="334"/>
      <c r="Y248" s="334"/>
    </row>
    <row r="249" spans="1:25">
      <c r="A249" s="334"/>
      <c r="B249" s="334"/>
      <c r="C249" s="334"/>
      <c r="D249" s="334"/>
      <c r="E249" s="334"/>
      <c r="F249" s="334"/>
      <c r="G249" s="334"/>
      <c r="H249" s="334"/>
      <c r="I249" s="334"/>
      <c r="J249" s="334"/>
      <c r="K249" s="334"/>
      <c r="L249" s="334"/>
      <c r="M249" s="334"/>
      <c r="N249" s="334"/>
      <c r="O249" s="334"/>
      <c r="P249" s="334"/>
      <c r="Q249" s="334"/>
      <c r="R249" s="334"/>
      <c r="S249" s="334"/>
      <c r="T249" s="334"/>
      <c r="U249" s="334"/>
      <c r="V249" s="334"/>
      <c r="W249" s="334"/>
      <c r="X249" s="334"/>
      <c r="Y249" s="334"/>
    </row>
    <row r="250" spans="1:25">
      <c r="A250" s="334"/>
      <c r="B250" s="334"/>
      <c r="C250" s="334"/>
      <c r="D250" s="334"/>
      <c r="E250" s="334"/>
      <c r="F250" s="334"/>
      <c r="G250" s="334"/>
      <c r="H250" s="334"/>
      <c r="I250" s="334"/>
      <c r="J250" s="334"/>
      <c r="K250" s="334"/>
      <c r="L250" s="334"/>
      <c r="M250" s="334"/>
      <c r="N250" s="334"/>
      <c r="O250" s="334"/>
      <c r="P250" s="334"/>
      <c r="Q250" s="334"/>
      <c r="R250" s="334"/>
      <c r="S250" s="334"/>
      <c r="T250" s="334"/>
      <c r="U250" s="334"/>
      <c r="V250" s="334"/>
      <c r="W250" s="334"/>
      <c r="X250" s="334"/>
      <c r="Y250" s="334"/>
    </row>
    <row r="251" spans="1:25">
      <c r="A251" s="334"/>
      <c r="B251" s="334"/>
      <c r="C251" s="334"/>
      <c r="D251" s="334"/>
      <c r="E251" s="334"/>
      <c r="F251" s="334"/>
      <c r="G251" s="334"/>
      <c r="H251" s="334"/>
      <c r="I251" s="334"/>
      <c r="J251" s="334"/>
      <c r="K251" s="334"/>
      <c r="L251" s="334"/>
      <c r="M251" s="334"/>
      <c r="N251" s="334"/>
      <c r="O251" s="334"/>
      <c r="P251" s="334"/>
      <c r="Q251" s="334"/>
      <c r="R251" s="334"/>
      <c r="S251" s="334"/>
      <c r="T251" s="334"/>
      <c r="U251" s="334"/>
      <c r="V251" s="334"/>
      <c r="W251" s="334"/>
      <c r="X251" s="334"/>
      <c r="Y251" s="334"/>
    </row>
    <row r="252" spans="1:25">
      <c r="A252" s="334"/>
      <c r="B252" s="334"/>
      <c r="C252" s="334"/>
      <c r="D252" s="334"/>
      <c r="E252" s="334"/>
      <c r="F252" s="334"/>
      <c r="G252" s="334"/>
      <c r="H252" s="334"/>
      <c r="I252" s="334"/>
      <c r="J252" s="334"/>
      <c r="K252" s="334"/>
      <c r="L252" s="334"/>
      <c r="M252" s="334"/>
      <c r="N252" s="334"/>
      <c r="O252" s="334"/>
      <c r="P252" s="334"/>
      <c r="Q252" s="334"/>
      <c r="R252" s="334"/>
      <c r="S252" s="334"/>
      <c r="T252" s="334"/>
      <c r="U252" s="334"/>
      <c r="V252" s="334"/>
      <c r="W252" s="334"/>
      <c r="X252" s="334"/>
      <c r="Y252" s="334"/>
    </row>
    <row r="253" spans="1:25">
      <c r="A253" s="334"/>
      <c r="B253" s="334"/>
      <c r="C253" s="334"/>
      <c r="D253" s="334"/>
      <c r="E253" s="334"/>
      <c r="F253" s="334"/>
      <c r="G253" s="334"/>
      <c r="H253" s="334"/>
      <c r="I253" s="334"/>
      <c r="J253" s="334"/>
      <c r="K253" s="334"/>
      <c r="L253" s="334"/>
      <c r="M253" s="334"/>
      <c r="N253" s="334"/>
      <c r="O253" s="334"/>
      <c r="P253" s="334"/>
      <c r="Q253" s="334"/>
      <c r="R253" s="334"/>
      <c r="S253" s="334"/>
      <c r="T253" s="334"/>
      <c r="U253" s="334"/>
      <c r="V253" s="334"/>
      <c r="W253" s="334"/>
      <c r="X253" s="334"/>
      <c r="Y253" s="334"/>
    </row>
    <row r="254" spans="1:25">
      <c r="A254" s="334"/>
      <c r="B254" s="334"/>
      <c r="C254" s="334"/>
      <c r="D254" s="334"/>
      <c r="E254" s="334"/>
      <c r="F254" s="334"/>
      <c r="G254" s="334"/>
      <c r="H254" s="334"/>
      <c r="I254" s="334"/>
      <c r="J254" s="334"/>
      <c r="K254" s="334"/>
      <c r="L254" s="334"/>
      <c r="M254" s="334"/>
      <c r="N254" s="334"/>
      <c r="O254" s="334"/>
      <c r="P254" s="334"/>
      <c r="Q254" s="334"/>
      <c r="R254" s="334"/>
      <c r="S254" s="334"/>
      <c r="T254" s="334"/>
      <c r="U254" s="334"/>
      <c r="V254" s="334"/>
      <c r="W254" s="334"/>
      <c r="X254" s="334"/>
      <c r="Y254" s="334"/>
    </row>
    <row r="255" spans="1:25">
      <c r="A255" s="334"/>
      <c r="B255" s="334"/>
      <c r="C255" s="334"/>
      <c r="D255" s="334"/>
      <c r="E255" s="334"/>
      <c r="F255" s="334"/>
      <c r="G255" s="334"/>
      <c r="H255" s="334"/>
      <c r="I255" s="334"/>
      <c r="J255" s="334"/>
      <c r="K255" s="334"/>
      <c r="L255" s="334"/>
      <c r="M255" s="334"/>
      <c r="N255" s="334"/>
      <c r="O255" s="334"/>
      <c r="P255" s="334"/>
      <c r="Q255" s="334"/>
      <c r="R255" s="334"/>
      <c r="S255" s="334"/>
      <c r="T255" s="334"/>
      <c r="U255" s="334"/>
      <c r="V255" s="334"/>
      <c r="W255" s="334"/>
      <c r="X255" s="334"/>
      <c r="Y255" s="334"/>
    </row>
    <row r="256" spans="1:25">
      <c r="A256" s="334"/>
      <c r="B256" s="334"/>
      <c r="C256" s="334"/>
      <c r="D256" s="334"/>
      <c r="E256" s="334"/>
      <c r="F256" s="334"/>
      <c r="G256" s="334"/>
      <c r="H256" s="334"/>
      <c r="I256" s="334"/>
      <c r="J256" s="334"/>
      <c r="K256" s="334"/>
      <c r="L256" s="334"/>
      <c r="M256" s="334"/>
      <c r="N256" s="334"/>
      <c r="O256" s="334"/>
      <c r="P256" s="334"/>
      <c r="Q256" s="334"/>
      <c r="R256" s="334"/>
      <c r="S256" s="334"/>
      <c r="T256" s="334"/>
      <c r="U256" s="334"/>
      <c r="V256" s="334"/>
      <c r="W256" s="334"/>
      <c r="X256" s="334"/>
      <c r="Y256" s="334"/>
    </row>
    <row r="257" spans="1:25">
      <c r="A257" s="334"/>
      <c r="B257" s="334"/>
      <c r="C257" s="334"/>
      <c r="D257" s="334"/>
      <c r="E257" s="334"/>
      <c r="F257" s="334"/>
      <c r="G257" s="334"/>
      <c r="H257" s="334"/>
      <c r="I257" s="334"/>
      <c r="J257" s="334"/>
      <c r="K257" s="334"/>
      <c r="L257" s="334"/>
      <c r="M257" s="334"/>
      <c r="N257" s="334"/>
      <c r="O257" s="334"/>
      <c r="P257" s="334"/>
      <c r="Q257" s="334"/>
      <c r="R257" s="334"/>
      <c r="S257" s="334"/>
      <c r="T257" s="334"/>
      <c r="U257" s="334"/>
      <c r="V257" s="334"/>
      <c r="W257" s="334"/>
      <c r="X257" s="334"/>
      <c r="Y257" s="334"/>
    </row>
    <row r="258" spans="1:25">
      <c r="A258" s="334"/>
      <c r="B258" s="334"/>
      <c r="C258" s="334"/>
      <c r="D258" s="334"/>
      <c r="E258" s="334"/>
      <c r="F258" s="334"/>
      <c r="G258" s="334"/>
      <c r="H258" s="334"/>
      <c r="I258" s="334"/>
      <c r="J258" s="334"/>
      <c r="K258" s="334"/>
      <c r="L258" s="334"/>
      <c r="M258" s="334"/>
      <c r="N258" s="334"/>
      <c r="O258" s="334"/>
      <c r="P258" s="334"/>
      <c r="Q258" s="334"/>
      <c r="R258" s="334"/>
      <c r="S258" s="334"/>
      <c r="T258" s="334"/>
      <c r="U258" s="334"/>
      <c r="V258" s="334"/>
      <c r="W258" s="334"/>
      <c r="X258" s="334"/>
      <c r="Y258" s="334"/>
    </row>
    <row r="259" spans="1:25">
      <c r="A259" s="334"/>
      <c r="B259" s="334"/>
      <c r="C259" s="334"/>
      <c r="D259" s="334"/>
      <c r="E259" s="334"/>
      <c r="F259" s="334"/>
      <c r="G259" s="334"/>
      <c r="H259" s="334"/>
      <c r="I259" s="334"/>
      <c r="J259" s="334"/>
      <c r="K259" s="334"/>
      <c r="L259" s="334"/>
      <c r="M259" s="334"/>
      <c r="N259" s="334"/>
      <c r="O259" s="334"/>
      <c r="P259" s="334"/>
      <c r="Q259" s="334"/>
      <c r="R259" s="334"/>
      <c r="S259" s="334"/>
      <c r="T259" s="334"/>
      <c r="U259" s="334"/>
      <c r="V259" s="334"/>
      <c r="W259" s="334"/>
      <c r="X259" s="334"/>
      <c r="Y259" s="334"/>
    </row>
    <row r="260" spans="1:25">
      <c r="A260" s="334"/>
      <c r="B260" s="334"/>
      <c r="C260" s="334"/>
      <c r="D260" s="334"/>
      <c r="E260" s="334"/>
      <c r="F260" s="334"/>
      <c r="G260" s="334"/>
      <c r="H260" s="334"/>
      <c r="I260" s="334"/>
      <c r="J260" s="334"/>
      <c r="K260" s="334"/>
      <c r="L260" s="334"/>
      <c r="M260" s="334"/>
      <c r="N260" s="334"/>
      <c r="O260" s="334"/>
      <c r="P260" s="334"/>
      <c r="Q260" s="334"/>
      <c r="R260" s="334"/>
      <c r="S260" s="334"/>
      <c r="T260" s="334"/>
      <c r="U260" s="334"/>
      <c r="V260" s="334"/>
      <c r="W260" s="334"/>
      <c r="X260" s="334"/>
      <c r="Y260" s="334"/>
    </row>
    <row r="261" spans="1:25">
      <c r="A261" s="334"/>
      <c r="B261" s="334"/>
      <c r="C261" s="334"/>
      <c r="D261" s="334"/>
      <c r="E261" s="334"/>
      <c r="F261" s="334"/>
      <c r="G261" s="334"/>
      <c r="H261" s="334"/>
      <c r="I261" s="334"/>
      <c r="J261" s="334"/>
      <c r="K261" s="334"/>
      <c r="L261" s="334"/>
      <c r="M261" s="334"/>
      <c r="N261" s="334"/>
      <c r="O261" s="334"/>
      <c r="P261" s="334"/>
      <c r="Q261" s="334"/>
      <c r="R261" s="334"/>
      <c r="S261" s="334"/>
      <c r="T261" s="334"/>
      <c r="U261" s="334"/>
      <c r="V261" s="334"/>
      <c r="W261" s="334"/>
      <c r="X261" s="334"/>
      <c r="Y261" s="334"/>
    </row>
    <row r="262" spans="1:25">
      <c r="A262" s="334"/>
      <c r="B262" s="334"/>
      <c r="C262" s="334"/>
      <c r="D262" s="334"/>
      <c r="E262" s="334"/>
      <c r="F262" s="334"/>
      <c r="G262" s="334"/>
      <c r="H262" s="334"/>
      <c r="I262" s="334"/>
      <c r="J262" s="334"/>
      <c r="K262" s="334"/>
      <c r="L262" s="334"/>
      <c r="M262" s="334"/>
      <c r="N262" s="334"/>
      <c r="O262" s="334"/>
      <c r="P262" s="334"/>
      <c r="Q262" s="334"/>
      <c r="R262" s="334"/>
      <c r="S262" s="334"/>
      <c r="T262" s="334"/>
      <c r="U262" s="334"/>
      <c r="V262" s="334"/>
      <c r="W262" s="334"/>
      <c r="X262" s="334"/>
      <c r="Y262" s="334"/>
    </row>
    <row r="263" spans="1:25">
      <c r="A263" s="334"/>
      <c r="B263" s="334"/>
      <c r="C263" s="334"/>
      <c r="D263" s="334"/>
      <c r="E263" s="334"/>
      <c r="F263" s="334"/>
      <c r="G263" s="334"/>
      <c r="H263" s="334"/>
      <c r="I263" s="334"/>
      <c r="J263" s="334"/>
      <c r="K263" s="334"/>
      <c r="L263" s="334"/>
      <c r="M263" s="334"/>
      <c r="N263" s="334"/>
      <c r="O263" s="334"/>
      <c r="P263" s="334"/>
      <c r="Q263" s="334"/>
      <c r="R263" s="334"/>
      <c r="S263" s="334"/>
      <c r="T263" s="334"/>
      <c r="U263" s="334"/>
      <c r="V263" s="334"/>
      <c r="W263" s="334"/>
      <c r="X263" s="334"/>
      <c r="Y263" s="334"/>
    </row>
    <row r="264" spans="1:25">
      <c r="A264" s="334"/>
      <c r="B264" s="334"/>
      <c r="C264" s="334"/>
      <c r="D264" s="334"/>
      <c r="E264" s="334"/>
      <c r="F264" s="334"/>
      <c r="G264" s="334"/>
      <c r="H264" s="334"/>
      <c r="I264" s="334"/>
      <c r="J264" s="334"/>
      <c r="K264" s="334"/>
      <c r="L264" s="334"/>
      <c r="M264" s="334"/>
      <c r="N264" s="334"/>
      <c r="O264" s="334"/>
      <c r="P264" s="334"/>
      <c r="Q264" s="334"/>
      <c r="R264" s="334"/>
      <c r="S264" s="334"/>
      <c r="T264" s="334"/>
      <c r="U264" s="334"/>
      <c r="V264" s="334"/>
      <c r="W264" s="334"/>
      <c r="X264" s="334"/>
      <c r="Y264" s="334"/>
    </row>
    <row r="265" spans="1:25">
      <c r="A265" s="334"/>
      <c r="B265" s="334"/>
      <c r="C265" s="334"/>
      <c r="D265" s="334"/>
      <c r="E265" s="334"/>
      <c r="F265" s="334"/>
      <c r="G265" s="334"/>
      <c r="H265" s="334"/>
      <c r="I265" s="334"/>
      <c r="J265" s="334"/>
      <c r="K265" s="334"/>
      <c r="L265" s="334"/>
      <c r="M265" s="334"/>
      <c r="N265" s="334"/>
      <c r="O265" s="334"/>
      <c r="P265" s="334"/>
      <c r="Q265" s="334"/>
      <c r="R265" s="334"/>
      <c r="S265" s="334"/>
      <c r="T265" s="334"/>
      <c r="U265" s="334"/>
      <c r="V265" s="334"/>
      <c r="W265" s="334"/>
      <c r="X265" s="334"/>
      <c r="Y265" s="334"/>
    </row>
    <row r="266" spans="1:25">
      <c r="A266" s="334"/>
      <c r="B266" s="334"/>
      <c r="C266" s="334"/>
      <c r="D266" s="334"/>
      <c r="E266" s="334"/>
      <c r="F266" s="334"/>
      <c r="G266" s="334"/>
      <c r="H266" s="334"/>
      <c r="I266" s="334"/>
      <c r="J266" s="334"/>
      <c r="K266" s="334"/>
      <c r="L266" s="334"/>
      <c r="M266" s="334"/>
      <c r="N266" s="334"/>
      <c r="O266" s="334"/>
      <c r="P266" s="334"/>
      <c r="Q266" s="334"/>
      <c r="R266" s="334"/>
      <c r="S266" s="334"/>
      <c r="T266" s="334"/>
      <c r="U266" s="334"/>
      <c r="V266" s="334"/>
      <c r="W266" s="334"/>
      <c r="X266" s="334"/>
      <c r="Y266" s="334"/>
    </row>
    <row r="267" spans="1:25">
      <c r="A267" s="334"/>
      <c r="B267" s="334"/>
      <c r="C267" s="334"/>
      <c r="D267" s="334"/>
      <c r="E267" s="334"/>
      <c r="F267" s="334"/>
      <c r="G267" s="334"/>
      <c r="H267" s="334"/>
      <c r="I267" s="334"/>
      <c r="J267" s="334"/>
      <c r="K267" s="334"/>
      <c r="L267" s="334"/>
      <c r="M267" s="334"/>
      <c r="N267" s="334"/>
      <c r="O267" s="334"/>
      <c r="P267" s="334"/>
      <c r="Q267" s="334"/>
      <c r="R267" s="334"/>
      <c r="S267" s="334"/>
      <c r="T267" s="334"/>
      <c r="U267" s="334"/>
      <c r="V267" s="334"/>
      <c r="W267" s="334"/>
      <c r="X267" s="334"/>
      <c r="Y267" s="334"/>
    </row>
    <row r="268" spans="1:25">
      <c r="A268" s="334"/>
      <c r="B268" s="334"/>
      <c r="C268" s="334"/>
      <c r="D268" s="334"/>
      <c r="E268" s="334"/>
      <c r="F268" s="334"/>
      <c r="G268" s="334"/>
      <c r="H268" s="334"/>
      <c r="I268" s="334"/>
      <c r="J268" s="334"/>
      <c r="K268" s="334"/>
      <c r="L268" s="334"/>
      <c r="M268" s="334"/>
      <c r="N268" s="334"/>
      <c r="O268" s="334"/>
      <c r="P268" s="334"/>
      <c r="Q268" s="334"/>
      <c r="R268" s="334"/>
      <c r="S268" s="334"/>
      <c r="T268" s="334"/>
      <c r="U268" s="334"/>
      <c r="V268" s="334"/>
      <c r="W268" s="334"/>
      <c r="X268" s="334"/>
      <c r="Y268" s="334"/>
    </row>
    <row r="269" spans="1:25">
      <c r="A269" s="334"/>
      <c r="B269" s="334"/>
      <c r="C269" s="334"/>
      <c r="D269" s="334"/>
      <c r="E269" s="334"/>
      <c r="F269" s="334"/>
      <c r="G269" s="334"/>
      <c r="H269" s="334"/>
      <c r="I269" s="334"/>
      <c r="J269" s="334"/>
      <c r="K269" s="334"/>
      <c r="L269" s="334"/>
      <c r="M269" s="334"/>
      <c r="N269" s="334"/>
      <c r="O269" s="334"/>
      <c r="P269" s="334"/>
      <c r="Q269" s="334"/>
      <c r="R269" s="334"/>
      <c r="S269" s="334"/>
      <c r="T269" s="334"/>
      <c r="U269" s="334"/>
      <c r="V269" s="334"/>
      <c r="W269" s="334"/>
      <c r="X269" s="334"/>
      <c r="Y269" s="334"/>
    </row>
    <row r="270" spans="1:25">
      <c r="A270" s="334"/>
      <c r="B270" s="334"/>
      <c r="C270" s="334"/>
      <c r="D270" s="334"/>
      <c r="E270" s="334"/>
      <c r="F270" s="334"/>
      <c r="G270" s="334"/>
      <c r="H270" s="334"/>
      <c r="I270" s="334"/>
      <c r="J270" s="334"/>
      <c r="K270" s="334"/>
      <c r="L270" s="334"/>
      <c r="M270" s="334"/>
      <c r="N270" s="334"/>
      <c r="O270" s="334"/>
      <c r="P270" s="334"/>
      <c r="Q270" s="334"/>
      <c r="R270" s="334"/>
      <c r="S270" s="334"/>
      <c r="T270" s="334"/>
      <c r="U270" s="334"/>
      <c r="V270" s="334"/>
      <c r="W270" s="334"/>
      <c r="X270" s="334"/>
      <c r="Y270" s="334"/>
    </row>
    <row r="271" spans="1:25">
      <c r="A271" s="334"/>
      <c r="B271" s="334"/>
      <c r="C271" s="334"/>
      <c r="D271" s="334"/>
      <c r="E271" s="334"/>
      <c r="F271" s="334"/>
      <c r="G271" s="334"/>
      <c r="H271" s="334"/>
      <c r="I271" s="334"/>
      <c r="J271" s="334"/>
      <c r="K271" s="334"/>
      <c r="L271" s="334"/>
      <c r="M271" s="334"/>
      <c r="N271" s="334"/>
      <c r="O271" s="334"/>
      <c r="P271" s="334"/>
      <c r="Q271" s="334"/>
      <c r="R271" s="334"/>
      <c r="S271" s="334"/>
      <c r="T271" s="334"/>
      <c r="U271" s="334"/>
      <c r="V271" s="334"/>
      <c r="W271" s="334"/>
      <c r="X271" s="334"/>
      <c r="Y271" s="334"/>
    </row>
    <row r="272" spans="1:25">
      <c r="A272" s="334"/>
      <c r="B272" s="334"/>
      <c r="C272" s="334"/>
      <c r="D272" s="334"/>
      <c r="E272" s="334"/>
      <c r="F272" s="334"/>
      <c r="G272" s="334"/>
      <c r="H272" s="334"/>
      <c r="I272" s="334"/>
      <c r="J272" s="334"/>
      <c r="K272" s="334"/>
      <c r="L272" s="334"/>
      <c r="M272" s="334"/>
      <c r="N272" s="334"/>
      <c r="O272" s="334"/>
      <c r="P272" s="334"/>
      <c r="Q272" s="334"/>
      <c r="R272" s="334"/>
      <c r="S272" s="334"/>
      <c r="T272" s="334"/>
      <c r="U272" s="334"/>
      <c r="V272" s="334"/>
      <c r="W272" s="334"/>
      <c r="X272" s="334"/>
      <c r="Y272" s="334"/>
    </row>
    <row r="273" spans="1:25">
      <c r="A273" s="334"/>
      <c r="B273" s="334"/>
      <c r="C273" s="334"/>
      <c r="D273" s="334"/>
      <c r="E273" s="334"/>
      <c r="F273" s="334"/>
      <c r="G273" s="334"/>
      <c r="H273" s="334"/>
      <c r="I273" s="334"/>
      <c r="J273" s="334"/>
      <c r="K273" s="334"/>
      <c r="L273" s="334"/>
      <c r="M273" s="334"/>
      <c r="N273" s="334"/>
      <c r="O273" s="334"/>
      <c r="P273" s="334"/>
      <c r="Q273" s="334"/>
      <c r="R273" s="334"/>
      <c r="S273" s="334"/>
      <c r="T273" s="334"/>
      <c r="U273" s="334"/>
      <c r="V273" s="334"/>
      <c r="W273" s="334"/>
      <c r="X273" s="334"/>
      <c r="Y273" s="334"/>
    </row>
    <row r="274" spans="1:25">
      <c r="A274" s="334"/>
      <c r="B274" s="334"/>
      <c r="C274" s="334"/>
      <c r="D274" s="334"/>
      <c r="E274" s="334"/>
      <c r="F274" s="334"/>
      <c r="G274" s="334"/>
      <c r="H274" s="334"/>
      <c r="I274" s="334"/>
      <c r="J274" s="334"/>
      <c r="K274" s="334"/>
      <c r="L274" s="334"/>
      <c r="M274" s="334"/>
      <c r="N274" s="334"/>
      <c r="O274" s="334"/>
      <c r="P274" s="334"/>
      <c r="Q274" s="334"/>
      <c r="R274" s="334"/>
      <c r="S274" s="334"/>
      <c r="T274" s="334"/>
      <c r="U274" s="334"/>
      <c r="V274" s="334"/>
      <c r="W274" s="334"/>
      <c r="X274" s="334"/>
      <c r="Y274" s="334"/>
    </row>
    <row r="275" spans="1:25">
      <c r="A275" s="334"/>
      <c r="B275" s="334"/>
      <c r="C275" s="334"/>
      <c r="D275" s="334"/>
      <c r="E275" s="334"/>
      <c r="F275" s="334"/>
      <c r="G275" s="334"/>
      <c r="H275" s="334"/>
      <c r="I275" s="334"/>
      <c r="J275" s="334"/>
      <c r="K275" s="334"/>
      <c r="L275" s="334"/>
      <c r="M275" s="334"/>
      <c r="N275" s="334"/>
      <c r="O275" s="334"/>
      <c r="P275" s="334"/>
      <c r="Q275" s="334"/>
      <c r="R275" s="334"/>
      <c r="S275" s="334"/>
      <c r="T275" s="334"/>
      <c r="U275" s="334"/>
      <c r="V275" s="334"/>
      <c r="W275" s="334"/>
      <c r="X275" s="334"/>
      <c r="Y275" s="334"/>
    </row>
    <row r="276" spans="1:25">
      <c r="A276" s="334"/>
      <c r="B276" s="334"/>
      <c r="C276" s="334"/>
      <c r="D276" s="334"/>
      <c r="E276" s="334"/>
      <c r="F276" s="334"/>
      <c r="G276" s="334"/>
      <c r="H276" s="334"/>
      <c r="I276" s="334"/>
      <c r="J276" s="334"/>
      <c r="K276" s="334"/>
      <c r="L276" s="334"/>
      <c r="M276" s="334"/>
      <c r="N276" s="334"/>
      <c r="O276" s="334"/>
      <c r="P276" s="334"/>
      <c r="Q276" s="334"/>
      <c r="R276" s="334"/>
      <c r="S276" s="334"/>
      <c r="T276" s="334"/>
      <c r="U276" s="334"/>
      <c r="V276" s="334"/>
      <c r="W276" s="334"/>
      <c r="X276" s="334"/>
      <c r="Y276" s="334"/>
    </row>
    <row r="277" spans="1:25">
      <c r="A277" s="334"/>
      <c r="B277" s="334"/>
      <c r="C277" s="334"/>
      <c r="D277" s="334"/>
      <c r="E277" s="334"/>
      <c r="F277" s="334"/>
      <c r="G277" s="334"/>
      <c r="H277" s="334"/>
      <c r="I277" s="334"/>
      <c r="J277" s="334"/>
      <c r="K277" s="334"/>
      <c r="L277" s="334"/>
      <c r="M277" s="334"/>
      <c r="N277" s="334"/>
      <c r="O277" s="334"/>
      <c r="P277" s="334"/>
      <c r="Q277" s="334"/>
      <c r="R277" s="334"/>
      <c r="S277" s="334"/>
      <c r="T277" s="334"/>
      <c r="U277" s="334"/>
      <c r="V277" s="334"/>
      <c r="W277" s="334"/>
      <c r="X277" s="334"/>
      <c r="Y277" s="334"/>
    </row>
    <row r="278" spans="1:25">
      <c r="A278" s="334"/>
      <c r="B278" s="334"/>
      <c r="C278" s="334"/>
      <c r="D278" s="334"/>
      <c r="E278" s="334"/>
      <c r="F278" s="334"/>
      <c r="G278" s="334"/>
      <c r="H278" s="334"/>
      <c r="I278" s="334"/>
      <c r="J278" s="334"/>
      <c r="K278" s="334"/>
      <c r="L278" s="334"/>
      <c r="M278" s="334"/>
      <c r="N278" s="334"/>
      <c r="O278" s="334"/>
      <c r="P278" s="334"/>
      <c r="Q278" s="334"/>
      <c r="R278" s="334"/>
      <c r="S278" s="334"/>
      <c r="T278" s="334"/>
      <c r="U278" s="334"/>
      <c r="V278" s="334"/>
      <c r="W278" s="334"/>
      <c r="X278" s="334"/>
      <c r="Y278" s="334"/>
    </row>
    <row r="279" spans="1:25">
      <c r="A279" s="334"/>
      <c r="B279" s="334"/>
      <c r="C279" s="334"/>
      <c r="D279" s="334"/>
      <c r="E279" s="334"/>
      <c r="F279" s="334"/>
      <c r="G279" s="334"/>
      <c r="H279" s="334"/>
      <c r="I279" s="334"/>
      <c r="J279" s="334"/>
      <c r="K279" s="334"/>
      <c r="L279" s="334"/>
      <c r="M279" s="334"/>
      <c r="N279" s="334"/>
      <c r="O279" s="334"/>
      <c r="P279" s="334"/>
      <c r="Q279" s="334"/>
      <c r="R279" s="334"/>
      <c r="S279" s="334"/>
      <c r="T279" s="334"/>
      <c r="U279" s="334"/>
      <c r="V279" s="334"/>
      <c r="W279" s="334"/>
      <c r="X279" s="334"/>
      <c r="Y279" s="334"/>
    </row>
    <row r="280" spans="1:25">
      <c r="A280" s="334"/>
      <c r="B280" s="334"/>
      <c r="C280" s="334"/>
      <c r="D280" s="334"/>
      <c r="E280" s="334"/>
      <c r="F280" s="334"/>
      <c r="G280" s="334"/>
      <c r="H280" s="334"/>
      <c r="I280" s="334"/>
      <c r="J280" s="334"/>
      <c r="K280" s="334"/>
      <c r="L280" s="334"/>
      <c r="M280" s="334"/>
      <c r="N280" s="334"/>
      <c r="O280" s="334"/>
      <c r="P280" s="334"/>
      <c r="Q280" s="334"/>
      <c r="R280" s="334"/>
      <c r="S280" s="334"/>
      <c r="T280" s="334"/>
      <c r="U280" s="334"/>
      <c r="V280" s="334"/>
      <c r="W280" s="334"/>
      <c r="X280" s="334"/>
      <c r="Y280" s="334"/>
    </row>
    <row r="281" spans="1:25">
      <c r="A281" s="334"/>
      <c r="B281" s="334"/>
      <c r="C281" s="334"/>
      <c r="D281" s="334"/>
      <c r="E281" s="334"/>
      <c r="F281" s="334"/>
      <c r="G281" s="334"/>
      <c r="H281" s="334"/>
      <c r="I281" s="334"/>
      <c r="J281" s="334"/>
      <c r="K281" s="334"/>
      <c r="L281" s="334"/>
      <c r="M281" s="334"/>
      <c r="N281" s="334"/>
      <c r="O281" s="334"/>
      <c r="P281" s="334"/>
      <c r="Q281" s="334"/>
      <c r="R281" s="334"/>
      <c r="S281" s="334"/>
      <c r="T281" s="334"/>
      <c r="U281" s="334"/>
      <c r="V281" s="334"/>
      <c r="W281" s="334"/>
      <c r="X281" s="334"/>
      <c r="Y281" s="334"/>
    </row>
    <row r="282" spans="1:25">
      <c r="A282" s="334"/>
      <c r="B282" s="334"/>
      <c r="C282" s="334"/>
      <c r="D282" s="334"/>
      <c r="E282" s="334"/>
      <c r="F282" s="334"/>
      <c r="G282" s="334"/>
      <c r="H282" s="334"/>
      <c r="I282" s="334"/>
      <c r="J282" s="334"/>
      <c r="K282" s="334"/>
      <c r="L282" s="334"/>
      <c r="M282" s="334"/>
      <c r="N282" s="334"/>
      <c r="O282" s="334"/>
      <c r="P282" s="334"/>
      <c r="Q282" s="334"/>
      <c r="R282" s="334"/>
      <c r="S282" s="334"/>
      <c r="T282" s="334"/>
      <c r="U282" s="334"/>
      <c r="V282" s="334"/>
      <c r="W282" s="334"/>
      <c r="X282" s="334"/>
      <c r="Y282" s="334"/>
    </row>
    <row r="283" spans="1:25">
      <c r="A283" s="334"/>
      <c r="B283" s="334"/>
      <c r="C283" s="334"/>
      <c r="D283" s="334"/>
      <c r="E283" s="334"/>
      <c r="F283" s="334"/>
      <c r="G283" s="334"/>
      <c r="H283" s="334"/>
      <c r="I283" s="334"/>
      <c r="J283" s="334"/>
      <c r="K283" s="334"/>
      <c r="L283" s="334"/>
      <c r="M283" s="334"/>
      <c r="N283" s="334"/>
      <c r="O283" s="334"/>
      <c r="P283" s="334"/>
      <c r="Q283" s="334"/>
      <c r="R283" s="334"/>
      <c r="S283" s="334"/>
      <c r="T283" s="334"/>
      <c r="U283" s="334"/>
      <c r="V283" s="334"/>
      <c r="W283" s="334"/>
      <c r="X283" s="334"/>
      <c r="Y283" s="334"/>
    </row>
    <row r="284" spans="1:25">
      <c r="A284" s="334"/>
      <c r="B284" s="334"/>
      <c r="C284" s="334"/>
      <c r="D284" s="334"/>
      <c r="E284" s="334"/>
      <c r="F284" s="334"/>
      <c r="G284" s="334"/>
      <c r="H284" s="334"/>
      <c r="I284" s="334"/>
      <c r="J284" s="334"/>
      <c r="K284" s="334"/>
      <c r="L284" s="334"/>
      <c r="M284" s="334"/>
      <c r="N284" s="334"/>
      <c r="O284" s="334"/>
      <c r="P284" s="334"/>
      <c r="Q284" s="334"/>
      <c r="R284" s="334"/>
      <c r="S284" s="334"/>
      <c r="T284" s="334"/>
      <c r="U284" s="334"/>
      <c r="V284" s="334"/>
      <c r="W284" s="334"/>
      <c r="X284" s="334"/>
      <c r="Y284" s="334"/>
    </row>
    <row r="285" spans="1:25">
      <c r="A285" s="334"/>
      <c r="B285" s="334"/>
      <c r="C285" s="334"/>
      <c r="D285" s="334"/>
      <c r="E285" s="334"/>
      <c r="F285" s="334"/>
      <c r="G285" s="334"/>
      <c r="H285" s="334"/>
      <c r="I285" s="334"/>
      <c r="J285" s="334"/>
      <c r="K285" s="334"/>
      <c r="L285" s="334"/>
      <c r="M285" s="334"/>
      <c r="N285" s="334"/>
      <c r="O285" s="334"/>
      <c r="P285" s="334"/>
      <c r="Q285" s="334"/>
      <c r="R285" s="334"/>
      <c r="S285" s="334"/>
      <c r="T285" s="334"/>
      <c r="U285" s="334"/>
      <c r="V285" s="334"/>
      <c r="W285" s="334"/>
      <c r="X285" s="334"/>
      <c r="Y285" s="334"/>
    </row>
    <row r="286" spans="1:25">
      <c r="A286" s="334"/>
      <c r="B286" s="334"/>
      <c r="C286" s="334"/>
      <c r="D286" s="334"/>
      <c r="E286" s="334"/>
      <c r="F286" s="334"/>
      <c r="G286" s="334"/>
      <c r="H286" s="334"/>
      <c r="I286" s="334"/>
      <c r="J286" s="334"/>
      <c r="K286" s="334"/>
      <c r="L286" s="334"/>
      <c r="M286" s="334"/>
      <c r="N286" s="334"/>
      <c r="O286" s="334"/>
      <c r="P286" s="334"/>
      <c r="Q286" s="334"/>
      <c r="R286" s="334"/>
      <c r="S286" s="334"/>
      <c r="T286" s="334"/>
      <c r="U286" s="334"/>
      <c r="V286" s="334"/>
      <c r="W286" s="334"/>
      <c r="X286" s="334"/>
      <c r="Y286" s="334"/>
    </row>
    <row r="287" spans="1:25">
      <c r="A287" s="334"/>
      <c r="B287" s="334"/>
      <c r="C287" s="334"/>
      <c r="D287" s="334"/>
      <c r="E287" s="334"/>
      <c r="F287" s="334"/>
      <c r="G287" s="334"/>
      <c r="H287" s="334"/>
      <c r="I287" s="334"/>
      <c r="J287" s="334"/>
      <c r="K287" s="334"/>
      <c r="L287" s="334"/>
      <c r="M287" s="334"/>
      <c r="N287" s="334"/>
      <c r="O287" s="334"/>
      <c r="P287" s="334"/>
      <c r="Q287" s="334"/>
      <c r="R287" s="334"/>
      <c r="S287" s="334"/>
      <c r="T287" s="334"/>
      <c r="U287" s="334"/>
      <c r="V287" s="334"/>
      <c r="W287" s="334"/>
      <c r="X287" s="334"/>
      <c r="Y287" s="334"/>
    </row>
    <row r="288" spans="1:25">
      <c r="A288" s="334"/>
      <c r="B288" s="334"/>
      <c r="C288" s="334"/>
      <c r="D288" s="334"/>
      <c r="E288" s="334"/>
      <c r="F288" s="334"/>
      <c r="G288" s="334"/>
      <c r="H288" s="334"/>
      <c r="I288" s="334"/>
      <c r="J288" s="334"/>
      <c r="K288" s="334"/>
      <c r="L288" s="334"/>
      <c r="M288" s="334"/>
      <c r="N288" s="334"/>
      <c r="O288" s="334"/>
      <c r="P288" s="334"/>
      <c r="Q288" s="334"/>
      <c r="R288" s="334"/>
      <c r="S288" s="334"/>
      <c r="T288" s="334"/>
      <c r="U288" s="334"/>
      <c r="V288" s="334"/>
      <c r="W288" s="334"/>
      <c r="X288" s="334"/>
      <c r="Y288" s="334"/>
    </row>
    <row r="289" spans="1:25">
      <c r="A289" s="334"/>
      <c r="B289" s="334"/>
      <c r="C289" s="334"/>
      <c r="D289" s="334"/>
      <c r="E289" s="334"/>
      <c r="F289" s="334"/>
      <c r="G289" s="334"/>
      <c r="H289" s="334"/>
      <c r="I289" s="334"/>
      <c r="J289" s="334"/>
      <c r="K289" s="334"/>
      <c r="L289" s="334"/>
      <c r="M289" s="334"/>
      <c r="N289" s="334"/>
      <c r="O289" s="334"/>
      <c r="P289" s="334"/>
      <c r="Q289" s="334"/>
      <c r="R289" s="334"/>
      <c r="S289" s="334"/>
      <c r="T289" s="334"/>
      <c r="U289" s="334"/>
      <c r="V289" s="334"/>
      <c r="W289" s="334"/>
      <c r="X289" s="334"/>
      <c r="Y289" s="334"/>
    </row>
    <row r="290" spans="1:25">
      <c r="A290" s="334"/>
      <c r="B290" s="334"/>
      <c r="C290" s="334"/>
      <c r="D290" s="334"/>
      <c r="E290" s="334"/>
      <c r="F290" s="334"/>
      <c r="G290" s="334"/>
      <c r="H290" s="334"/>
      <c r="I290" s="334"/>
      <c r="J290" s="334"/>
      <c r="K290" s="334"/>
      <c r="L290" s="334"/>
      <c r="M290" s="334"/>
      <c r="N290" s="334"/>
      <c r="O290" s="334"/>
      <c r="P290" s="334"/>
      <c r="Q290" s="334"/>
      <c r="R290" s="334"/>
      <c r="S290" s="334"/>
      <c r="T290" s="334"/>
      <c r="U290" s="334"/>
      <c r="V290" s="334"/>
      <c r="W290" s="334"/>
      <c r="X290" s="334"/>
      <c r="Y290" s="334"/>
    </row>
    <row r="291" spans="1:25">
      <c r="A291" s="334"/>
      <c r="B291" s="334"/>
      <c r="C291" s="334"/>
      <c r="D291" s="334"/>
      <c r="E291" s="334"/>
      <c r="F291" s="334"/>
      <c r="G291" s="334"/>
      <c r="H291" s="334"/>
      <c r="I291" s="334"/>
      <c r="J291" s="334"/>
      <c r="K291" s="334"/>
      <c r="L291" s="334"/>
      <c r="M291" s="334"/>
      <c r="N291" s="334"/>
      <c r="O291" s="334"/>
      <c r="P291" s="334"/>
      <c r="Q291" s="334"/>
      <c r="R291" s="334"/>
      <c r="S291" s="334"/>
      <c r="T291" s="334"/>
      <c r="U291" s="334"/>
      <c r="V291" s="334"/>
      <c r="W291" s="334"/>
      <c r="X291" s="334"/>
      <c r="Y291" s="334"/>
    </row>
    <row r="292" spans="1:25">
      <c r="A292" s="334"/>
      <c r="B292" s="334"/>
      <c r="C292" s="334"/>
      <c r="D292" s="334"/>
      <c r="E292" s="334"/>
      <c r="F292" s="334"/>
      <c r="G292" s="334"/>
      <c r="H292" s="334"/>
      <c r="I292" s="334"/>
      <c r="J292" s="334"/>
      <c r="K292" s="334"/>
      <c r="L292" s="334"/>
      <c r="M292" s="334"/>
      <c r="N292" s="334"/>
      <c r="O292" s="334"/>
      <c r="P292" s="334"/>
      <c r="Q292" s="334"/>
      <c r="R292" s="334"/>
      <c r="S292" s="334"/>
      <c r="T292" s="334"/>
      <c r="U292" s="334"/>
      <c r="V292" s="334"/>
      <c r="W292" s="334"/>
      <c r="X292" s="334"/>
      <c r="Y292" s="334"/>
    </row>
    <row r="293" spans="1:25">
      <c r="A293" s="334"/>
      <c r="B293" s="334"/>
      <c r="C293" s="334"/>
      <c r="D293" s="334"/>
      <c r="E293" s="334"/>
      <c r="F293" s="334"/>
      <c r="G293" s="334"/>
      <c r="H293" s="334"/>
      <c r="I293" s="334"/>
      <c r="J293" s="334"/>
      <c r="K293" s="334"/>
      <c r="L293" s="334"/>
      <c r="M293" s="334"/>
      <c r="N293" s="334"/>
      <c r="O293" s="334"/>
      <c r="P293" s="334"/>
      <c r="Q293" s="334"/>
      <c r="R293" s="334"/>
      <c r="S293" s="334"/>
      <c r="T293" s="334"/>
      <c r="U293" s="334"/>
      <c r="V293" s="334"/>
      <c r="W293" s="334"/>
      <c r="X293" s="334"/>
      <c r="Y293" s="334"/>
    </row>
    <row r="294" spans="1:25">
      <c r="A294" s="334"/>
      <c r="B294" s="334"/>
      <c r="C294" s="334"/>
      <c r="D294" s="334"/>
      <c r="E294" s="334"/>
      <c r="F294" s="334"/>
      <c r="G294" s="334"/>
      <c r="H294" s="334"/>
      <c r="I294" s="334"/>
      <c r="J294" s="334"/>
      <c r="K294" s="334"/>
      <c r="L294" s="334"/>
      <c r="M294" s="334"/>
      <c r="N294" s="334"/>
      <c r="O294" s="334"/>
      <c r="P294" s="334"/>
      <c r="Q294" s="334"/>
      <c r="R294" s="334"/>
      <c r="S294" s="334"/>
      <c r="T294" s="334"/>
      <c r="U294" s="334"/>
      <c r="V294" s="334"/>
      <c r="W294" s="334"/>
      <c r="X294" s="334"/>
      <c r="Y294" s="334"/>
    </row>
    <row r="295" spans="1:25">
      <c r="A295" s="334"/>
      <c r="B295" s="334"/>
      <c r="C295" s="334"/>
      <c r="D295" s="334"/>
      <c r="E295" s="334"/>
      <c r="F295" s="334"/>
      <c r="G295" s="334"/>
      <c r="H295" s="334"/>
      <c r="I295" s="334"/>
      <c r="J295" s="334"/>
      <c r="K295" s="334"/>
      <c r="L295" s="334"/>
      <c r="M295" s="334"/>
      <c r="N295" s="334"/>
      <c r="O295" s="334"/>
      <c r="P295" s="334"/>
      <c r="Q295" s="334"/>
      <c r="R295" s="334"/>
      <c r="S295" s="334"/>
      <c r="T295" s="334"/>
      <c r="U295" s="334"/>
      <c r="V295" s="334"/>
      <c r="W295" s="334"/>
      <c r="X295" s="334"/>
      <c r="Y295" s="334"/>
    </row>
    <row r="296" spans="1:25">
      <c r="A296" s="334"/>
      <c r="B296" s="334"/>
      <c r="C296" s="334"/>
      <c r="D296" s="334"/>
      <c r="E296" s="334"/>
      <c r="F296" s="334"/>
      <c r="G296" s="334"/>
      <c r="H296" s="334"/>
      <c r="I296" s="334"/>
      <c r="J296" s="334"/>
      <c r="K296" s="334"/>
      <c r="L296" s="334"/>
      <c r="M296" s="334"/>
      <c r="N296" s="334"/>
      <c r="O296" s="334"/>
      <c r="P296" s="334"/>
      <c r="Q296" s="334"/>
      <c r="R296" s="334"/>
      <c r="S296" s="334"/>
      <c r="T296" s="334"/>
      <c r="U296" s="334"/>
      <c r="V296" s="334"/>
      <c r="W296" s="334"/>
      <c r="X296" s="334"/>
      <c r="Y296" s="334"/>
    </row>
    <row r="297" spans="1:25">
      <c r="A297" s="334"/>
      <c r="B297" s="334"/>
      <c r="C297" s="334"/>
      <c r="D297" s="334"/>
      <c r="E297" s="334"/>
      <c r="F297" s="334"/>
      <c r="G297" s="334"/>
      <c r="H297" s="334"/>
      <c r="I297" s="334"/>
      <c r="J297" s="334"/>
      <c r="K297" s="334"/>
      <c r="L297" s="334"/>
      <c r="M297" s="334"/>
      <c r="N297" s="334"/>
      <c r="O297" s="334"/>
      <c r="P297" s="334"/>
      <c r="Q297" s="334"/>
      <c r="R297" s="334"/>
      <c r="S297" s="334"/>
      <c r="T297" s="334"/>
      <c r="U297" s="334"/>
      <c r="V297" s="334"/>
      <c r="W297" s="334"/>
      <c r="X297" s="334"/>
      <c r="Y297" s="334"/>
    </row>
    <row r="298" spans="1:25">
      <c r="A298" s="334"/>
      <c r="B298" s="334"/>
      <c r="C298" s="334"/>
      <c r="D298" s="334"/>
      <c r="E298" s="334"/>
      <c r="F298" s="334"/>
      <c r="G298" s="334"/>
      <c r="H298" s="334"/>
      <c r="I298" s="334"/>
      <c r="J298" s="334"/>
      <c r="K298" s="334"/>
      <c r="L298" s="334"/>
      <c r="M298" s="334"/>
      <c r="N298" s="334"/>
      <c r="O298" s="334"/>
      <c r="P298" s="334"/>
      <c r="Q298" s="334"/>
      <c r="R298" s="334"/>
      <c r="S298" s="334"/>
      <c r="T298" s="334"/>
      <c r="U298" s="334"/>
      <c r="V298" s="334"/>
      <c r="W298" s="334"/>
      <c r="X298" s="334"/>
      <c r="Y298" s="334"/>
    </row>
    <row r="299" spans="1:25">
      <c r="A299" s="334"/>
      <c r="B299" s="334"/>
      <c r="C299" s="334"/>
      <c r="D299" s="334"/>
      <c r="E299" s="334"/>
      <c r="F299" s="334"/>
      <c r="G299" s="334"/>
      <c r="H299" s="334"/>
      <c r="I299" s="334"/>
      <c r="J299" s="334"/>
      <c r="K299" s="334"/>
      <c r="L299" s="334"/>
      <c r="M299" s="334"/>
      <c r="N299" s="334"/>
      <c r="O299" s="334"/>
      <c r="P299" s="334"/>
      <c r="Q299" s="334"/>
      <c r="R299" s="334"/>
      <c r="S299" s="334"/>
      <c r="T299" s="334"/>
      <c r="U299" s="334"/>
      <c r="V299" s="334"/>
      <c r="W299" s="334"/>
      <c r="X299" s="334"/>
      <c r="Y299" s="334"/>
    </row>
    <row r="300" spans="1:25">
      <c r="A300" s="334"/>
      <c r="B300" s="334"/>
      <c r="C300" s="334"/>
      <c r="D300" s="334"/>
      <c r="E300" s="334"/>
      <c r="F300" s="334"/>
      <c r="G300" s="334"/>
      <c r="H300" s="334"/>
      <c r="I300" s="334"/>
      <c r="J300" s="334"/>
      <c r="K300" s="334"/>
      <c r="L300" s="334"/>
      <c r="M300" s="334"/>
      <c r="N300" s="334"/>
      <c r="O300" s="334"/>
      <c r="P300" s="334"/>
      <c r="Q300" s="334"/>
      <c r="R300" s="334"/>
      <c r="S300" s="334"/>
      <c r="T300" s="334"/>
      <c r="U300" s="334"/>
      <c r="V300" s="334"/>
      <c r="W300" s="334"/>
      <c r="X300" s="334"/>
      <c r="Y300" s="334"/>
    </row>
    <row r="301" spans="1:25">
      <c r="A301" s="334"/>
      <c r="B301" s="334"/>
      <c r="C301" s="334"/>
      <c r="D301" s="334"/>
      <c r="E301" s="334"/>
      <c r="F301" s="334"/>
      <c r="G301" s="334"/>
      <c r="H301" s="334"/>
      <c r="I301" s="334"/>
      <c r="J301" s="334"/>
      <c r="K301" s="334"/>
      <c r="L301" s="334"/>
      <c r="M301" s="334"/>
      <c r="N301" s="334"/>
      <c r="O301" s="334"/>
      <c r="P301" s="334"/>
      <c r="Q301" s="334"/>
      <c r="R301" s="334"/>
      <c r="S301" s="334"/>
      <c r="T301" s="334"/>
      <c r="U301" s="334"/>
      <c r="V301" s="334"/>
      <c r="W301" s="334"/>
      <c r="X301" s="334"/>
      <c r="Y301" s="334"/>
    </row>
    <row r="302" spans="1:25">
      <c r="A302" s="334"/>
      <c r="B302" s="334"/>
      <c r="C302" s="334"/>
      <c r="D302" s="334"/>
      <c r="E302" s="334"/>
      <c r="F302" s="334"/>
      <c r="G302" s="334"/>
      <c r="H302" s="334"/>
      <c r="I302" s="334"/>
      <c r="J302" s="334"/>
      <c r="K302" s="334"/>
      <c r="L302" s="334"/>
      <c r="M302" s="334"/>
      <c r="N302" s="334"/>
      <c r="O302" s="334"/>
      <c r="P302" s="334"/>
      <c r="Q302" s="334"/>
      <c r="R302" s="334"/>
      <c r="S302" s="334"/>
      <c r="T302" s="334"/>
      <c r="U302" s="334"/>
      <c r="V302" s="334"/>
      <c r="W302" s="334"/>
      <c r="X302" s="334"/>
      <c r="Y302" s="334"/>
    </row>
    <row r="303" spans="1:25">
      <c r="A303" s="334"/>
      <c r="B303" s="334"/>
      <c r="C303" s="334"/>
      <c r="D303" s="334"/>
      <c r="E303" s="334"/>
      <c r="F303" s="334"/>
      <c r="G303" s="334"/>
      <c r="H303" s="334"/>
      <c r="I303" s="334"/>
      <c r="J303" s="334"/>
      <c r="K303" s="334"/>
      <c r="L303" s="334"/>
      <c r="M303" s="334"/>
      <c r="N303" s="334"/>
      <c r="O303" s="334"/>
      <c r="P303" s="334"/>
      <c r="Q303" s="334"/>
      <c r="R303" s="334"/>
      <c r="S303" s="334"/>
      <c r="T303" s="334"/>
      <c r="U303" s="334"/>
      <c r="V303" s="334"/>
      <c r="W303" s="334"/>
      <c r="X303" s="334"/>
      <c r="Y303" s="334"/>
    </row>
    <row r="304" spans="1:25">
      <c r="A304" s="334"/>
      <c r="B304" s="334"/>
      <c r="C304" s="334"/>
      <c r="D304" s="334"/>
      <c r="E304" s="334"/>
      <c r="F304" s="334"/>
      <c r="G304" s="334"/>
      <c r="H304" s="334"/>
      <c r="I304" s="334"/>
      <c r="J304" s="334"/>
      <c r="K304" s="334"/>
      <c r="L304" s="334"/>
      <c r="M304" s="334"/>
      <c r="N304" s="334"/>
      <c r="O304" s="334"/>
      <c r="P304" s="334"/>
      <c r="Q304" s="334"/>
      <c r="R304" s="334"/>
      <c r="S304" s="334"/>
      <c r="T304" s="334"/>
      <c r="U304" s="334"/>
      <c r="V304" s="334"/>
      <c r="W304" s="334"/>
      <c r="X304" s="334"/>
      <c r="Y304" s="334"/>
    </row>
    <row r="305" spans="1:25">
      <c r="A305" s="334"/>
      <c r="B305" s="334"/>
      <c r="C305" s="334"/>
      <c r="D305" s="334"/>
      <c r="E305" s="334"/>
      <c r="F305" s="334"/>
      <c r="G305" s="334"/>
      <c r="H305" s="334"/>
      <c r="I305" s="334"/>
      <c r="J305" s="334"/>
      <c r="K305" s="334"/>
      <c r="L305" s="334"/>
      <c r="M305" s="334"/>
      <c r="N305" s="334"/>
      <c r="O305" s="334"/>
      <c r="P305" s="334"/>
      <c r="Q305" s="334"/>
      <c r="R305" s="334"/>
      <c r="S305" s="334"/>
      <c r="T305" s="334"/>
      <c r="U305" s="334"/>
      <c r="V305" s="334"/>
      <c r="W305" s="334"/>
      <c r="X305" s="334"/>
      <c r="Y305" s="334"/>
    </row>
    <row r="306" spans="1:25">
      <c r="A306" s="334"/>
      <c r="B306" s="334"/>
      <c r="C306" s="334"/>
      <c r="D306" s="334"/>
      <c r="E306" s="334"/>
      <c r="F306" s="334"/>
      <c r="G306" s="334"/>
      <c r="H306" s="334"/>
      <c r="I306" s="334"/>
      <c r="J306" s="334"/>
      <c r="K306" s="334"/>
      <c r="L306" s="334"/>
      <c r="M306" s="334"/>
      <c r="N306" s="334"/>
      <c r="O306" s="334"/>
      <c r="P306" s="334"/>
      <c r="Q306" s="334"/>
      <c r="R306" s="334"/>
      <c r="S306" s="334"/>
      <c r="T306" s="334"/>
      <c r="U306" s="334"/>
      <c r="V306" s="334"/>
      <c r="W306" s="334"/>
      <c r="X306" s="334"/>
      <c r="Y306" s="334"/>
    </row>
    <row r="307" spans="1:25">
      <c r="A307" s="334"/>
      <c r="B307" s="334"/>
      <c r="C307" s="334"/>
      <c r="D307" s="334"/>
      <c r="E307" s="334"/>
      <c r="F307" s="334"/>
      <c r="G307" s="334"/>
      <c r="H307" s="334"/>
      <c r="I307" s="334"/>
      <c r="J307" s="334"/>
      <c r="K307" s="334"/>
      <c r="L307" s="334"/>
      <c r="M307" s="334"/>
      <c r="N307" s="334"/>
      <c r="O307" s="334"/>
      <c r="P307" s="334"/>
      <c r="Q307" s="334"/>
      <c r="R307" s="334"/>
      <c r="S307" s="334"/>
      <c r="T307" s="334"/>
      <c r="U307" s="334"/>
      <c r="V307" s="334"/>
      <c r="W307" s="334"/>
      <c r="X307" s="334"/>
      <c r="Y307" s="334"/>
    </row>
    <row r="308" spans="1:25">
      <c r="A308" s="334"/>
      <c r="B308" s="334"/>
      <c r="C308" s="334"/>
      <c r="D308" s="334"/>
      <c r="E308" s="334"/>
      <c r="F308" s="334"/>
      <c r="G308" s="334"/>
      <c r="H308" s="334"/>
      <c r="I308" s="334"/>
      <c r="J308" s="334"/>
      <c r="K308" s="334"/>
      <c r="L308" s="334"/>
      <c r="M308" s="334"/>
      <c r="N308" s="334"/>
      <c r="O308" s="334"/>
      <c r="P308" s="334"/>
      <c r="Q308" s="334"/>
      <c r="R308" s="334"/>
      <c r="S308" s="334"/>
      <c r="T308" s="334"/>
      <c r="U308" s="334"/>
      <c r="V308" s="334"/>
      <c r="W308" s="334"/>
      <c r="X308" s="334"/>
      <c r="Y308" s="334"/>
    </row>
    <row r="309" spans="1:25">
      <c r="A309" s="334"/>
      <c r="B309" s="334"/>
      <c r="C309" s="334"/>
      <c r="D309" s="334"/>
      <c r="E309" s="334"/>
      <c r="F309" s="334"/>
      <c r="G309" s="334"/>
      <c r="H309" s="334"/>
      <c r="I309" s="334"/>
      <c r="J309" s="334"/>
      <c r="K309" s="334"/>
      <c r="L309" s="334"/>
      <c r="M309" s="334"/>
      <c r="N309" s="334"/>
      <c r="O309" s="334"/>
      <c r="P309" s="334"/>
      <c r="Q309" s="334"/>
      <c r="R309" s="334"/>
      <c r="S309" s="334"/>
      <c r="T309" s="334"/>
      <c r="U309" s="334"/>
      <c r="V309" s="334"/>
      <c r="W309" s="334"/>
      <c r="X309" s="334"/>
      <c r="Y309" s="334"/>
    </row>
    <row r="310" spans="1:25">
      <c r="A310" s="334"/>
      <c r="B310" s="334"/>
      <c r="C310" s="334"/>
      <c r="D310" s="334"/>
      <c r="E310" s="334"/>
      <c r="F310" s="334"/>
      <c r="G310" s="334"/>
      <c r="H310" s="334"/>
      <c r="I310" s="334"/>
      <c r="J310" s="334"/>
      <c r="K310" s="334"/>
      <c r="L310" s="334"/>
      <c r="M310" s="334"/>
      <c r="N310" s="334"/>
      <c r="O310" s="334"/>
      <c r="P310" s="334"/>
      <c r="Q310" s="334"/>
      <c r="R310" s="334"/>
      <c r="S310" s="334"/>
      <c r="T310" s="334"/>
      <c r="U310" s="334"/>
      <c r="V310" s="334"/>
      <c r="W310" s="334"/>
      <c r="X310" s="334"/>
      <c r="Y310" s="334"/>
    </row>
    <row r="311" spans="1:25">
      <c r="A311" s="334"/>
      <c r="B311" s="334"/>
      <c r="C311" s="334"/>
      <c r="D311" s="334"/>
      <c r="E311" s="334"/>
      <c r="F311" s="334"/>
      <c r="G311" s="334"/>
      <c r="H311" s="334"/>
      <c r="I311" s="334"/>
      <c r="J311" s="334"/>
      <c r="K311" s="334"/>
      <c r="L311" s="334"/>
      <c r="M311" s="334"/>
      <c r="N311" s="334"/>
      <c r="O311" s="334"/>
      <c r="P311" s="334"/>
      <c r="Q311" s="334"/>
      <c r="R311" s="334"/>
      <c r="S311" s="334"/>
      <c r="T311" s="334"/>
      <c r="U311" s="334"/>
      <c r="V311" s="334"/>
      <c r="W311" s="334"/>
      <c r="X311" s="334"/>
      <c r="Y311" s="334"/>
    </row>
    <row r="312" spans="1:25">
      <c r="A312" s="334"/>
      <c r="B312" s="334"/>
      <c r="C312" s="334"/>
      <c r="D312" s="334"/>
      <c r="E312" s="334"/>
      <c r="F312" s="334"/>
      <c r="G312" s="334"/>
      <c r="H312" s="334"/>
      <c r="I312" s="334"/>
      <c r="J312" s="334"/>
      <c r="K312" s="334"/>
      <c r="L312" s="334"/>
      <c r="M312" s="334"/>
      <c r="N312" s="334"/>
      <c r="O312" s="334"/>
      <c r="P312" s="334"/>
      <c r="Q312" s="334"/>
      <c r="R312" s="334"/>
      <c r="S312" s="334"/>
      <c r="T312" s="334"/>
      <c r="U312" s="334"/>
      <c r="V312" s="334"/>
      <c r="W312" s="334"/>
      <c r="X312" s="334"/>
      <c r="Y312" s="334"/>
    </row>
    <row r="313" spans="1:25">
      <c r="A313" s="334"/>
      <c r="B313" s="334"/>
      <c r="C313" s="334"/>
      <c r="D313" s="334"/>
      <c r="E313" s="334"/>
      <c r="F313" s="334"/>
      <c r="G313" s="334"/>
      <c r="H313" s="334"/>
      <c r="I313" s="334"/>
      <c r="J313" s="334"/>
      <c r="K313" s="334"/>
      <c r="L313" s="334"/>
      <c r="M313" s="334"/>
      <c r="N313" s="334"/>
      <c r="O313" s="334"/>
      <c r="P313" s="334"/>
      <c r="Q313" s="334"/>
      <c r="R313" s="334"/>
      <c r="S313" s="334"/>
      <c r="T313" s="334"/>
      <c r="U313" s="334"/>
      <c r="V313" s="334"/>
      <c r="W313" s="334"/>
      <c r="X313" s="334"/>
      <c r="Y313" s="334"/>
    </row>
    <row r="314" spans="1:25">
      <c r="A314" s="334"/>
      <c r="B314" s="334"/>
      <c r="C314" s="334"/>
      <c r="D314" s="334"/>
      <c r="E314" s="334"/>
      <c r="F314" s="334"/>
      <c r="G314" s="334"/>
      <c r="H314" s="334"/>
      <c r="I314" s="334"/>
      <c r="J314" s="334"/>
      <c r="K314" s="334"/>
      <c r="L314" s="334"/>
      <c r="M314" s="334"/>
      <c r="N314" s="334"/>
      <c r="O314" s="334"/>
      <c r="P314" s="334"/>
      <c r="Q314" s="334"/>
      <c r="R314" s="334"/>
      <c r="S314" s="334"/>
      <c r="T314" s="334"/>
      <c r="U314" s="334"/>
      <c r="V314" s="334"/>
      <c r="W314" s="334"/>
      <c r="X314" s="334"/>
      <c r="Y314" s="334"/>
    </row>
    <row r="315" spans="1:25">
      <c r="A315" s="334"/>
      <c r="B315" s="334"/>
      <c r="C315" s="334"/>
      <c r="D315" s="334"/>
      <c r="E315" s="334"/>
      <c r="F315" s="334"/>
      <c r="G315" s="334"/>
      <c r="H315" s="334"/>
      <c r="I315" s="334"/>
      <c r="J315" s="334"/>
      <c r="K315" s="334"/>
      <c r="L315" s="334"/>
      <c r="M315" s="334"/>
      <c r="N315" s="334"/>
      <c r="O315" s="334"/>
      <c r="P315" s="334"/>
      <c r="Q315" s="334"/>
      <c r="R315" s="334"/>
      <c r="S315" s="334"/>
      <c r="T315" s="334"/>
      <c r="U315" s="334"/>
      <c r="V315" s="334"/>
      <c r="W315" s="334"/>
      <c r="X315" s="334"/>
      <c r="Y315" s="334"/>
    </row>
    <row r="316" spans="1:25">
      <c r="A316" s="334"/>
      <c r="B316" s="334"/>
      <c r="C316" s="334"/>
      <c r="D316" s="334"/>
      <c r="E316" s="334"/>
      <c r="F316" s="334"/>
      <c r="G316" s="334"/>
      <c r="H316" s="334"/>
      <c r="I316" s="334"/>
      <c r="J316" s="334"/>
      <c r="K316" s="334"/>
      <c r="L316" s="334"/>
      <c r="M316" s="334"/>
      <c r="N316" s="334"/>
      <c r="O316" s="334"/>
      <c r="P316" s="334"/>
      <c r="Q316" s="334"/>
      <c r="R316" s="334"/>
      <c r="S316" s="334"/>
      <c r="T316" s="334"/>
      <c r="U316" s="334"/>
      <c r="V316" s="334"/>
      <c r="W316" s="334"/>
      <c r="X316" s="334"/>
      <c r="Y316" s="334"/>
    </row>
    <row r="317" spans="1:25">
      <c r="A317" s="334"/>
      <c r="B317" s="334"/>
      <c r="C317" s="334"/>
      <c r="D317" s="334"/>
      <c r="E317" s="334"/>
      <c r="F317" s="334"/>
      <c r="G317" s="334"/>
      <c r="H317" s="334"/>
      <c r="I317" s="334"/>
      <c r="J317" s="334"/>
      <c r="K317" s="334"/>
      <c r="L317" s="334"/>
      <c r="M317" s="334"/>
      <c r="N317" s="334"/>
      <c r="O317" s="334"/>
      <c r="P317" s="334"/>
      <c r="Q317" s="334"/>
      <c r="R317" s="334"/>
      <c r="S317" s="334"/>
      <c r="T317" s="334"/>
      <c r="U317" s="334"/>
      <c r="V317" s="334"/>
      <c r="W317" s="334"/>
      <c r="X317" s="334"/>
      <c r="Y317" s="334"/>
    </row>
    <row r="318" spans="1:25">
      <c r="A318" s="334"/>
      <c r="B318" s="334"/>
      <c r="C318" s="334"/>
      <c r="D318" s="334"/>
      <c r="E318" s="334"/>
      <c r="F318" s="334"/>
      <c r="G318" s="334"/>
      <c r="H318" s="334"/>
      <c r="I318" s="334"/>
      <c r="J318" s="334"/>
      <c r="K318" s="334"/>
      <c r="L318" s="334"/>
      <c r="M318" s="334"/>
      <c r="N318" s="334"/>
      <c r="O318" s="334"/>
      <c r="P318" s="334"/>
      <c r="Q318" s="334"/>
      <c r="R318" s="334"/>
      <c r="S318" s="334"/>
      <c r="T318" s="334"/>
      <c r="U318" s="334"/>
      <c r="V318" s="334"/>
      <c r="W318" s="334"/>
      <c r="X318" s="334"/>
      <c r="Y318" s="334"/>
    </row>
    <row r="319" spans="1:25">
      <c r="A319" s="334"/>
      <c r="B319" s="334"/>
      <c r="C319" s="334"/>
      <c r="D319" s="334"/>
      <c r="E319" s="334"/>
      <c r="F319" s="334"/>
      <c r="G319" s="334"/>
      <c r="H319" s="334"/>
      <c r="I319" s="334"/>
      <c r="J319" s="334"/>
      <c r="K319" s="334"/>
      <c r="L319" s="334"/>
      <c r="M319" s="334"/>
      <c r="N319" s="334"/>
      <c r="O319" s="334"/>
      <c r="P319" s="334"/>
      <c r="Q319" s="334"/>
      <c r="R319" s="334"/>
      <c r="S319" s="334"/>
      <c r="T319" s="334"/>
      <c r="U319" s="334"/>
      <c r="V319" s="334"/>
      <c r="W319" s="334"/>
      <c r="X319" s="334"/>
      <c r="Y319" s="334"/>
    </row>
    <row r="320" spans="1:25">
      <c r="A320" s="334"/>
      <c r="B320" s="334"/>
      <c r="C320" s="334"/>
      <c r="D320" s="334"/>
      <c r="E320" s="334"/>
      <c r="F320" s="334"/>
      <c r="G320" s="334"/>
      <c r="H320" s="334"/>
      <c r="I320" s="334"/>
      <c r="J320" s="334"/>
      <c r="K320" s="334"/>
      <c r="L320" s="334"/>
      <c r="M320" s="334"/>
      <c r="N320" s="334"/>
      <c r="O320" s="334"/>
      <c r="P320" s="334"/>
      <c r="Q320" s="334"/>
      <c r="R320" s="334"/>
      <c r="S320" s="334"/>
      <c r="T320" s="334"/>
      <c r="U320" s="334"/>
      <c r="V320" s="334"/>
      <c r="W320" s="334"/>
      <c r="X320" s="334"/>
      <c r="Y320" s="334"/>
    </row>
    <row r="321" spans="1:25">
      <c r="A321" s="334"/>
      <c r="B321" s="334"/>
      <c r="C321" s="334"/>
      <c r="D321" s="334"/>
      <c r="E321" s="334"/>
      <c r="F321" s="334"/>
      <c r="G321" s="334"/>
      <c r="H321" s="334"/>
      <c r="I321" s="334"/>
      <c r="J321" s="334"/>
      <c r="K321" s="334"/>
      <c r="L321" s="334"/>
      <c r="M321" s="334"/>
      <c r="N321" s="334"/>
      <c r="O321" s="334"/>
      <c r="P321" s="334"/>
      <c r="Q321" s="334"/>
      <c r="R321" s="334"/>
      <c r="S321" s="334"/>
      <c r="T321" s="334"/>
      <c r="U321" s="334"/>
      <c r="V321" s="334"/>
      <c r="W321" s="334"/>
      <c r="X321" s="334"/>
      <c r="Y321" s="334"/>
    </row>
    <row r="322" spans="1:25">
      <c r="A322" s="334"/>
      <c r="B322" s="334"/>
      <c r="C322" s="334"/>
      <c r="D322" s="334"/>
      <c r="E322" s="334"/>
      <c r="F322" s="334"/>
      <c r="G322" s="334"/>
      <c r="H322" s="334"/>
      <c r="I322" s="334"/>
      <c r="J322" s="334"/>
      <c r="K322" s="334"/>
      <c r="L322" s="334"/>
      <c r="M322" s="334"/>
      <c r="N322" s="334"/>
      <c r="O322" s="334"/>
      <c r="P322" s="334"/>
      <c r="Q322" s="334"/>
      <c r="R322" s="334"/>
      <c r="S322" s="334"/>
      <c r="T322" s="334"/>
      <c r="U322" s="334"/>
      <c r="V322" s="334"/>
      <c r="W322" s="334"/>
      <c r="X322" s="334"/>
      <c r="Y322" s="334"/>
    </row>
    <row r="323" spans="1:25">
      <c r="A323" s="334"/>
      <c r="B323" s="334"/>
      <c r="C323" s="334"/>
      <c r="D323" s="334"/>
      <c r="E323" s="334"/>
      <c r="F323" s="334"/>
      <c r="G323" s="334"/>
      <c r="H323" s="334"/>
      <c r="I323" s="334"/>
      <c r="J323" s="334"/>
      <c r="K323" s="334"/>
      <c r="L323" s="334"/>
      <c r="M323" s="334"/>
      <c r="N323" s="334"/>
      <c r="O323" s="334"/>
      <c r="P323" s="334"/>
      <c r="Q323" s="334"/>
      <c r="R323" s="334"/>
      <c r="S323" s="334"/>
      <c r="T323" s="334"/>
      <c r="U323" s="334"/>
      <c r="V323" s="334"/>
      <c r="W323" s="334"/>
      <c r="X323" s="334"/>
      <c r="Y323" s="334"/>
    </row>
    <row r="324" spans="1:25">
      <c r="A324" s="334"/>
      <c r="B324" s="334"/>
      <c r="C324" s="334"/>
      <c r="D324" s="334"/>
      <c r="E324" s="334"/>
      <c r="F324" s="334"/>
      <c r="G324" s="334"/>
      <c r="H324" s="334"/>
      <c r="I324" s="334"/>
      <c r="J324" s="334"/>
      <c r="K324" s="334"/>
      <c r="L324" s="334"/>
      <c r="M324" s="334"/>
      <c r="N324" s="334"/>
      <c r="O324" s="334"/>
      <c r="P324" s="334"/>
      <c r="Q324" s="334"/>
      <c r="R324" s="334"/>
      <c r="S324" s="334"/>
      <c r="T324" s="334"/>
      <c r="U324" s="334"/>
      <c r="V324" s="334"/>
      <c r="W324" s="334"/>
      <c r="X324" s="334"/>
      <c r="Y324" s="334"/>
    </row>
    <row r="325" spans="1:25">
      <c r="A325" s="334"/>
      <c r="B325" s="334"/>
      <c r="C325" s="334"/>
      <c r="D325" s="334"/>
      <c r="E325" s="334"/>
      <c r="F325" s="334"/>
      <c r="G325" s="334"/>
      <c r="H325" s="334"/>
      <c r="I325" s="334"/>
      <c r="J325" s="334"/>
      <c r="K325" s="334"/>
      <c r="L325" s="334"/>
      <c r="M325" s="334"/>
      <c r="N325" s="334"/>
      <c r="O325" s="334"/>
      <c r="P325" s="334"/>
      <c r="Q325" s="334"/>
      <c r="R325" s="334"/>
      <c r="S325" s="334"/>
      <c r="T325" s="334"/>
      <c r="U325" s="334"/>
      <c r="V325" s="334"/>
      <c r="W325" s="334"/>
      <c r="X325" s="334"/>
      <c r="Y325" s="334"/>
    </row>
    <row r="326" spans="1:25">
      <c r="A326" s="334"/>
      <c r="B326" s="334"/>
      <c r="C326" s="334"/>
      <c r="D326" s="334"/>
      <c r="E326" s="334"/>
      <c r="F326" s="334"/>
      <c r="G326" s="334"/>
      <c r="H326" s="334"/>
      <c r="I326" s="334"/>
      <c r="J326" s="334"/>
      <c r="K326" s="334"/>
      <c r="L326" s="334"/>
      <c r="M326" s="334"/>
      <c r="N326" s="334"/>
      <c r="O326" s="334"/>
      <c r="P326" s="334"/>
      <c r="Q326" s="334"/>
      <c r="R326" s="334"/>
      <c r="S326" s="334"/>
      <c r="T326" s="334"/>
      <c r="U326" s="334"/>
      <c r="V326" s="334"/>
      <c r="W326" s="334"/>
      <c r="X326" s="334"/>
      <c r="Y326" s="334"/>
    </row>
    <row r="327" spans="1:25">
      <c r="A327" s="334"/>
      <c r="B327" s="334"/>
      <c r="C327" s="334"/>
      <c r="D327" s="334"/>
      <c r="E327" s="334"/>
      <c r="F327" s="334"/>
      <c r="G327" s="334"/>
      <c r="H327" s="334"/>
      <c r="I327" s="334"/>
      <c r="J327" s="334"/>
      <c r="K327" s="334"/>
      <c r="L327" s="334"/>
      <c r="M327" s="334"/>
      <c r="N327" s="334"/>
      <c r="O327" s="334"/>
      <c r="P327" s="334"/>
      <c r="Q327" s="334"/>
      <c r="R327" s="334"/>
      <c r="S327" s="334"/>
      <c r="T327" s="334"/>
      <c r="U327" s="334"/>
      <c r="V327" s="334"/>
      <c r="W327" s="334"/>
      <c r="X327" s="334"/>
      <c r="Y327" s="334"/>
    </row>
    <row r="328" spans="1:25">
      <c r="A328" s="334"/>
      <c r="B328" s="334"/>
      <c r="C328" s="334"/>
      <c r="D328" s="334"/>
      <c r="E328" s="334"/>
      <c r="F328" s="334"/>
      <c r="G328" s="334"/>
      <c r="H328" s="334"/>
      <c r="I328" s="334"/>
      <c r="J328" s="334"/>
      <c r="K328" s="334"/>
      <c r="L328" s="334"/>
      <c r="M328" s="334"/>
      <c r="N328" s="334"/>
      <c r="O328" s="334"/>
      <c r="P328" s="334"/>
      <c r="Q328" s="334"/>
      <c r="R328" s="334"/>
      <c r="S328" s="334"/>
      <c r="T328" s="334"/>
      <c r="U328" s="334"/>
      <c r="V328" s="334"/>
      <c r="W328" s="334"/>
      <c r="X328" s="334"/>
      <c r="Y328" s="334"/>
    </row>
    <row r="329" spans="1:25">
      <c r="A329" s="334"/>
      <c r="B329" s="334"/>
      <c r="C329" s="334"/>
      <c r="D329" s="334"/>
      <c r="E329" s="334"/>
      <c r="F329" s="334"/>
      <c r="G329" s="334"/>
      <c r="H329" s="334"/>
      <c r="I329" s="334"/>
      <c r="J329" s="334"/>
      <c r="K329" s="334"/>
      <c r="L329" s="334"/>
      <c r="M329" s="334"/>
      <c r="N329" s="334"/>
      <c r="O329" s="334"/>
      <c r="P329" s="334"/>
      <c r="Q329" s="334"/>
      <c r="R329" s="334"/>
      <c r="S329" s="334"/>
      <c r="T329" s="334"/>
      <c r="U329" s="334"/>
      <c r="V329" s="334"/>
      <c r="W329" s="334"/>
      <c r="X329" s="334"/>
      <c r="Y329" s="334"/>
    </row>
    <row r="330" spans="1:25">
      <c r="A330" s="334"/>
      <c r="B330" s="334"/>
      <c r="C330" s="334"/>
      <c r="D330" s="334"/>
      <c r="E330" s="334"/>
      <c r="F330" s="334"/>
      <c r="G330" s="334"/>
      <c r="H330" s="334"/>
      <c r="I330" s="334"/>
      <c r="J330" s="334"/>
      <c r="K330" s="334"/>
      <c r="L330" s="334"/>
      <c r="M330" s="334"/>
      <c r="N330" s="334"/>
      <c r="O330" s="334"/>
      <c r="P330" s="334"/>
      <c r="Q330" s="334"/>
      <c r="R330" s="334"/>
      <c r="S330" s="334"/>
      <c r="T330" s="334"/>
      <c r="U330" s="334"/>
      <c r="V330" s="334"/>
      <c r="W330" s="334"/>
      <c r="X330" s="334"/>
      <c r="Y330" s="334"/>
    </row>
    <row r="331" spans="1:25">
      <c r="A331" s="334"/>
      <c r="B331" s="334"/>
      <c r="C331" s="334"/>
      <c r="D331" s="334"/>
      <c r="E331" s="334"/>
      <c r="F331" s="334"/>
      <c r="G331" s="334"/>
      <c r="H331" s="334"/>
      <c r="I331" s="334"/>
      <c r="J331" s="334"/>
      <c r="K331" s="334"/>
      <c r="L331" s="334"/>
      <c r="M331" s="334"/>
      <c r="N331" s="334"/>
      <c r="O331" s="334"/>
      <c r="P331" s="334"/>
      <c r="Q331" s="334"/>
      <c r="R331" s="334"/>
      <c r="S331" s="334"/>
      <c r="T331" s="334"/>
      <c r="U331" s="334"/>
      <c r="V331" s="334"/>
      <c r="W331" s="334"/>
      <c r="X331" s="334"/>
      <c r="Y331" s="334"/>
    </row>
    <row r="332" spans="1:25">
      <c r="A332" s="334"/>
      <c r="B332" s="334"/>
      <c r="C332" s="334"/>
      <c r="D332" s="334"/>
      <c r="E332" s="334"/>
      <c r="F332" s="334"/>
      <c r="G332" s="334"/>
      <c r="H332" s="334"/>
      <c r="I332" s="334"/>
      <c r="J332" s="334"/>
      <c r="K332" s="334"/>
      <c r="L332" s="334"/>
      <c r="M332" s="334"/>
      <c r="N332" s="334"/>
      <c r="O332" s="334"/>
      <c r="P332" s="334"/>
      <c r="Q332" s="334"/>
      <c r="R332" s="334"/>
      <c r="S332" s="334"/>
      <c r="T332" s="334"/>
      <c r="U332" s="334"/>
      <c r="V332" s="334"/>
      <c r="W332" s="334"/>
      <c r="X332" s="334"/>
      <c r="Y332" s="334"/>
    </row>
    <row r="333" spans="1:25">
      <c r="A333" s="334"/>
      <c r="B333" s="334"/>
      <c r="C333" s="334"/>
      <c r="D333" s="334"/>
      <c r="E333" s="334"/>
      <c r="F333" s="334"/>
      <c r="G333" s="334"/>
      <c r="H333" s="334"/>
      <c r="I333" s="334"/>
      <c r="J333" s="334"/>
      <c r="K333" s="334"/>
      <c r="L333" s="334"/>
      <c r="M333" s="334"/>
      <c r="N333" s="334"/>
      <c r="O333" s="334"/>
      <c r="P333" s="334"/>
      <c r="Q333" s="334"/>
      <c r="R333" s="334"/>
      <c r="S333" s="334"/>
      <c r="T333" s="334"/>
      <c r="U333" s="334"/>
      <c r="V333" s="334"/>
      <c r="W333" s="334"/>
      <c r="X333" s="334"/>
      <c r="Y333" s="334"/>
    </row>
    <row r="334" spans="1:25">
      <c r="A334" s="334"/>
      <c r="B334" s="334"/>
      <c r="C334" s="334"/>
      <c r="D334" s="334"/>
      <c r="E334" s="334"/>
      <c r="F334" s="334"/>
      <c r="G334" s="334"/>
      <c r="H334" s="334"/>
      <c r="I334" s="334"/>
      <c r="J334" s="334"/>
      <c r="K334" s="334"/>
      <c r="L334" s="334"/>
      <c r="M334" s="334"/>
      <c r="N334" s="334"/>
      <c r="O334" s="334"/>
      <c r="P334" s="334"/>
      <c r="Q334" s="334"/>
      <c r="R334" s="334"/>
      <c r="S334" s="334"/>
      <c r="T334" s="334"/>
      <c r="U334" s="334"/>
      <c r="V334" s="334"/>
      <c r="W334" s="334"/>
      <c r="X334" s="334"/>
      <c r="Y334" s="334"/>
    </row>
    <row r="335" spans="1:25">
      <c r="A335" s="334"/>
      <c r="B335" s="334"/>
      <c r="C335" s="334"/>
      <c r="D335" s="334"/>
      <c r="E335" s="334"/>
      <c r="F335" s="334"/>
      <c r="G335" s="334"/>
      <c r="H335" s="334"/>
      <c r="I335" s="334"/>
      <c r="J335" s="334"/>
      <c r="K335" s="334"/>
      <c r="L335" s="334"/>
      <c r="M335" s="334"/>
      <c r="N335" s="334"/>
      <c r="O335" s="334"/>
      <c r="P335" s="334"/>
      <c r="Q335" s="334"/>
      <c r="R335" s="334"/>
      <c r="S335" s="334"/>
      <c r="T335" s="334"/>
      <c r="U335" s="334"/>
      <c r="V335" s="334"/>
      <c r="W335" s="334"/>
      <c r="X335" s="334"/>
      <c r="Y335" s="334"/>
    </row>
    <row r="336" spans="1:25">
      <c r="A336" s="334"/>
      <c r="B336" s="334"/>
      <c r="C336" s="334"/>
      <c r="D336" s="334"/>
      <c r="E336" s="334"/>
      <c r="F336" s="334"/>
      <c r="G336" s="334"/>
      <c r="H336" s="334"/>
      <c r="I336" s="334"/>
      <c r="J336" s="334"/>
      <c r="K336" s="334"/>
      <c r="L336" s="334"/>
      <c r="M336" s="334"/>
      <c r="N336" s="334"/>
      <c r="O336" s="334"/>
      <c r="P336" s="334"/>
      <c r="Q336" s="334"/>
      <c r="R336" s="334"/>
      <c r="S336" s="334"/>
      <c r="T336" s="334"/>
      <c r="U336" s="334"/>
      <c r="V336" s="334"/>
      <c r="W336" s="334"/>
      <c r="X336" s="334"/>
      <c r="Y336" s="334"/>
    </row>
    <row r="337" spans="1:25">
      <c r="A337" s="334"/>
      <c r="B337" s="334"/>
      <c r="C337" s="334"/>
      <c r="D337" s="334"/>
      <c r="E337" s="334"/>
      <c r="F337" s="334"/>
      <c r="G337" s="334"/>
      <c r="H337" s="334"/>
      <c r="I337" s="334"/>
      <c r="J337" s="334"/>
      <c r="K337" s="334"/>
      <c r="L337" s="334"/>
      <c r="M337" s="334"/>
      <c r="N337" s="334"/>
      <c r="O337" s="334"/>
      <c r="P337" s="334"/>
      <c r="Q337" s="334"/>
      <c r="R337" s="334"/>
      <c r="S337" s="334"/>
      <c r="T337" s="334"/>
      <c r="U337" s="334"/>
      <c r="V337" s="334"/>
      <c r="W337" s="334"/>
      <c r="X337" s="334"/>
      <c r="Y337" s="334"/>
    </row>
    <row r="338" spans="1:25">
      <c r="A338" s="334"/>
      <c r="B338" s="334"/>
      <c r="C338" s="334"/>
      <c r="D338" s="334"/>
      <c r="E338" s="334"/>
      <c r="F338" s="334"/>
      <c r="G338" s="334"/>
      <c r="H338" s="334"/>
      <c r="I338" s="334"/>
      <c r="J338" s="334"/>
      <c r="K338" s="334"/>
      <c r="L338" s="334"/>
      <c r="M338" s="334"/>
      <c r="N338" s="334"/>
      <c r="O338" s="334"/>
      <c r="P338" s="334"/>
      <c r="Q338" s="334"/>
      <c r="R338" s="334"/>
      <c r="S338" s="334"/>
      <c r="T338" s="334"/>
      <c r="U338" s="334"/>
      <c r="V338" s="334"/>
      <c r="W338" s="334"/>
      <c r="X338" s="334"/>
      <c r="Y338" s="334"/>
    </row>
    <row r="339" spans="1:25">
      <c r="A339" s="334"/>
      <c r="B339" s="334"/>
      <c r="C339" s="334"/>
      <c r="D339" s="334"/>
      <c r="E339" s="334"/>
      <c r="F339" s="334"/>
      <c r="G339" s="334"/>
      <c r="H339" s="334"/>
      <c r="I339" s="334"/>
      <c r="J339" s="334"/>
      <c r="K339" s="334"/>
      <c r="L339" s="334"/>
      <c r="M339" s="334"/>
      <c r="N339" s="334"/>
      <c r="O339" s="334"/>
      <c r="P339" s="334"/>
      <c r="Q339" s="334"/>
      <c r="R339" s="334"/>
      <c r="S339" s="334"/>
      <c r="T339" s="334"/>
      <c r="U339" s="334"/>
      <c r="V339" s="334"/>
      <c r="W339" s="334"/>
      <c r="X339" s="334"/>
      <c r="Y339" s="334"/>
    </row>
    <row r="340" spans="1:25">
      <c r="A340" s="334"/>
      <c r="B340" s="334"/>
      <c r="C340" s="334"/>
      <c r="D340" s="334"/>
      <c r="E340" s="334"/>
      <c r="F340" s="334"/>
      <c r="G340" s="334"/>
      <c r="H340" s="334"/>
      <c r="I340" s="334"/>
      <c r="J340" s="334"/>
      <c r="K340" s="334"/>
      <c r="L340" s="334"/>
      <c r="M340" s="334"/>
      <c r="N340" s="334"/>
      <c r="O340" s="334"/>
      <c r="P340" s="334"/>
      <c r="Q340" s="334"/>
      <c r="R340" s="334"/>
      <c r="S340" s="334"/>
      <c r="T340" s="334"/>
      <c r="U340" s="334"/>
      <c r="V340" s="334"/>
      <c r="W340" s="334"/>
      <c r="X340" s="334"/>
      <c r="Y340" s="334"/>
    </row>
    <row r="341" spans="1:25">
      <c r="A341" s="334"/>
      <c r="B341" s="334"/>
      <c r="C341" s="334"/>
      <c r="D341" s="334"/>
      <c r="E341" s="334"/>
      <c r="F341" s="334"/>
      <c r="G341" s="334"/>
      <c r="H341" s="334"/>
      <c r="I341" s="334"/>
      <c r="J341" s="334"/>
      <c r="K341" s="334"/>
      <c r="L341" s="334"/>
      <c r="M341" s="334"/>
      <c r="N341" s="334"/>
      <c r="O341" s="334"/>
      <c r="P341" s="334"/>
      <c r="Q341" s="334"/>
      <c r="R341" s="334"/>
      <c r="S341" s="334"/>
      <c r="T341" s="334"/>
      <c r="U341" s="334"/>
      <c r="V341" s="334"/>
      <c r="W341" s="334"/>
      <c r="X341" s="334"/>
      <c r="Y341" s="334"/>
    </row>
    <row r="342" spans="1:25">
      <c r="A342" s="334"/>
      <c r="B342" s="334"/>
      <c r="C342" s="334"/>
      <c r="D342" s="334"/>
      <c r="E342" s="334"/>
      <c r="F342" s="334"/>
      <c r="G342" s="334"/>
      <c r="H342" s="334"/>
      <c r="I342" s="334"/>
      <c r="J342" s="334"/>
      <c r="K342" s="334"/>
      <c r="L342" s="334"/>
      <c r="M342" s="334"/>
      <c r="N342" s="334"/>
      <c r="O342" s="334"/>
      <c r="P342" s="334"/>
      <c r="Q342" s="334"/>
      <c r="R342" s="334"/>
      <c r="S342" s="334"/>
      <c r="T342" s="334"/>
      <c r="U342" s="334"/>
      <c r="V342" s="334"/>
      <c r="W342" s="334"/>
      <c r="X342" s="334"/>
      <c r="Y342" s="334"/>
    </row>
    <row r="343" spans="1:25">
      <c r="A343" s="334"/>
      <c r="B343" s="334"/>
      <c r="C343" s="334"/>
      <c r="D343" s="334"/>
      <c r="E343" s="334"/>
      <c r="F343" s="334"/>
      <c r="G343" s="334"/>
      <c r="H343" s="334"/>
      <c r="I343" s="334"/>
      <c r="J343" s="334"/>
      <c r="K343" s="334"/>
      <c r="L343" s="334"/>
      <c r="M343" s="334"/>
      <c r="N343" s="334"/>
      <c r="O343" s="334"/>
      <c r="P343" s="334"/>
      <c r="Q343" s="334"/>
      <c r="R343" s="334"/>
      <c r="S343" s="334"/>
      <c r="T343" s="334"/>
      <c r="U343" s="334"/>
      <c r="V343" s="334"/>
      <c r="W343" s="334"/>
      <c r="X343" s="334"/>
      <c r="Y343" s="334"/>
    </row>
    <row r="344" spans="1:25">
      <c r="A344" s="334"/>
      <c r="B344" s="334"/>
      <c r="C344" s="334"/>
      <c r="D344" s="334"/>
      <c r="E344" s="334"/>
      <c r="F344" s="334"/>
      <c r="G344" s="334"/>
      <c r="H344" s="334"/>
      <c r="I344" s="334"/>
      <c r="J344" s="334"/>
      <c r="K344" s="334"/>
      <c r="L344" s="334"/>
      <c r="M344" s="334"/>
      <c r="N344" s="334"/>
      <c r="O344" s="334"/>
      <c r="P344" s="334"/>
      <c r="Q344" s="334"/>
      <c r="R344" s="334"/>
      <c r="S344" s="334"/>
      <c r="T344" s="334"/>
      <c r="U344" s="334"/>
      <c r="V344" s="334"/>
      <c r="W344" s="334"/>
      <c r="X344" s="334"/>
      <c r="Y344" s="334"/>
    </row>
    <row r="345" spans="1:25">
      <c r="A345" s="334"/>
      <c r="B345" s="334"/>
      <c r="C345" s="334"/>
      <c r="D345" s="334"/>
      <c r="E345" s="334"/>
      <c r="F345" s="334"/>
      <c r="G345" s="334"/>
      <c r="H345" s="334"/>
      <c r="I345" s="334"/>
      <c r="J345" s="334"/>
      <c r="K345" s="334"/>
      <c r="L345" s="334"/>
      <c r="M345" s="334"/>
      <c r="N345" s="334"/>
      <c r="O345" s="334"/>
      <c r="P345" s="334"/>
      <c r="Q345" s="334"/>
      <c r="R345" s="334"/>
      <c r="S345" s="334"/>
      <c r="T345" s="334"/>
      <c r="U345" s="334"/>
      <c r="V345" s="334"/>
      <c r="W345" s="334"/>
      <c r="X345" s="334"/>
      <c r="Y345" s="334"/>
    </row>
    <row r="346" spans="1:25">
      <c r="A346" s="334"/>
      <c r="B346" s="334"/>
      <c r="C346" s="334"/>
      <c r="D346" s="334"/>
      <c r="E346" s="334"/>
      <c r="F346" s="334"/>
      <c r="G346" s="334"/>
      <c r="H346" s="334"/>
      <c r="I346" s="334"/>
      <c r="J346" s="334"/>
      <c r="K346" s="334"/>
      <c r="L346" s="334"/>
      <c r="M346" s="334"/>
      <c r="N346" s="334"/>
      <c r="O346" s="334"/>
      <c r="P346" s="334"/>
      <c r="Q346" s="334"/>
      <c r="R346" s="334"/>
      <c r="S346" s="334"/>
      <c r="T346" s="334"/>
      <c r="U346" s="334"/>
      <c r="V346" s="334"/>
      <c r="W346" s="334"/>
      <c r="X346" s="334"/>
      <c r="Y346" s="334"/>
    </row>
    <row r="347" spans="1:25">
      <c r="A347" s="334"/>
      <c r="B347" s="334"/>
      <c r="C347" s="334"/>
      <c r="D347" s="334"/>
      <c r="E347" s="334"/>
      <c r="F347" s="334"/>
      <c r="G347" s="334"/>
      <c r="H347" s="334"/>
      <c r="I347" s="334"/>
      <c r="J347" s="334"/>
      <c r="K347" s="334"/>
      <c r="L347" s="334"/>
      <c r="M347" s="334"/>
      <c r="N347" s="334"/>
      <c r="O347" s="334"/>
      <c r="P347" s="334"/>
      <c r="Q347" s="334"/>
      <c r="R347" s="334"/>
      <c r="S347" s="334"/>
      <c r="T347" s="334"/>
      <c r="U347" s="334"/>
      <c r="V347" s="334"/>
      <c r="W347" s="334"/>
      <c r="X347" s="334"/>
      <c r="Y347" s="334"/>
    </row>
    <row r="348" spans="1:25">
      <c r="A348" s="334"/>
      <c r="B348" s="334"/>
      <c r="C348" s="334"/>
      <c r="D348" s="334"/>
      <c r="E348" s="334"/>
      <c r="F348" s="334"/>
      <c r="G348" s="334"/>
      <c r="H348" s="334"/>
      <c r="I348" s="334"/>
      <c r="J348" s="334"/>
      <c r="K348" s="334"/>
      <c r="L348" s="334"/>
      <c r="M348" s="334"/>
      <c r="N348" s="334"/>
      <c r="O348" s="334"/>
      <c r="P348" s="334"/>
      <c r="Q348" s="334"/>
      <c r="R348" s="334"/>
      <c r="S348" s="334"/>
      <c r="T348" s="334"/>
      <c r="U348" s="334"/>
      <c r="V348" s="334"/>
      <c r="W348" s="334"/>
      <c r="X348" s="334"/>
      <c r="Y348" s="334"/>
    </row>
    <row r="349" spans="1:25">
      <c r="A349" s="334"/>
      <c r="B349" s="334"/>
      <c r="C349" s="334"/>
      <c r="D349" s="334"/>
      <c r="E349" s="334"/>
      <c r="F349" s="334"/>
      <c r="G349" s="334"/>
      <c r="H349" s="334"/>
      <c r="I349" s="334"/>
      <c r="J349" s="334"/>
      <c r="K349" s="334"/>
      <c r="L349" s="334"/>
      <c r="M349" s="334"/>
      <c r="N349" s="334"/>
      <c r="O349" s="334"/>
      <c r="P349" s="334"/>
      <c r="Q349" s="334"/>
      <c r="R349" s="334"/>
      <c r="S349" s="334"/>
      <c r="T349" s="334"/>
      <c r="U349" s="334"/>
      <c r="V349" s="334"/>
      <c r="W349" s="334"/>
      <c r="X349" s="334"/>
      <c r="Y349" s="334"/>
    </row>
    <row r="350" spans="1:25">
      <c r="A350" s="334"/>
      <c r="B350" s="334"/>
      <c r="C350" s="334"/>
      <c r="D350" s="334"/>
      <c r="E350" s="334"/>
      <c r="F350" s="334"/>
      <c r="G350" s="334"/>
      <c r="H350" s="334"/>
      <c r="I350" s="334"/>
      <c r="J350" s="334"/>
      <c r="K350" s="334"/>
      <c r="L350" s="334"/>
      <c r="M350" s="334"/>
      <c r="N350" s="334"/>
      <c r="O350" s="334"/>
      <c r="P350" s="334"/>
      <c r="Q350" s="334"/>
      <c r="R350" s="334"/>
      <c r="S350" s="334"/>
      <c r="T350" s="334"/>
      <c r="U350" s="334"/>
      <c r="V350" s="334"/>
      <c r="W350" s="334"/>
      <c r="X350" s="334"/>
      <c r="Y350" s="334"/>
    </row>
    <row r="351" spans="1:25">
      <c r="A351" s="334"/>
      <c r="B351" s="334"/>
      <c r="C351" s="334"/>
      <c r="D351" s="334"/>
      <c r="E351" s="334"/>
      <c r="F351" s="334"/>
      <c r="G351" s="334"/>
      <c r="H351" s="334"/>
      <c r="I351" s="334"/>
      <c r="J351" s="334"/>
      <c r="K351" s="334"/>
      <c r="L351" s="334"/>
      <c r="M351" s="334"/>
      <c r="N351" s="334"/>
      <c r="O351" s="334"/>
      <c r="P351" s="334"/>
      <c r="Q351" s="334"/>
      <c r="R351" s="334"/>
      <c r="S351" s="334"/>
      <c r="T351" s="334"/>
      <c r="U351" s="334"/>
      <c r="V351" s="334"/>
      <c r="W351" s="334"/>
      <c r="X351" s="334"/>
      <c r="Y351" s="334"/>
    </row>
    <row r="352" spans="1:25">
      <c r="A352" s="334"/>
      <c r="B352" s="334"/>
      <c r="C352" s="334"/>
      <c r="D352" s="334"/>
      <c r="E352" s="334"/>
      <c r="F352" s="334"/>
      <c r="G352" s="334"/>
      <c r="H352" s="334"/>
      <c r="I352" s="334"/>
      <c r="J352" s="334"/>
      <c r="K352" s="334"/>
      <c r="L352" s="334"/>
      <c r="M352" s="334"/>
      <c r="N352" s="334"/>
      <c r="O352" s="334"/>
      <c r="P352" s="334"/>
      <c r="Q352" s="334"/>
      <c r="R352" s="334"/>
      <c r="S352" s="334"/>
      <c r="T352" s="334"/>
      <c r="U352" s="334"/>
      <c r="V352" s="334"/>
      <c r="W352" s="334"/>
      <c r="X352" s="334"/>
      <c r="Y352" s="334"/>
    </row>
    <row r="353" spans="1:25">
      <c r="A353" s="334"/>
      <c r="B353" s="334"/>
      <c r="C353" s="334"/>
      <c r="D353" s="334"/>
      <c r="E353" s="334"/>
      <c r="F353" s="334"/>
      <c r="G353" s="334"/>
      <c r="H353" s="334"/>
      <c r="I353" s="334"/>
      <c r="J353" s="334"/>
      <c r="K353" s="334"/>
      <c r="L353" s="334"/>
      <c r="M353" s="334"/>
      <c r="N353" s="334"/>
      <c r="O353" s="334"/>
      <c r="P353" s="334"/>
      <c r="Q353" s="334"/>
      <c r="R353" s="334"/>
      <c r="S353" s="334"/>
      <c r="T353" s="334"/>
      <c r="U353" s="334"/>
      <c r="V353" s="334"/>
      <c r="W353" s="334"/>
      <c r="X353" s="334"/>
      <c r="Y353" s="334"/>
    </row>
    <row r="354" spans="1:25">
      <c r="A354" s="334"/>
      <c r="B354" s="334"/>
      <c r="C354" s="334"/>
      <c r="D354" s="334"/>
      <c r="E354" s="334"/>
      <c r="F354" s="334"/>
      <c r="G354" s="334"/>
      <c r="H354" s="334"/>
      <c r="I354" s="334"/>
      <c r="J354" s="334"/>
      <c r="K354" s="334"/>
      <c r="L354" s="334"/>
      <c r="M354" s="334"/>
      <c r="N354" s="334"/>
      <c r="O354" s="334"/>
      <c r="P354" s="334"/>
      <c r="Q354" s="334"/>
      <c r="R354" s="334"/>
      <c r="S354" s="334"/>
      <c r="T354" s="334"/>
      <c r="U354" s="334"/>
      <c r="V354" s="334"/>
      <c r="W354" s="334"/>
      <c r="X354" s="334"/>
      <c r="Y354" s="334"/>
    </row>
    <row r="355" spans="1:25">
      <c r="A355" s="334"/>
      <c r="B355" s="334"/>
      <c r="C355" s="334"/>
      <c r="D355" s="334"/>
      <c r="E355" s="334"/>
      <c r="F355" s="334"/>
      <c r="G355" s="334"/>
      <c r="H355" s="334"/>
      <c r="I355" s="334"/>
      <c r="J355" s="334"/>
      <c r="K355" s="334"/>
      <c r="L355" s="334"/>
      <c r="M355" s="334"/>
      <c r="N355" s="334"/>
      <c r="O355" s="334"/>
      <c r="P355" s="334"/>
      <c r="Q355" s="334"/>
      <c r="R355" s="334"/>
      <c r="S355" s="334"/>
      <c r="T355" s="334"/>
      <c r="U355" s="334"/>
      <c r="V355" s="334"/>
      <c r="W355" s="334"/>
      <c r="X355" s="334"/>
      <c r="Y355" s="334"/>
    </row>
    <row r="356" spans="1:25">
      <c r="A356" s="334"/>
      <c r="B356" s="334"/>
      <c r="C356" s="334"/>
      <c r="D356" s="334"/>
      <c r="E356" s="334"/>
      <c r="F356" s="334"/>
      <c r="G356" s="334"/>
      <c r="H356" s="334"/>
      <c r="I356" s="334"/>
      <c r="J356" s="334"/>
      <c r="K356" s="334"/>
      <c r="L356" s="334"/>
      <c r="M356" s="334"/>
      <c r="N356" s="334"/>
      <c r="O356" s="334"/>
      <c r="P356" s="334"/>
      <c r="Q356" s="334"/>
      <c r="R356" s="334"/>
      <c r="S356" s="334"/>
      <c r="T356" s="334"/>
      <c r="U356" s="334"/>
      <c r="V356" s="334"/>
      <c r="W356" s="334"/>
      <c r="X356" s="334"/>
      <c r="Y356" s="334"/>
    </row>
    <row r="357" spans="1:25">
      <c r="A357" s="334"/>
      <c r="B357" s="334"/>
      <c r="C357" s="334"/>
      <c r="D357" s="334"/>
      <c r="E357" s="334"/>
      <c r="F357" s="334"/>
      <c r="G357" s="334"/>
      <c r="H357" s="334"/>
      <c r="I357" s="334"/>
      <c r="J357" s="334"/>
      <c r="K357" s="334"/>
      <c r="L357" s="334"/>
      <c r="M357" s="334"/>
      <c r="N357" s="334"/>
      <c r="O357" s="334"/>
      <c r="P357" s="334"/>
      <c r="Q357" s="334"/>
      <c r="R357" s="334"/>
      <c r="S357" s="334"/>
      <c r="T357" s="334"/>
      <c r="U357" s="334"/>
      <c r="V357" s="334"/>
      <c r="W357" s="334"/>
      <c r="X357" s="334"/>
      <c r="Y357" s="334"/>
    </row>
    <row r="358" spans="1:25">
      <c r="A358" s="334"/>
      <c r="B358" s="334"/>
      <c r="C358" s="334"/>
      <c r="D358" s="334"/>
      <c r="E358" s="334"/>
      <c r="F358" s="334"/>
      <c r="G358" s="334"/>
      <c r="H358" s="334"/>
      <c r="I358" s="334"/>
      <c r="J358" s="334"/>
      <c r="K358" s="334"/>
      <c r="L358" s="334"/>
      <c r="M358" s="334"/>
      <c r="N358" s="334"/>
      <c r="O358" s="334"/>
      <c r="P358" s="334"/>
      <c r="Q358" s="334"/>
      <c r="R358" s="334"/>
      <c r="S358" s="334"/>
      <c r="T358" s="334"/>
      <c r="U358" s="334"/>
      <c r="V358" s="334"/>
      <c r="W358" s="334"/>
      <c r="X358" s="334"/>
      <c r="Y358" s="334"/>
    </row>
    <row r="359" spans="1:25">
      <c r="A359" s="334"/>
      <c r="B359" s="334"/>
      <c r="C359" s="334"/>
      <c r="D359" s="334"/>
      <c r="E359" s="334"/>
      <c r="F359" s="334"/>
      <c r="G359" s="334"/>
      <c r="H359" s="334"/>
      <c r="I359" s="334"/>
      <c r="J359" s="334"/>
      <c r="K359" s="334"/>
      <c r="L359" s="334"/>
      <c r="M359" s="334"/>
      <c r="N359" s="334"/>
      <c r="O359" s="334"/>
      <c r="P359" s="334"/>
      <c r="Q359" s="334"/>
      <c r="R359" s="334"/>
      <c r="S359" s="334"/>
      <c r="T359" s="334"/>
      <c r="U359" s="334"/>
      <c r="V359" s="334"/>
      <c r="W359" s="334"/>
      <c r="X359" s="334"/>
      <c r="Y359" s="334"/>
    </row>
    <row r="360" spans="1:25">
      <c r="A360" s="334"/>
      <c r="B360" s="334"/>
      <c r="C360" s="334"/>
      <c r="D360" s="334"/>
      <c r="E360" s="334"/>
      <c r="F360" s="334"/>
      <c r="G360" s="334"/>
      <c r="H360" s="334"/>
      <c r="I360" s="334"/>
      <c r="J360" s="334"/>
      <c r="K360" s="334"/>
      <c r="L360" s="334"/>
      <c r="M360" s="334"/>
      <c r="N360" s="334"/>
      <c r="O360" s="334"/>
      <c r="P360" s="334"/>
      <c r="Q360" s="334"/>
      <c r="R360" s="334"/>
      <c r="S360" s="334"/>
      <c r="T360" s="334"/>
      <c r="U360" s="334"/>
      <c r="V360" s="334"/>
      <c r="W360" s="334"/>
      <c r="X360" s="334"/>
      <c r="Y360" s="334"/>
    </row>
    <row r="361" spans="1:25">
      <c r="A361" s="334"/>
      <c r="B361" s="334"/>
      <c r="C361" s="334"/>
      <c r="D361" s="334"/>
      <c r="E361" s="334"/>
      <c r="F361" s="334"/>
      <c r="G361" s="334"/>
      <c r="H361" s="334"/>
      <c r="I361" s="334"/>
      <c r="J361" s="334"/>
      <c r="K361" s="334"/>
      <c r="L361" s="334"/>
      <c r="M361" s="334"/>
      <c r="N361" s="334"/>
      <c r="O361" s="334"/>
      <c r="P361" s="334"/>
      <c r="Q361" s="334"/>
      <c r="R361" s="334"/>
      <c r="S361" s="334"/>
      <c r="T361" s="334"/>
      <c r="U361" s="334"/>
      <c r="V361" s="334"/>
      <c r="W361" s="334"/>
      <c r="X361" s="334"/>
      <c r="Y361" s="334"/>
    </row>
    <row r="362" spans="1:25">
      <c r="A362" s="334"/>
      <c r="B362" s="334"/>
      <c r="C362" s="334"/>
      <c r="D362" s="334"/>
      <c r="E362" s="334"/>
      <c r="F362" s="334"/>
      <c r="G362" s="334"/>
      <c r="H362" s="334"/>
      <c r="I362" s="334"/>
      <c r="J362" s="334"/>
      <c r="K362" s="334"/>
      <c r="L362" s="334"/>
      <c r="M362" s="334"/>
      <c r="N362" s="334"/>
      <c r="O362" s="334"/>
      <c r="P362" s="334"/>
      <c r="Q362" s="334"/>
      <c r="R362" s="334"/>
      <c r="S362" s="334"/>
      <c r="T362" s="334"/>
      <c r="U362" s="334"/>
      <c r="V362" s="334"/>
      <c r="W362" s="334"/>
      <c r="X362" s="334"/>
      <c r="Y362" s="334"/>
    </row>
    <row r="363" spans="1:25">
      <c r="A363" s="334"/>
      <c r="B363" s="334"/>
      <c r="C363" s="334"/>
      <c r="D363" s="334"/>
      <c r="E363" s="334"/>
      <c r="F363" s="334"/>
      <c r="G363" s="334"/>
      <c r="H363" s="334"/>
      <c r="I363" s="334"/>
      <c r="J363" s="334"/>
      <c r="K363" s="334"/>
      <c r="L363" s="334"/>
      <c r="M363" s="334"/>
      <c r="N363" s="334"/>
      <c r="O363" s="334"/>
      <c r="P363" s="334"/>
      <c r="Q363" s="334"/>
      <c r="R363" s="334"/>
      <c r="S363" s="334"/>
      <c r="T363" s="334"/>
      <c r="U363" s="334"/>
      <c r="V363" s="334"/>
      <c r="W363" s="334"/>
      <c r="X363" s="334"/>
      <c r="Y363" s="334"/>
    </row>
    <row r="364" spans="1:25">
      <c r="A364" s="334"/>
      <c r="B364" s="334"/>
      <c r="C364" s="334"/>
      <c r="D364" s="334"/>
      <c r="E364" s="334"/>
      <c r="F364" s="334"/>
      <c r="G364" s="334"/>
      <c r="H364" s="334"/>
      <c r="I364" s="334"/>
      <c r="J364" s="334"/>
      <c r="K364" s="334"/>
      <c r="L364" s="334"/>
      <c r="M364" s="334"/>
      <c r="N364" s="334"/>
      <c r="O364" s="334"/>
      <c r="P364" s="334"/>
      <c r="Q364" s="334"/>
      <c r="R364" s="334"/>
      <c r="S364" s="334"/>
      <c r="T364" s="334"/>
      <c r="U364" s="334"/>
      <c r="V364" s="334"/>
      <c r="W364" s="334"/>
      <c r="X364" s="334"/>
      <c r="Y364" s="334"/>
    </row>
    <row r="365" spans="1:25">
      <c r="A365" s="334"/>
      <c r="B365" s="334"/>
      <c r="C365" s="334"/>
      <c r="D365" s="334"/>
      <c r="E365" s="334"/>
      <c r="F365" s="334"/>
      <c r="G365" s="334"/>
      <c r="H365" s="334"/>
      <c r="I365" s="334"/>
      <c r="J365" s="334"/>
      <c r="K365" s="334"/>
      <c r="L365" s="334"/>
      <c r="M365" s="334"/>
      <c r="N365" s="334"/>
      <c r="O365" s="334"/>
      <c r="P365" s="334"/>
      <c r="Q365" s="334"/>
      <c r="R365" s="334"/>
      <c r="S365" s="334"/>
      <c r="T365" s="334"/>
      <c r="U365" s="334"/>
      <c r="V365" s="334"/>
      <c r="W365" s="334"/>
      <c r="X365" s="334"/>
      <c r="Y365" s="334"/>
    </row>
    <row r="366" spans="1:25">
      <c r="A366" s="334"/>
      <c r="B366" s="334"/>
      <c r="C366" s="334"/>
      <c r="D366" s="334"/>
      <c r="E366" s="334"/>
      <c r="F366" s="334"/>
      <c r="G366" s="334"/>
      <c r="H366" s="334"/>
      <c r="I366" s="334"/>
      <c r="J366" s="334"/>
      <c r="K366" s="334"/>
      <c r="L366" s="334"/>
      <c r="M366" s="334"/>
      <c r="N366" s="334"/>
      <c r="O366" s="334"/>
      <c r="P366" s="334"/>
      <c r="Q366" s="334"/>
      <c r="R366" s="334"/>
      <c r="S366" s="334"/>
      <c r="T366" s="334"/>
      <c r="U366" s="334"/>
      <c r="V366" s="334"/>
      <c r="W366" s="334"/>
      <c r="X366" s="334"/>
      <c r="Y366" s="334"/>
    </row>
    <row r="367" spans="1:25">
      <c r="A367" s="334"/>
      <c r="B367" s="334"/>
      <c r="C367" s="334"/>
      <c r="D367" s="334"/>
      <c r="E367" s="334"/>
      <c r="F367" s="334"/>
      <c r="G367" s="334"/>
      <c r="H367" s="334"/>
      <c r="I367" s="334"/>
      <c r="J367" s="334"/>
      <c r="K367" s="334"/>
      <c r="L367" s="334"/>
      <c r="M367" s="334"/>
      <c r="N367" s="334"/>
      <c r="O367" s="334"/>
      <c r="P367" s="334"/>
      <c r="Q367" s="334"/>
      <c r="R367" s="334"/>
      <c r="S367" s="334"/>
      <c r="T367" s="334"/>
      <c r="U367" s="334"/>
      <c r="V367" s="334"/>
      <c r="W367" s="334"/>
      <c r="X367" s="334"/>
      <c r="Y367" s="334"/>
    </row>
    <row r="368" spans="1:25">
      <c r="A368" s="334"/>
      <c r="B368" s="334"/>
      <c r="C368" s="334"/>
      <c r="D368" s="334"/>
      <c r="E368" s="334"/>
      <c r="F368" s="334"/>
      <c r="G368" s="334"/>
      <c r="H368" s="334"/>
      <c r="I368" s="334"/>
      <c r="J368" s="334"/>
      <c r="K368" s="334"/>
      <c r="L368" s="334"/>
      <c r="M368" s="334"/>
      <c r="N368" s="334"/>
      <c r="O368" s="334"/>
      <c r="P368" s="334"/>
      <c r="Q368" s="334"/>
      <c r="R368" s="334"/>
      <c r="S368" s="334"/>
      <c r="T368" s="334"/>
      <c r="U368" s="334"/>
      <c r="V368" s="334"/>
      <c r="W368" s="334"/>
      <c r="X368" s="334"/>
      <c r="Y368" s="334"/>
    </row>
    <row r="369" spans="1:25">
      <c r="A369" s="334"/>
      <c r="B369" s="334"/>
      <c r="C369" s="334"/>
      <c r="D369" s="334"/>
      <c r="E369" s="334"/>
      <c r="F369" s="334"/>
      <c r="G369" s="334"/>
      <c r="H369" s="334"/>
      <c r="I369" s="334"/>
      <c r="J369" s="334"/>
      <c r="K369" s="334"/>
      <c r="L369" s="334"/>
      <c r="M369" s="334"/>
      <c r="N369" s="334"/>
      <c r="O369" s="334"/>
      <c r="P369" s="334"/>
      <c r="Q369" s="334"/>
      <c r="R369" s="334"/>
      <c r="S369" s="334"/>
      <c r="T369" s="334"/>
      <c r="U369" s="334"/>
      <c r="V369" s="334"/>
      <c r="W369" s="334"/>
      <c r="X369" s="334"/>
      <c r="Y369" s="334"/>
    </row>
    <row r="370" spans="1:25">
      <c r="A370" s="334"/>
      <c r="B370" s="334"/>
      <c r="C370" s="334"/>
      <c r="D370" s="334"/>
      <c r="E370" s="334"/>
      <c r="F370" s="334"/>
      <c r="G370" s="334"/>
      <c r="H370" s="334"/>
      <c r="I370" s="334"/>
      <c r="J370" s="334"/>
      <c r="K370" s="334"/>
      <c r="L370" s="334"/>
      <c r="M370" s="334"/>
      <c r="N370" s="334"/>
      <c r="O370" s="334"/>
      <c r="P370" s="334"/>
      <c r="Q370" s="334"/>
      <c r="R370" s="334"/>
      <c r="S370" s="334"/>
      <c r="T370" s="334"/>
      <c r="U370" s="334"/>
      <c r="V370" s="334"/>
      <c r="W370" s="334"/>
      <c r="X370" s="334"/>
      <c r="Y370" s="334"/>
    </row>
    <row r="371" spans="1:25">
      <c r="A371" s="334"/>
      <c r="B371" s="334"/>
      <c r="C371" s="334"/>
      <c r="D371" s="334"/>
      <c r="E371" s="334"/>
      <c r="F371" s="334"/>
      <c r="G371" s="334"/>
      <c r="H371" s="334"/>
      <c r="I371" s="334"/>
      <c r="J371" s="334"/>
      <c r="K371" s="334"/>
      <c r="L371" s="334"/>
      <c r="M371" s="334"/>
      <c r="N371" s="334"/>
      <c r="O371" s="334"/>
      <c r="P371" s="334"/>
      <c r="Q371" s="334"/>
      <c r="R371" s="334"/>
      <c r="S371" s="334"/>
      <c r="T371" s="334"/>
      <c r="U371" s="334"/>
      <c r="V371" s="334"/>
      <c r="W371" s="334"/>
      <c r="X371" s="334"/>
      <c r="Y371" s="334"/>
    </row>
    <row r="372" spans="1:25">
      <c r="A372" s="334"/>
      <c r="B372" s="334"/>
      <c r="C372" s="334"/>
      <c r="D372" s="334"/>
      <c r="E372" s="334"/>
      <c r="F372" s="334"/>
      <c r="G372" s="334"/>
      <c r="H372" s="334"/>
      <c r="I372" s="334"/>
      <c r="J372" s="334"/>
      <c r="K372" s="334"/>
      <c r="L372" s="334"/>
      <c r="M372" s="334"/>
      <c r="N372" s="334"/>
      <c r="O372" s="334"/>
      <c r="P372" s="334"/>
      <c r="Q372" s="334"/>
      <c r="R372" s="334"/>
      <c r="S372" s="334"/>
      <c r="T372" s="334"/>
      <c r="U372" s="334"/>
      <c r="V372" s="334"/>
      <c r="W372" s="334"/>
      <c r="X372" s="334"/>
      <c r="Y372" s="334"/>
    </row>
    <row r="373" spans="1:25">
      <c r="A373" s="334"/>
      <c r="B373" s="334"/>
      <c r="C373" s="334"/>
      <c r="D373" s="334"/>
      <c r="E373" s="334"/>
      <c r="F373" s="334"/>
      <c r="G373" s="334"/>
      <c r="H373" s="334"/>
      <c r="I373" s="334"/>
      <c r="J373" s="334"/>
      <c r="K373" s="334"/>
      <c r="L373" s="334"/>
      <c r="M373" s="334"/>
      <c r="N373" s="334"/>
      <c r="O373" s="334"/>
      <c r="P373" s="334"/>
      <c r="Q373" s="334"/>
      <c r="R373" s="334"/>
      <c r="S373" s="334"/>
      <c r="T373" s="334"/>
      <c r="U373" s="334"/>
      <c r="V373" s="334"/>
      <c r="W373" s="334"/>
      <c r="X373" s="334"/>
      <c r="Y373" s="334"/>
    </row>
    <row r="374" spans="1:25">
      <c r="A374" s="334"/>
      <c r="B374" s="334"/>
      <c r="C374" s="334"/>
      <c r="D374" s="334"/>
      <c r="E374" s="334"/>
      <c r="F374" s="334"/>
      <c r="G374" s="334"/>
      <c r="H374" s="334"/>
      <c r="I374" s="334"/>
      <c r="J374" s="334"/>
      <c r="K374" s="334"/>
      <c r="L374" s="334"/>
      <c r="M374" s="334"/>
      <c r="N374" s="334"/>
      <c r="O374" s="334"/>
      <c r="P374" s="334"/>
      <c r="Q374" s="334"/>
      <c r="R374" s="334"/>
      <c r="S374" s="334"/>
      <c r="T374" s="334"/>
      <c r="U374" s="334"/>
      <c r="V374" s="334"/>
      <c r="W374" s="334"/>
      <c r="X374" s="334"/>
      <c r="Y374" s="334"/>
    </row>
    <row r="375" spans="1:25">
      <c r="A375" s="334"/>
      <c r="B375" s="334"/>
      <c r="C375" s="334"/>
      <c r="D375" s="334"/>
      <c r="E375" s="334"/>
      <c r="F375" s="334"/>
      <c r="G375" s="334"/>
      <c r="H375" s="334"/>
      <c r="I375" s="334"/>
      <c r="J375" s="334"/>
      <c r="K375" s="334"/>
      <c r="L375" s="334"/>
      <c r="M375" s="334"/>
      <c r="N375" s="334"/>
      <c r="O375" s="334"/>
      <c r="P375" s="334"/>
      <c r="Q375" s="334"/>
      <c r="R375" s="334"/>
      <c r="S375" s="334"/>
      <c r="T375" s="334"/>
      <c r="U375" s="334"/>
      <c r="V375" s="334"/>
      <c r="W375" s="334"/>
      <c r="X375" s="334"/>
      <c r="Y375" s="334"/>
    </row>
    <row r="376" spans="1:25">
      <c r="A376" s="334"/>
      <c r="B376" s="334"/>
      <c r="C376" s="334"/>
      <c r="D376" s="334"/>
      <c r="E376" s="334"/>
      <c r="F376" s="334"/>
      <c r="G376" s="334"/>
      <c r="H376" s="334"/>
      <c r="I376" s="334"/>
      <c r="J376" s="334"/>
      <c r="K376" s="334"/>
      <c r="L376" s="334"/>
      <c r="M376" s="334"/>
      <c r="N376" s="334"/>
      <c r="O376" s="334"/>
      <c r="P376" s="334"/>
      <c r="Q376" s="334"/>
      <c r="R376" s="334"/>
      <c r="S376" s="334"/>
      <c r="T376" s="334"/>
      <c r="U376" s="334"/>
      <c r="V376" s="334"/>
      <c r="W376" s="334"/>
      <c r="X376" s="334"/>
      <c r="Y376" s="334"/>
    </row>
    <row r="377" spans="1:25">
      <c r="A377" s="334"/>
      <c r="B377" s="334"/>
      <c r="C377" s="334"/>
      <c r="D377" s="334"/>
      <c r="E377" s="334"/>
      <c r="F377" s="334"/>
      <c r="G377" s="334"/>
      <c r="H377" s="334"/>
      <c r="I377" s="334"/>
      <c r="J377" s="334"/>
      <c r="K377" s="334"/>
      <c r="L377" s="334"/>
      <c r="M377" s="334"/>
      <c r="N377" s="334"/>
      <c r="O377" s="334"/>
      <c r="P377" s="334"/>
      <c r="Q377" s="334"/>
      <c r="R377" s="334"/>
      <c r="S377" s="334"/>
      <c r="T377" s="334"/>
      <c r="U377" s="334"/>
      <c r="V377" s="334"/>
      <c r="W377" s="334"/>
      <c r="X377" s="334"/>
      <c r="Y377" s="334"/>
    </row>
    <row r="378" spans="1:25">
      <c r="A378" s="334"/>
      <c r="B378" s="334"/>
      <c r="C378" s="334"/>
      <c r="D378" s="334"/>
      <c r="E378" s="334"/>
      <c r="F378" s="334"/>
      <c r="G378" s="334"/>
      <c r="H378" s="334"/>
      <c r="I378" s="334"/>
      <c r="J378" s="334"/>
      <c r="K378" s="334"/>
      <c r="L378" s="334"/>
      <c r="M378" s="334"/>
      <c r="N378" s="334"/>
      <c r="O378" s="334"/>
      <c r="P378" s="334"/>
      <c r="Q378" s="334"/>
      <c r="R378" s="334"/>
      <c r="S378" s="334"/>
      <c r="T378" s="334"/>
      <c r="U378" s="334"/>
      <c r="V378" s="334"/>
      <c r="W378" s="334"/>
      <c r="X378" s="334"/>
      <c r="Y378" s="334"/>
    </row>
    <row r="379" spans="1:25">
      <c r="A379" s="334"/>
      <c r="B379" s="334"/>
      <c r="C379" s="334"/>
      <c r="D379" s="334"/>
      <c r="E379" s="334"/>
      <c r="F379" s="334"/>
      <c r="G379" s="334"/>
      <c r="H379" s="334"/>
      <c r="I379" s="334"/>
      <c r="J379" s="334"/>
      <c r="K379" s="334"/>
      <c r="L379" s="334"/>
      <c r="M379" s="334"/>
      <c r="N379" s="334"/>
      <c r="O379" s="334"/>
      <c r="P379" s="334"/>
      <c r="Q379" s="334"/>
      <c r="R379" s="334"/>
      <c r="S379" s="334"/>
      <c r="T379" s="334"/>
      <c r="U379" s="334"/>
      <c r="V379" s="334"/>
      <c r="W379" s="334"/>
      <c r="X379" s="334"/>
      <c r="Y379" s="334"/>
    </row>
    <row r="380" spans="1:25">
      <c r="A380" s="334"/>
      <c r="B380" s="334"/>
      <c r="C380" s="334"/>
      <c r="D380" s="334"/>
      <c r="E380" s="334"/>
      <c r="F380" s="334"/>
      <c r="G380" s="334"/>
      <c r="H380" s="334"/>
      <c r="I380" s="334"/>
      <c r="J380" s="334"/>
      <c r="K380" s="334"/>
      <c r="L380" s="334"/>
      <c r="M380" s="334"/>
      <c r="N380" s="334"/>
      <c r="O380" s="334"/>
      <c r="P380" s="334"/>
      <c r="Q380" s="334"/>
      <c r="R380" s="334"/>
      <c r="S380" s="334"/>
      <c r="T380" s="334"/>
      <c r="U380" s="334"/>
      <c r="V380" s="334"/>
      <c r="W380" s="334"/>
      <c r="X380" s="334"/>
      <c r="Y380" s="334"/>
    </row>
    <row r="381" spans="1:25">
      <c r="A381" s="334"/>
      <c r="B381" s="334"/>
      <c r="C381" s="334"/>
      <c r="D381" s="334"/>
      <c r="E381" s="334"/>
      <c r="F381" s="334"/>
      <c r="G381" s="334"/>
      <c r="H381" s="334"/>
      <c r="I381" s="334"/>
      <c r="J381" s="334"/>
      <c r="K381" s="334"/>
      <c r="L381" s="334"/>
      <c r="M381" s="334"/>
      <c r="N381" s="334"/>
      <c r="O381" s="334"/>
      <c r="P381" s="334"/>
      <c r="Q381" s="334"/>
      <c r="R381" s="334"/>
      <c r="S381" s="334"/>
      <c r="T381" s="334"/>
      <c r="U381" s="334"/>
      <c r="V381" s="334"/>
      <c r="W381" s="334"/>
      <c r="X381" s="334"/>
      <c r="Y381" s="334"/>
    </row>
    <row r="382" spans="1:25">
      <c r="A382" s="334"/>
      <c r="B382" s="334"/>
      <c r="C382" s="334"/>
      <c r="D382" s="334"/>
      <c r="E382" s="334"/>
      <c r="F382" s="334"/>
      <c r="G382" s="334"/>
      <c r="H382" s="334"/>
      <c r="I382" s="334"/>
      <c r="J382" s="334"/>
      <c r="K382" s="334"/>
      <c r="L382" s="334"/>
      <c r="M382" s="334"/>
      <c r="N382" s="334"/>
      <c r="O382" s="334"/>
      <c r="P382" s="334"/>
      <c r="Q382" s="334"/>
      <c r="R382" s="334"/>
      <c r="S382" s="334"/>
      <c r="T382" s="334"/>
      <c r="U382" s="334"/>
      <c r="V382" s="334"/>
      <c r="W382" s="334"/>
      <c r="X382" s="334"/>
      <c r="Y382" s="334"/>
    </row>
    <row r="383" spans="1:25">
      <c r="A383" s="334"/>
      <c r="B383" s="334"/>
      <c r="C383" s="334"/>
      <c r="D383" s="334"/>
      <c r="E383" s="334"/>
      <c r="F383" s="334"/>
      <c r="G383" s="334"/>
      <c r="H383" s="334"/>
      <c r="I383" s="334"/>
      <c r="J383" s="334"/>
      <c r="K383" s="334"/>
      <c r="L383" s="334"/>
      <c r="M383" s="334"/>
      <c r="N383" s="334"/>
      <c r="O383" s="334"/>
      <c r="P383" s="334"/>
      <c r="Q383" s="334"/>
      <c r="R383" s="334"/>
      <c r="S383" s="334"/>
      <c r="T383" s="334"/>
      <c r="U383" s="334"/>
      <c r="V383" s="334"/>
      <c r="W383" s="334"/>
      <c r="X383" s="334"/>
      <c r="Y383" s="334"/>
    </row>
    <row r="384" spans="1:25">
      <c r="A384" s="334"/>
      <c r="B384" s="334"/>
      <c r="C384" s="334"/>
      <c r="D384" s="334"/>
      <c r="E384" s="334"/>
      <c r="F384" s="334"/>
      <c r="G384" s="334"/>
      <c r="H384" s="334"/>
      <c r="I384" s="334"/>
      <c r="J384" s="334"/>
      <c r="K384" s="334"/>
      <c r="L384" s="334"/>
      <c r="M384" s="334"/>
      <c r="N384" s="334"/>
      <c r="O384" s="334"/>
      <c r="P384" s="334"/>
      <c r="Q384" s="334"/>
      <c r="R384" s="334"/>
      <c r="S384" s="334"/>
      <c r="T384" s="334"/>
      <c r="U384" s="334"/>
      <c r="V384" s="334"/>
      <c r="W384" s="334"/>
      <c r="X384" s="334"/>
      <c r="Y384" s="334"/>
    </row>
    <row r="385" spans="1:25">
      <c r="A385" s="334"/>
      <c r="B385" s="334"/>
      <c r="C385" s="334"/>
      <c r="D385" s="334"/>
      <c r="E385" s="334"/>
      <c r="F385" s="334"/>
      <c r="G385" s="334"/>
      <c r="H385" s="334"/>
      <c r="I385" s="334"/>
      <c r="J385" s="334"/>
      <c r="K385" s="334"/>
      <c r="L385" s="334"/>
      <c r="M385" s="334"/>
      <c r="N385" s="334"/>
      <c r="O385" s="334"/>
      <c r="P385" s="334"/>
      <c r="Q385" s="334"/>
      <c r="R385" s="334"/>
      <c r="S385" s="334"/>
      <c r="T385" s="334"/>
      <c r="U385" s="334"/>
      <c r="V385" s="334"/>
      <c r="W385" s="334"/>
      <c r="X385" s="334"/>
      <c r="Y385" s="334"/>
    </row>
    <row r="386" spans="1:25">
      <c r="A386" s="334"/>
      <c r="B386" s="334"/>
      <c r="C386" s="334"/>
      <c r="D386" s="334"/>
      <c r="E386" s="334"/>
      <c r="F386" s="334"/>
      <c r="G386" s="334"/>
      <c r="H386" s="334"/>
      <c r="I386" s="334"/>
      <c r="J386" s="334"/>
      <c r="K386" s="334"/>
      <c r="L386" s="334"/>
      <c r="M386" s="334"/>
      <c r="N386" s="334"/>
      <c r="O386" s="334"/>
      <c r="P386" s="334"/>
      <c r="Q386" s="334"/>
      <c r="R386" s="334"/>
      <c r="S386" s="334"/>
      <c r="T386" s="334"/>
      <c r="U386" s="334"/>
      <c r="V386" s="334"/>
      <c r="W386" s="334"/>
      <c r="X386" s="334"/>
      <c r="Y386" s="334"/>
    </row>
    <row r="387" spans="1:25">
      <c r="A387" s="334"/>
      <c r="B387" s="334"/>
      <c r="C387" s="334"/>
      <c r="D387" s="334"/>
      <c r="E387" s="334"/>
      <c r="F387" s="334"/>
      <c r="G387" s="334"/>
      <c r="H387" s="334"/>
      <c r="I387" s="334"/>
      <c r="J387" s="334"/>
      <c r="K387" s="334"/>
      <c r="L387" s="334"/>
      <c r="M387" s="334"/>
      <c r="N387" s="334"/>
      <c r="O387" s="334"/>
      <c r="P387" s="334"/>
      <c r="Q387" s="334"/>
      <c r="R387" s="334"/>
      <c r="S387" s="334"/>
      <c r="T387" s="334"/>
      <c r="U387" s="334"/>
      <c r="V387" s="334"/>
      <c r="W387" s="334"/>
      <c r="X387" s="334"/>
      <c r="Y387" s="334"/>
    </row>
    <row r="388" spans="1:25">
      <c r="A388" s="334"/>
      <c r="B388" s="334"/>
      <c r="C388" s="334"/>
      <c r="D388" s="334"/>
      <c r="E388" s="334"/>
      <c r="F388" s="334"/>
      <c r="G388" s="334"/>
      <c r="H388" s="334"/>
      <c r="I388" s="334"/>
      <c r="J388" s="334"/>
      <c r="K388" s="334"/>
      <c r="L388" s="334"/>
      <c r="M388" s="334"/>
      <c r="N388" s="334"/>
      <c r="O388" s="334"/>
      <c r="P388" s="334"/>
      <c r="Q388" s="334"/>
      <c r="R388" s="334"/>
      <c r="S388" s="334"/>
      <c r="T388" s="334"/>
      <c r="U388" s="334"/>
      <c r="V388" s="334"/>
      <c r="W388" s="334"/>
      <c r="X388" s="334"/>
      <c r="Y388" s="334"/>
    </row>
    <row r="389" spans="1:25">
      <c r="A389" s="334"/>
      <c r="B389" s="334"/>
      <c r="C389" s="334"/>
      <c r="D389" s="334"/>
      <c r="E389" s="334"/>
      <c r="F389" s="334"/>
      <c r="G389" s="334"/>
      <c r="H389" s="334"/>
      <c r="I389" s="334"/>
      <c r="J389" s="334"/>
      <c r="K389" s="334"/>
      <c r="L389" s="334"/>
      <c r="M389" s="334"/>
      <c r="N389" s="334"/>
      <c r="O389" s="334"/>
      <c r="P389" s="334"/>
      <c r="Q389" s="334"/>
      <c r="R389" s="334"/>
      <c r="S389" s="334"/>
      <c r="T389" s="334"/>
      <c r="U389" s="334"/>
      <c r="V389" s="334"/>
      <c r="W389" s="334"/>
      <c r="X389" s="334"/>
      <c r="Y389" s="334"/>
    </row>
    <row r="390" spans="1:25">
      <c r="A390" s="334"/>
      <c r="B390" s="334"/>
      <c r="C390" s="334"/>
      <c r="D390" s="334"/>
      <c r="E390" s="334"/>
      <c r="F390" s="334"/>
      <c r="G390" s="334"/>
      <c r="H390" s="334"/>
      <c r="I390" s="334"/>
      <c r="J390" s="334"/>
      <c r="K390" s="334"/>
      <c r="L390" s="334"/>
      <c r="M390" s="334"/>
      <c r="N390" s="334"/>
      <c r="O390" s="334"/>
      <c r="P390" s="334"/>
      <c r="Q390" s="334"/>
      <c r="R390" s="334"/>
      <c r="S390" s="334"/>
      <c r="T390" s="334"/>
      <c r="U390" s="334"/>
      <c r="V390" s="334"/>
      <c r="W390" s="334"/>
      <c r="X390" s="334"/>
      <c r="Y390" s="334"/>
    </row>
    <row r="391" spans="1:25">
      <c r="A391" s="334"/>
      <c r="B391" s="334"/>
      <c r="C391" s="334"/>
      <c r="D391" s="334"/>
      <c r="E391" s="334"/>
      <c r="F391" s="334"/>
      <c r="G391" s="334"/>
      <c r="H391" s="334"/>
      <c r="I391" s="334"/>
      <c r="J391" s="334"/>
      <c r="K391" s="334"/>
      <c r="L391" s="334"/>
      <c r="M391" s="334"/>
      <c r="N391" s="334"/>
      <c r="O391" s="334"/>
      <c r="P391" s="334"/>
      <c r="Q391" s="334"/>
      <c r="R391" s="334"/>
      <c r="S391" s="334"/>
      <c r="T391" s="334"/>
      <c r="U391" s="334"/>
      <c r="V391" s="334"/>
      <c r="W391" s="334"/>
      <c r="X391" s="334"/>
      <c r="Y391" s="334"/>
    </row>
    <row r="392" spans="1:25">
      <c r="A392" s="334"/>
      <c r="B392" s="334"/>
      <c r="C392" s="334"/>
      <c r="D392" s="334"/>
      <c r="E392" s="334"/>
      <c r="F392" s="334"/>
      <c r="G392" s="334"/>
      <c r="H392" s="334"/>
      <c r="I392" s="334"/>
      <c r="J392" s="334"/>
      <c r="K392" s="334"/>
      <c r="L392" s="334"/>
      <c r="M392" s="334"/>
      <c r="N392" s="334"/>
      <c r="O392" s="334"/>
      <c r="P392" s="334"/>
      <c r="Q392" s="334"/>
      <c r="R392" s="334"/>
      <c r="S392" s="334"/>
      <c r="T392" s="334"/>
      <c r="U392" s="334"/>
      <c r="V392" s="334"/>
      <c r="W392" s="334"/>
      <c r="X392" s="334"/>
      <c r="Y392" s="334"/>
    </row>
    <row r="393" spans="1:25">
      <c r="A393" s="334"/>
      <c r="B393" s="334"/>
      <c r="C393" s="334"/>
      <c r="D393" s="334"/>
      <c r="E393" s="334"/>
      <c r="F393" s="334"/>
      <c r="G393" s="334"/>
      <c r="H393" s="334"/>
      <c r="I393" s="334"/>
      <c r="J393" s="334"/>
      <c r="K393" s="334"/>
      <c r="L393" s="334"/>
      <c r="M393" s="334"/>
      <c r="N393" s="334"/>
      <c r="O393" s="334"/>
      <c r="P393" s="334"/>
      <c r="Q393" s="334"/>
      <c r="R393" s="334"/>
      <c r="S393" s="334"/>
      <c r="T393" s="334"/>
      <c r="U393" s="334"/>
      <c r="V393" s="334"/>
      <c r="W393" s="334"/>
      <c r="X393" s="334"/>
      <c r="Y393" s="334"/>
    </row>
    <row r="394" spans="1:25">
      <c r="A394" s="334"/>
      <c r="B394" s="334"/>
      <c r="C394" s="334"/>
      <c r="D394" s="334"/>
      <c r="E394" s="334"/>
      <c r="F394" s="334"/>
      <c r="G394" s="334"/>
      <c r="H394" s="334"/>
      <c r="I394" s="334"/>
      <c r="J394" s="334"/>
      <c r="K394" s="334"/>
      <c r="L394" s="334"/>
      <c r="M394" s="334"/>
      <c r="N394" s="334"/>
      <c r="O394" s="334"/>
      <c r="P394" s="334"/>
      <c r="Q394" s="334"/>
      <c r="R394" s="334"/>
      <c r="S394" s="334"/>
      <c r="T394" s="334"/>
      <c r="U394" s="334"/>
      <c r="V394" s="334"/>
      <c r="W394" s="334"/>
      <c r="X394" s="334"/>
      <c r="Y394" s="334"/>
    </row>
    <row r="395" spans="1:25">
      <c r="A395" s="334"/>
      <c r="B395" s="334"/>
      <c r="C395" s="334"/>
      <c r="D395" s="334"/>
      <c r="E395" s="334"/>
      <c r="F395" s="334"/>
      <c r="G395" s="334"/>
      <c r="H395" s="334"/>
      <c r="I395" s="334"/>
      <c r="J395" s="334"/>
      <c r="K395" s="334"/>
      <c r="L395" s="334"/>
      <c r="M395" s="334"/>
      <c r="N395" s="334"/>
      <c r="O395" s="334"/>
      <c r="P395" s="334"/>
      <c r="Q395" s="334"/>
      <c r="R395" s="334"/>
      <c r="S395" s="334"/>
      <c r="T395" s="334"/>
      <c r="U395" s="334"/>
      <c r="V395" s="334"/>
      <c r="W395" s="334"/>
      <c r="X395" s="334"/>
      <c r="Y395" s="334"/>
    </row>
    <row r="396" spans="1:25">
      <c r="A396" s="334"/>
      <c r="B396" s="334"/>
      <c r="C396" s="334"/>
      <c r="D396" s="334"/>
      <c r="E396" s="334"/>
      <c r="F396" s="334"/>
      <c r="G396" s="334"/>
      <c r="H396" s="334"/>
      <c r="I396" s="334"/>
      <c r="J396" s="334"/>
      <c r="K396" s="334"/>
      <c r="L396" s="334"/>
      <c r="M396" s="334"/>
      <c r="N396" s="334"/>
      <c r="O396" s="334"/>
      <c r="P396" s="334"/>
      <c r="Q396" s="334"/>
      <c r="R396" s="334"/>
      <c r="S396" s="334"/>
      <c r="T396" s="334"/>
      <c r="U396" s="334"/>
      <c r="V396" s="334"/>
      <c r="W396" s="334"/>
      <c r="X396" s="334"/>
      <c r="Y396" s="334"/>
    </row>
    <row r="397" spans="1:25">
      <c r="A397" s="334"/>
      <c r="B397" s="334"/>
      <c r="C397" s="334"/>
      <c r="D397" s="334"/>
      <c r="E397" s="334"/>
      <c r="F397" s="334"/>
      <c r="G397" s="334"/>
      <c r="H397" s="334"/>
      <c r="I397" s="334"/>
      <c r="J397" s="334"/>
      <c r="K397" s="334"/>
      <c r="L397" s="334"/>
      <c r="M397" s="334"/>
      <c r="N397" s="334"/>
      <c r="O397" s="334"/>
      <c r="P397" s="334"/>
      <c r="Q397" s="334"/>
      <c r="R397" s="334"/>
      <c r="S397" s="334"/>
      <c r="T397" s="334"/>
      <c r="U397" s="334"/>
      <c r="V397" s="334"/>
      <c r="W397" s="334"/>
      <c r="X397" s="334"/>
      <c r="Y397" s="334"/>
    </row>
    <row r="398" spans="1:25">
      <c r="A398" s="334"/>
      <c r="B398" s="334"/>
      <c r="C398" s="334"/>
      <c r="D398" s="334"/>
      <c r="E398" s="334"/>
      <c r="F398" s="334"/>
      <c r="G398" s="334"/>
      <c r="H398" s="334"/>
      <c r="I398" s="334"/>
      <c r="J398" s="334"/>
      <c r="K398" s="334"/>
      <c r="L398" s="334"/>
      <c r="M398" s="334"/>
      <c r="N398" s="334"/>
      <c r="O398" s="334"/>
      <c r="P398" s="334"/>
      <c r="Q398" s="334"/>
      <c r="R398" s="334"/>
      <c r="S398" s="334"/>
      <c r="T398" s="334"/>
      <c r="U398" s="334"/>
      <c r="V398" s="334"/>
      <c r="W398" s="334"/>
      <c r="X398" s="334"/>
      <c r="Y398" s="334"/>
    </row>
    <row r="399" spans="1:25">
      <c r="A399" s="334"/>
      <c r="B399" s="334"/>
      <c r="C399" s="334"/>
      <c r="D399" s="334"/>
      <c r="E399" s="334"/>
      <c r="F399" s="334"/>
      <c r="G399" s="334"/>
      <c r="H399" s="334"/>
      <c r="I399" s="334"/>
      <c r="J399" s="334"/>
      <c r="K399" s="334"/>
      <c r="L399" s="334"/>
      <c r="M399" s="334"/>
      <c r="N399" s="334"/>
      <c r="O399" s="334"/>
      <c r="P399" s="334"/>
      <c r="Q399" s="334"/>
      <c r="R399" s="334"/>
      <c r="S399" s="334"/>
      <c r="T399" s="334"/>
      <c r="U399" s="334"/>
      <c r="V399" s="334"/>
      <c r="W399" s="334"/>
      <c r="X399" s="334"/>
      <c r="Y399" s="334"/>
    </row>
    <row r="400" spans="1:25">
      <c r="A400" s="334"/>
      <c r="B400" s="334"/>
      <c r="C400" s="334"/>
      <c r="D400" s="334"/>
      <c r="E400" s="334"/>
      <c r="F400" s="334"/>
      <c r="G400" s="334"/>
      <c r="H400" s="334"/>
      <c r="I400" s="334"/>
      <c r="J400" s="334"/>
      <c r="K400" s="334"/>
      <c r="L400" s="334"/>
      <c r="M400" s="334"/>
      <c r="N400" s="334"/>
      <c r="O400" s="334"/>
      <c r="P400" s="334"/>
      <c r="Q400" s="334"/>
      <c r="R400" s="334"/>
      <c r="S400" s="334"/>
      <c r="T400" s="334"/>
      <c r="U400" s="334"/>
      <c r="V400" s="334"/>
      <c r="W400" s="334"/>
      <c r="X400" s="334"/>
      <c r="Y400" s="334"/>
    </row>
    <row r="401" spans="1:25">
      <c r="A401" s="334"/>
      <c r="B401" s="334"/>
      <c r="C401" s="334"/>
      <c r="D401" s="334"/>
      <c r="E401" s="334"/>
      <c r="F401" s="334"/>
      <c r="G401" s="334"/>
      <c r="H401" s="334"/>
      <c r="I401" s="334"/>
      <c r="J401" s="334"/>
      <c r="K401" s="334"/>
      <c r="L401" s="334"/>
      <c r="M401" s="334"/>
      <c r="N401" s="334"/>
      <c r="O401" s="334"/>
      <c r="P401" s="334"/>
      <c r="Q401" s="334"/>
      <c r="R401" s="334"/>
      <c r="S401" s="334"/>
      <c r="T401" s="334"/>
      <c r="U401" s="334"/>
      <c r="V401" s="334"/>
      <c r="W401" s="334"/>
      <c r="X401" s="334"/>
      <c r="Y401" s="334"/>
    </row>
    <row r="402" spans="1:25">
      <c r="A402" s="334"/>
      <c r="B402" s="334"/>
      <c r="C402" s="334"/>
      <c r="D402" s="334"/>
      <c r="E402" s="334"/>
      <c r="F402" s="334"/>
      <c r="G402" s="334"/>
      <c r="H402" s="334"/>
      <c r="I402" s="334"/>
      <c r="J402" s="334"/>
      <c r="K402" s="334"/>
      <c r="L402" s="334"/>
      <c r="M402" s="334"/>
      <c r="N402" s="334"/>
      <c r="O402" s="334"/>
      <c r="P402" s="334"/>
      <c r="Q402" s="334"/>
      <c r="R402" s="334"/>
      <c r="S402" s="334"/>
      <c r="T402" s="334"/>
      <c r="U402" s="334"/>
      <c r="V402" s="334"/>
      <c r="W402" s="334"/>
      <c r="X402" s="334"/>
      <c r="Y402" s="334"/>
    </row>
    <row r="403" spans="1:25">
      <c r="A403" s="334"/>
      <c r="B403" s="334"/>
      <c r="C403" s="334"/>
      <c r="D403" s="334"/>
      <c r="E403" s="334"/>
      <c r="F403" s="334"/>
      <c r="G403" s="334"/>
      <c r="H403" s="334"/>
      <c r="I403" s="334"/>
      <c r="J403" s="334"/>
      <c r="K403" s="334"/>
      <c r="L403" s="334"/>
      <c r="M403" s="334"/>
      <c r="N403" s="334"/>
      <c r="O403" s="334"/>
      <c r="P403" s="334"/>
      <c r="Q403" s="334"/>
      <c r="R403" s="334"/>
      <c r="S403" s="334"/>
      <c r="T403" s="334"/>
      <c r="U403" s="334"/>
      <c r="V403" s="334"/>
      <c r="W403" s="334"/>
      <c r="X403" s="334"/>
      <c r="Y403" s="334"/>
    </row>
    <row r="404" spans="1:25">
      <c r="A404" s="334"/>
      <c r="B404" s="334"/>
      <c r="C404" s="334"/>
      <c r="D404" s="334"/>
      <c r="E404" s="334"/>
      <c r="F404" s="334"/>
      <c r="G404" s="334"/>
      <c r="H404" s="334"/>
      <c r="I404" s="334"/>
      <c r="J404" s="334"/>
      <c r="K404" s="334"/>
      <c r="L404" s="334"/>
      <c r="M404" s="334"/>
      <c r="N404" s="334"/>
      <c r="O404" s="334"/>
      <c r="P404" s="334"/>
      <c r="Q404" s="334"/>
      <c r="R404" s="334"/>
      <c r="S404" s="334"/>
      <c r="T404" s="334"/>
      <c r="U404" s="334"/>
      <c r="V404" s="334"/>
      <c r="W404" s="334"/>
      <c r="X404" s="334"/>
      <c r="Y404" s="334"/>
    </row>
    <row r="405" spans="1:25">
      <c r="A405" s="334"/>
      <c r="B405" s="334"/>
      <c r="C405" s="334"/>
      <c r="D405" s="334"/>
      <c r="E405" s="334"/>
      <c r="F405" s="334"/>
      <c r="G405" s="334"/>
      <c r="H405" s="334"/>
      <c r="I405" s="334"/>
      <c r="J405" s="334"/>
      <c r="K405" s="334"/>
      <c r="L405" s="334"/>
      <c r="M405" s="334"/>
      <c r="N405" s="334"/>
      <c r="O405" s="334"/>
      <c r="P405" s="334"/>
      <c r="Q405" s="334"/>
      <c r="R405" s="334"/>
      <c r="S405" s="334"/>
      <c r="T405" s="334"/>
      <c r="U405" s="334"/>
      <c r="V405" s="334"/>
      <c r="W405" s="334"/>
      <c r="X405" s="334"/>
      <c r="Y405" s="334"/>
    </row>
    <row r="406" spans="1:25">
      <c r="A406" s="334"/>
      <c r="B406" s="334"/>
      <c r="C406" s="334"/>
      <c r="D406" s="334"/>
      <c r="E406" s="334"/>
      <c r="F406" s="334"/>
      <c r="G406" s="334"/>
      <c r="H406" s="334"/>
      <c r="I406" s="334"/>
      <c r="J406" s="334"/>
      <c r="K406" s="334"/>
      <c r="L406" s="334"/>
      <c r="M406" s="334"/>
      <c r="N406" s="334"/>
      <c r="O406" s="334"/>
      <c r="P406" s="334"/>
      <c r="Q406" s="334"/>
      <c r="R406" s="334"/>
      <c r="S406" s="334"/>
      <c r="T406" s="334"/>
      <c r="U406" s="334"/>
      <c r="V406" s="334"/>
      <c r="W406" s="334"/>
      <c r="X406" s="334"/>
      <c r="Y406" s="334"/>
    </row>
    <row r="407" spans="1:25">
      <c r="A407" s="334"/>
      <c r="B407" s="334"/>
      <c r="C407" s="334"/>
      <c r="D407" s="334"/>
      <c r="E407" s="334"/>
      <c r="F407" s="334"/>
      <c r="G407" s="334"/>
      <c r="H407" s="334"/>
      <c r="I407" s="334"/>
      <c r="J407" s="334"/>
      <c r="K407" s="334"/>
      <c r="L407" s="334"/>
      <c r="M407" s="334"/>
      <c r="N407" s="334"/>
      <c r="O407" s="334"/>
      <c r="P407" s="334"/>
      <c r="Q407" s="334"/>
      <c r="R407" s="334"/>
      <c r="S407" s="334"/>
      <c r="T407" s="334"/>
      <c r="U407" s="334"/>
      <c r="V407" s="334"/>
      <c r="W407" s="334"/>
      <c r="X407" s="334"/>
      <c r="Y407" s="334"/>
    </row>
    <row r="408" spans="1:25">
      <c r="A408" s="334"/>
      <c r="B408" s="334"/>
      <c r="C408" s="334"/>
      <c r="D408" s="334"/>
      <c r="E408" s="334"/>
      <c r="F408" s="334"/>
      <c r="G408" s="334"/>
      <c r="H408" s="334"/>
      <c r="I408" s="334"/>
      <c r="J408" s="334"/>
      <c r="K408" s="334"/>
      <c r="L408" s="334"/>
      <c r="M408" s="334"/>
      <c r="N408" s="334"/>
      <c r="O408" s="334"/>
      <c r="P408" s="334"/>
      <c r="Q408" s="334"/>
      <c r="R408" s="334"/>
      <c r="S408" s="334"/>
      <c r="T408" s="334"/>
      <c r="U408" s="334"/>
      <c r="V408" s="334"/>
      <c r="W408" s="334"/>
      <c r="X408" s="334"/>
      <c r="Y408" s="334"/>
    </row>
    <row r="409" spans="1:25">
      <c r="A409" s="334"/>
      <c r="B409" s="334"/>
      <c r="C409" s="334"/>
      <c r="D409" s="334"/>
      <c r="E409" s="334"/>
      <c r="F409" s="334"/>
      <c r="G409" s="334"/>
      <c r="H409" s="334"/>
      <c r="I409" s="334"/>
      <c r="J409" s="334"/>
      <c r="K409" s="334"/>
      <c r="L409" s="334"/>
      <c r="M409" s="334"/>
      <c r="N409" s="334"/>
      <c r="O409" s="334"/>
      <c r="P409" s="334"/>
      <c r="Q409" s="334"/>
      <c r="R409" s="334"/>
      <c r="S409" s="334"/>
      <c r="T409" s="334"/>
      <c r="U409" s="334"/>
      <c r="V409" s="334"/>
      <c r="W409" s="334"/>
      <c r="X409" s="334"/>
      <c r="Y409" s="334"/>
    </row>
    <row r="410" spans="1:25">
      <c r="A410" s="334"/>
      <c r="B410" s="334"/>
      <c r="C410" s="334"/>
      <c r="D410" s="334"/>
      <c r="E410" s="334"/>
      <c r="F410" s="334"/>
      <c r="G410" s="334"/>
      <c r="H410" s="334"/>
      <c r="I410" s="334"/>
      <c r="J410" s="334"/>
      <c r="K410" s="334"/>
      <c r="L410" s="334"/>
      <c r="M410" s="334"/>
      <c r="N410" s="334"/>
      <c r="O410" s="334"/>
      <c r="P410" s="334"/>
      <c r="Q410" s="334"/>
      <c r="R410" s="334"/>
      <c r="S410" s="334"/>
      <c r="T410" s="334"/>
      <c r="U410" s="334"/>
      <c r="V410" s="334"/>
      <c r="W410" s="334"/>
      <c r="X410" s="334"/>
      <c r="Y410" s="334"/>
    </row>
    <row r="411" spans="1:25">
      <c r="A411" s="334"/>
      <c r="B411" s="334"/>
      <c r="C411" s="334"/>
      <c r="D411" s="334"/>
      <c r="E411" s="334"/>
      <c r="F411" s="334"/>
      <c r="G411" s="334"/>
      <c r="H411" s="334"/>
      <c r="I411" s="334"/>
      <c r="J411" s="334"/>
      <c r="K411" s="334"/>
      <c r="L411" s="334"/>
      <c r="M411" s="334"/>
      <c r="N411" s="334"/>
      <c r="O411" s="334"/>
      <c r="P411" s="334"/>
      <c r="Q411" s="334"/>
      <c r="R411" s="334"/>
      <c r="S411" s="334"/>
      <c r="T411" s="334"/>
      <c r="U411" s="334"/>
      <c r="V411" s="334"/>
      <c r="W411" s="334"/>
      <c r="X411" s="334"/>
      <c r="Y411" s="334"/>
    </row>
    <row r="412" spans="1:25">
      <c r="A412" s="334"/>
      <c r="B412" s="334"/>
      <c r="C412" s="334"/>
      <c r="D412" s="334"/>
      <c r="E412" s="334"/>
      <c r="F412" s="334"/>
      <c r="G412" s="334"/>
      <c r="H412" s="334"/>
      <c r="I412" s="334"/>
      <c r="J412" s="334"/>
      <c r="K412" s="334"/>
      <c r="L412" s="334"/>
      <c r="M412" s="334"/>
      <c r="N412" s="334"/>
      <c r="O412" s="334"/>
      <c r="P412" s="334"/>
      <c r="Q412" s="334"/>
      <c r="R412" s="334"/>
      <c r="S412" s="334"/>
      <c r="T412" s="334"/>
      <c r="U412" s="334"/>
      <c r="V412" s="334"/>
      <c r="W412" s="334"/>
      <c r="X412" s="334"/>
      <c r="Y412" s="334"/>
    </row>
    <row r="413" spans="1:25">
      <c r="A413" s="334"/>
      <c r="B413" s="334"/>
      <c r="C413" s="334"/>
      <c r="D413" s="334"/>
      <c r="E413" s="334"/>
      <c r="F413" s="334"/>
      <c r="G413" s="334"/>
      <c r="H413" s="334"/>
      <c r="I413" s="334"/>
      <c r="J413" s="334"/>
      <c r="K413" s="334"/>
      <c r="L413" s="334"/>
      <c r="M413" s="334"/>
      <c r="N413" s="334"/>
      <c r="O413" s="334"/>
      <c r="P413" s="334"/>
      <c r="Q413" s="334"/>
      <c r="R413" s="334"/>
      <c r="S413" s="334"/>
      <c r="T413" s="334"/>
      <c r="U413" s="334"/>
      <c r="V413" s="334"/>
      <c r="W413" s="334"/>
      <c r="X413" s="334"/>
      <c r="Y413" s="334"/>
    </row>
    <row r="414" spans="1:25">
      <c r="A414" s="334"/>
      <c r="B414" s="334"/>
      <c r="C414" s="334"/>
      <c r="D414" s="334"/>
      <c r="E414" s="334"/>
      <c r="F414" s="334"/>
      <c r="G414" s="334"/>
      <c r="H414" s="334"/>
      <c r="I414" s="334"/>
      <c r="J414" s="334"/>
      <c r="K414" s="334"/>
      <c r="L414" s="334"/>
      <c r="M414" s="334"/>
      <c r="N414" s="334"/>
      <c r="O414" s="334"/>
      <c r="P414" s="334"/>
      <c r="Q414" s="334"/>
      <c r="R414" s="334"/>
      <c r="S414" s="334"/>
      <c r="T414" s="334"/>
      <c r="U414" s="334"/>
      <c r="V414" s="334"/>
      <c r="W414" s="334"/>
      <c r="X414" s="334"/>
      <c r="Y414" s="334"/>
    </row>
    <row r="415" spans="1:25">
      <c r="A415" s="334"/>
      <c r="B415" s="334"/>
      <c r="C415" s="334"/>
      <c r="D415" s="334"/>
      <c r="E415" s="334"/>
      <c r="F415" s="334"/>
      <c r="G415" s="334"/>
      <c r="H415" s="334"/>
      <c r="I415" s="334"/>
      <c r="J415" s="334"/>
      <c r="K415" s="334"/>
      <c r="L415" s="334"/>
      <c r="M415" s="334"/>
      <c r="N415" s="334"/>
      <c r="O415" s="334"/>
      <c r="P415" s="334"/>
      <c r="Q415" s="334"/>
      <c r="R415" s="334"/>
      <c r="S415" s="334"/>
      <c r="T415" s="334"/>
      <c r="U415" s="334"/>
      <c r="V415" s="334"/>
      <c r="W415" s="334"/>
      <c r="X415" s="334"/>
      <c r="Y415" s="334"/>
    </row>
    <row r="416" spans="1:25">
      <c r="A416" s="334"/>
      <c r="B416" s="334"/>
      <c r="C416" s="334"/>
      <c r="D416" s="334"/>
      <c r="E416" s="334"/>
      <c r="F416" s="334"/>
      <c r="G416" s="334"/>
      <c r="H416" s="334"/>
      <c r="I416" s="334"/>
      <c r="J416" s="334"/>
      <c r="K416" s="334"/>
      <c r="L416" s="334"/>
      <c r="M416" s="334"/>
      <c r="N416" s="334"/>
      <c r="O416" s="334"/>
      <c r="P416" s="334"/>
      <c r="Q416" s="334"/>
      <c r="R416" s="334"/>
      <c r="S416" s="334"/>
      <c r="T416" s="334"/>
      <c r="U416" s="334"/>
      <c r="V416" s="334"/>
      <c r="W416" s="334"/>
      <c r="X416" s="334"/>
      <c r="Y416" s="334"/>
    </row>
    <row r="417" spans="1:25">
      <c r="A417" s="334"/>
      <c r="B417" s="334"/>
      <c r="C417" s="334"/>
      <c r="D417" s="334"/>
      <c r="E417" s="334"/>
      <c r="F417" s="334"/>
      <c r="G417" s="334"/>
      <c r="H417" s="334"/>
      <c r="I417" s="334"/>
      <c r="J417" s="334"/>
      <c r="K417" s="334"/>
      <c r="L417" s="334"/>
      <c r="M417" s="334"/>
      <c r="N417" s="334"/>
      <c r="O417" s="334"/>
      <c r="P417" s="334"/>
      <c r="Q417" s="334"/>
      <c r="R417" s="334"/>
      <c r="S417" s="334"/>
      <c r="T417" s="334"/>
      <c r="U417" s="334"/>
      <c r="V417" s="334"/>
      <c r="W417" s="334"/>
      <c r="X417" s="334"/>
      <c r="Y417" s="334"/>
    </row>
    <row r="418" spans="1:25">
      <c r="A418" s="334"/>
      <c r="B418" s="334"/>
      <c r="C418" s="334"/>
      <c r="D418" s="334"/>
      <c r="E418" s="334"/>
      <c r="F418" s="334"/>
      <c r="G418" s="334"/>
      <c r="H418" s="334"/>
      <c r="I418" s="334"/>
      <c r="J418" s="334"/>
      <c r="K418" s="334"/>
      <c r="L418" s="334"/>
      <c r="M418" s="334"/>
      <c r="N418" s="334"/>
      <c r="O418" s="334"/>
      <c r="P418" s="334"/>
      <c r="Q418" s="334"/>
      <c r="R418" s="334"/>
      <c r="S418" s="334"/>
      <c r="T418" s="334"/>
      <c r="U418" s="334"/>
      <c r="V418" s="334"/>
      <c r="W418" s="334"/>
      <c r="X418" s="334"/>
      <c r="Y418" s="334"/>
    </row>
    <row r="419" spans="1:25">
      <c r="A419" s="334"/>
      <c r="B419" s="334"/>
      <c r="C419" s="334"/>
      <c r="D419" s="334"/>
      <c r="E419" s="334"/>
      <c r="F419" s="334"/>
      <c r="G419" s="334"/>
      <c r="H419" s="334"/>
      <c r="I419" s="334"/>
      <c r="J419" s="334"/>
      <c r="K419" s="334"/>
      <c r="L419" s="334"/>
      <c r="M419" s="334"/>
      <c r="N419" s="334"/>
      <c r="O419" s="334"/>
      <c r="P419" s="334"/>
      <c r="Q419" s="334"/>
      <c r="R419" s="334"/>
      <c r="S419" s="334"/>
      <c r="T419" s="334"/>
      <c r="U419" s="334"/>
      <c r="V419" s="334"/>
      <c r="W419" s="334"/>
      <c r="X419" s="334"/>
      <c r="Y419" s="334"/>
    </row>
    <row r="420" spans="1:25">
      <c r="A420" s="334"/>
      <c r="B420" s="334"/>
      <c r="C420" s="334"/>
      <c r="D420" s="334"/>
      <c r="E420" s="334"/>
      <c r="F420" s="334"/>
      <c r="G420" s="334"/>
      <c r="H420" s="334"/>
      <c r="I420" s="334"/>
      <c r="J420" s="334"/>
      <c r="K420" s="334"/>
      <c r="L420" s="334"/>
      <c r="M420" s="334"/>
      <c r="N420" s="334"/>
      <c r="O420" s="334"/>
      <c r="P420" s="334"/>
      <c r="Q420" s="334"/>
      <c r="R420" s="334"/>
      <c r="S420" s="334"/>
      <c r="T420" s="334"/>
      <c r="U420" s="334"/>
      <c r="V420" s="334"/>
      <c r="W420" s="334"/>
      <c r="X420" s="334"/>
      <c r="Y420" s="334"/>
    </row>
    <row r="421" spans="1:25">
      <c r="A421" s="334"/>
      <c r="B421" s="334"/>
      <c r="C421" s="334"/>
      <c r="D421" s="334"/>
      <c r="E421" s="334"/>
      <c r="F421" s="334"/>
      <c r="G421" s="334"/>
      <c r="H421" s="334"/>
      <c r="I421" s="334"/>
      <c r="J421" s="334"/>
      <c r="K421" s="334"/>
      <c r="L421" s="334"/>
      <c r="M421" s="334"/>
      <c r="N421" s="334"/>
      <c r="O421" s="334"/>
      <c r="P421" s="334"/>
      <c r="Q421" s="334"/>
      <c r="R421" s="334"/>
      <c r="S421" s="334"/>
      <c r="T421" s="334"/>
      <c r="U421" s="334"/>
      <c r="V421" s="334"/>
      <c r="W421" s="334"/>
      <c r="X421" s="334"/>
      <c r="Y421" s="334"/>
    </row>
    <row r="422" spans="1:25">
      <c r="A422" s="334"/>
      <c r="B422" s="334"/>
      <c r="C422" s="334"/>
      <c r="D422" s="334"/>
      <c r="E422" s="334"/>
      <c r="F422" s="334"/>
      <c r="G422" s="334"/>
      <c r="H422" s="334"/>
      <c r="I422" s="334"/>
      <c r="J422" s="334"/>
      <c r="K422" s="334"/>
      <c r="L422" s="334"/>
      <c r="M422" s="334"/>
      <c r="N422" s="334"/>
      <c r="O422" s="334"/>
      <c r="P422" s="334"/>
      <c r="Q422" s="334"/>
      <c r="R422" s="334"/>
      <c r="S422" s="334"/>
      <c r="T422" s="334"/>
      <c r="U422" s="334"/>
      <c r="V422" s="334"/>
      <c r="W422" s="334"/>
      <c r="X422" s="334"/>
      <c r="Y422" s="334"/>
    </row>
    <row r="423" spans="1:25">
      <c r="A423" s="334"/>
      <c r="B423" s="334"/>
      <c r="C423" s="334"/>
      <c r="D423" s="334"/>
      <c r="E423" s="334"/>
      <c r="F423" s="334"/>
      <c r="G423" s="334"/>
      <c r="H423" s="334"/>
      <c r="I423" s="334"/>
      <c r="J423" s="334"/>
      <c r="K423" s="334"/>
      <c r="L423" s="334"/>
      <c r="M423" s="334"/>
      <c r="N423" s="334"/>
      <c r="O423" s="334"/>
      <c r="P423" s="334"/>
      <c r="Q423" s="334"/>
      <c r="R423" s="334"/>
      <c r="S423" s="334"/>
      <c r="T423" s="334"/>
      <c r="U423" s="334"/>
      <c r="V423" s="334"/>
      <c r="W423" s="334"/>
      <c r="X423" s="334"/>
      <c r="Y423" s="334"/>
    </row>
    <row r="424" spans="1:25">
      <c r="A424" s="334"/>
      <c r="B424" s="334"/>
      <c r="C424" s="334"/>
      <c r="D424" s="334"/>
      <c r="E424" s="334"/>
      <c r="F424" s="334"/>
      <c r="G424" s="334"/>
      <c r="H424" s="334"/>
      <c r="I424" s="334"/>
      <c r="J424" s="334"/>
      <c r="K424" s="334"/>
      <c r="L424" s="334"/>
      <c r="M424" s="334"/>
      <c r="N424" s="334"/>
      <c r="O424" s="334"/>
      <c r="P424" s="334"/>
      <c r="Q424" s="334"/>
      <c r="R424" s="334"/>
      <c r="S424" s="334"/>
      <c r="T424" s="334"/>
      <c r="U424" s="334"/>
      <c r="V424" s="334"/>
      <c r="W424" s="334"/>
      <c r="X424" s="334"/>
      <c r="Y424" s="334"/>
    </row>
    <row r="425" spans="1:25">
      <c r="A425" s="334"/>
      <c r="B425" s="334"/>
      <c r="C425" s="334"/>
      <c r="D425" s="334"/>
      <c r="E425" s="334"/>
      <c r="F425" s="334"/>
      <c r="G425" s="334"/>
      <c r="H425" s="334"/>
      <c r="I425" s="334"/>
      <c r="J425" s="334"/>
      <c r="K425" s="334"/>
      <c r="L425" s="334"/>
      <c r="M425" s="334"/>
      <c r="N425" s="334"/>
      <c r="O425" s="334"/>
      <c r="P425" s="334"/>
      <c r="Q425" s="334"/>
      <c r="R425" s="334"/>
      <c r="S425" s="334"/>
      <c r="T425" s="334"/>
      <c r="U425" s="334"/>
      <c r="V425" s="334"/>
      <c r="W425" s="334"/>
      <c r="X425" s="334"/>
      <c r="Y425" s="334"/>
    </row>
    <row r="426" spans="1:25">
      <c r="A426" s="334"/>
      <c r="B426" s="334"/>
      <c r="C426" s="334"/>
      <c r="D426" s="334"/>
      <c r="E426" s="334"/>
      <c r="F426" s="334"/>
      <c r="G426" s="334"/>
      <c r="H426" s="334"/>
      <c r="I426" s="334"/>
      <c r="J426" s="334"/>
      <c r="K426" s="334"/>
      <c r="L426" s="334"/>
      <c r="M426" s="334"/>
      <c r="N426" s="334"/>
      <c r="O426" s="334"/>
      <c r="P426" s="334"/>
      <c r="Q426" s="334"/>
      <c r="R426" s="334"/>
      <c r="S426" s="334"/>
      <c r="T426" s="334"/>
      <c r="U426" s="334"/>
      <c r="V426" s="334"/>
      <c r="W426" s="334"/>
      <c r="X426" s="334"/>
      <c r="Y426" s="334"/>
    </row>
    <row r="427" spans="1:25">
      <c r="A427" s="334"/>
      <c r="B427" s="334"/>
      <c r="C427" s="334"/>
      <c r="D427" s="334"/>
      <c r="E427" s="334"/>
      <c r="F427" s="334"/>
      <c r="G427" s="334"/>
      <c r="H427" s="334"/>
      <c r="I427" s="334"/>
      <c r="J427" s="334"/>
      <c r="K427" s="334"/>
      <c r="L427" s="334"/>
      <c r="M427" s="334"/>
      <c r="N427" s="334"/>
      <c r="O427" s="334"/>
      <c r="P427" s="334"/>
      <c r="Q427" s="334"/>
      <c r="R427" s="334"/>
      <c r="S427" s="334"/>
      <c r="T427" s="334"/>
      <c r="U427" s="334"/>
      <c r="V427" s="334"/>
      <c r="W427" s="334"/>
      <c r="X427" s="334"/>
      <c r="Y427" s="334"/>
    </row>
    <row r="428" spans="1:25">
      <c r="A428" s="334"/>
      <c r="B428" s="334"/>
      <c r="C428" s="334"/>
      <c r="D428" s="334"/>
      <c r="E428" s="334"/>
      <c r="F428" s="334"/>
      <c r="G428" s="334"/>
      <c r="H428" s="334"/>
      <c r="I428" s="334"/>
      <c r="J428" s="334"/>
      <c r="K428" s="334"/>
      <c r="L428" s="334"/>
      <c r="M428" s="334"/>
      <c r="N428" s="334"/>
      <c r="O428" s="334"/>
      <c r="P428" s="334"/>
      <c r="Q428" s="334"/>
      <c r="R428" s="334"/>
      <c r="S428" s="334"/>
      <c r="T428" s="334"/>
      <c r="U428" s="334"/>
      <c r="V428" s="334"/>
      <c r="W428" s="334"/>
      <c r="X428" s="334"/>
      <c r="Y428" s="334"/>
    </row>
    <row r="429" spans="1:25">
      <c r="A429" s="334"/>
      <c r="B429" s="334"/>
      <c r="C429" s="334"/>
      <c r="D429" s="334"/>
      <c r="E429" s="334"/>
      <c r="F429" s="334"/>
      <c r="G429" s="334"/>
      <c r="H429" s="334"/>
      <c r="I429" s="334"/>
      <c r="J429" s="334"/>
      <c r="K429" s="334"/>
      <c r="L429" s="334"/>
      <c r="M429" s="334"/>
      <c r="N429" s="334"/>
      <c r="O429" s="334"/>
      <c r="P429" s="334"/>
      <c r="Q429" s="334"/>
      <c r="R429" s="334"/>
      <c r="S429" s="334"/>
      <c r="T429" s="334"/>
      <c r="U429" s="334"/>
      <c r="V429" s="334"/>
      <c r="W429" s="334"/>
      <c r="X429" s="334"/>
      <c r="Y429" s="334"/>
    </row>
    <row r="430" spans="1:25">
      <c r="A430" s="334"/>
      <c r="B430" s="334"/>
      <c r="C430" s="334"/>
      <c r="D430" s="334"/>
      <c r="E430" s="334"/>
      <c r="F430" s="334"/>
      <c r="G430" s="334"/>
      <c r="H430" s="334"/>
      <c r="I430" s="334"/>
      <c r="J430" s="334"/>
      <c r="K430" s="334"/>
      <c r="L430" s="334"/>
      <c r="M430" s="334"/>
      <c r="N430" s="334"/>
      <c r="O430" s="334"/>
      <c r="P430" s="334"/>
      <c r="Q430" s="334"/>
      <c r="R430" s="334"/>
      <c r="S430" s="334"/>
      <c r="T430" s="334"/>
      <c r="U430" s="334"/>
      <c r="V430" s="334"/>
      <c r="W430" s="334"/>
      <c r="X430" s="334"/>
      <c r="Y430" s="334"/>
    </row>
    <row r="431" spans="1:25">
      <c r="A431" s="334"/>
      <c r="B431" s="334"/>
      <c r="C431" s="334"/>
      <c r="D431" s="334"/>
      <c r="E431" s="334"/>
      <c r="F431" s="334"/>
      <c r="G431" s="334"/>
      <c r="H431" s="334"/>
      <c r="I431" s="334"/>
      <c r="J431" s="334"/>
      <c r="K431" s="334"/>
      <c r="L431" s="334"/>
      <c r="M431" s="334"/>
      <c r="N431" s="334"/>
      <c r="O431" s="334"/>
      <c r="P431" s="334"/>
      <c r="Q431" s="334"/>
      <c r="R431" s="334"/>
      <c r="S431" s="334"/>
      <c r="T431" s="334"/>
      <c r="U431" s="334"/>
      <c r="V431" s="334"/>
      <c r="W431" s="334"/>
      <c r="X431" s="334"/>
      <c r="Y431" s="334"/>
    </row>
    <row r="432" spans="1:25">
      <c r="A432" s="334"/>
      <c r="B432" s="334"/>
      <c r="C432" s="334"/>
      <c r="D432" s="334"/>
      <c r="E432" s="334"/>
      <c r="F432" s="334"/>
      <c r="G432" s="334"/>
      <c r="H432" s="334"/>
      <c r="I432" s="334"/>
      <c r="J432" s="334"/>
      <c r="K432" s="334"/>
      <c r="L432" s="334"/>
      <c r="M432" s="334"/>
      <c r="N432" s="334"/>
      <c r="O432" s="334"/>
      <c r="P432" s="334"/>
      <c r="Q432" s="334"/>
      <c r="R432" s="334"/>
      <c r="S432" s="334"/>
      <c r="T432" s="334"/>
      <c r="U432" s="334"/>
      <c r="V432" s="334"/>
      <c r="W432" s="334"/>
      <c r="X432" s="334"/>
      <c r="Y432" s="334"/>
    </row>
    <row r="433" spans="1:25">
      <c r="A433" s="334"/>
      <c r="B433" s="334"/>
      <c r="C433" s="334"/>
      <c r="D433" s="334"/>
      <c r="E433" s="334"/>
      <c r="F433" s="334"/>
      <c r="G433" s="334"/>
      <c r="H433" s="334"/>
      <c r="I433" s="334"/>
      <c r="J433" s="334"/>
      <c r="K433" s="334"/>
      <c r="L433" s="334"/>
      <c r="M433" s="334"/>
      <c r="N433" s="334"/>
      <c r="O433" s="334"/>
      <c r="P433" s="334"/>
      <c r="Q433" s="334"/>
      <c r="R433" s="334"/>
      <c r="S433" s="334"/>
      <c r="T433" s="334"/>
      <c r="U433" s="334"/>
      <c r="V433" s="334"/>
      <c r="W433" s="334"/>
      <c r="X433" s="334"/>
      <c r="Y433" s="334"/>
    </row>
    <row r="434" spans="1:25">
      <c r="A434" s="334"/>
      <c r="B434" s="334"/>
      <c r="C434" s="334"/>
      <c r="D434" s="334"/>
      <c r="E434" s="334"/>
      <c r="F434" s="334"/>
      <c r="G434" s="334"/>
      <c r="H434" s="334"/>
      <c r="I434" s="334"/>
      <c r="J434" s="334"/>
      <c r="K434" s="334"/>
      <c r="L434" s="334"/>
      <c r="M434" s="334"/>
      <c r="N434" s="334"/>
      <c r="O434" s="334"/>
      <c r="P434" s="334"/>
      <c r="Q434" s="334"/>
      <c r="R434" s="334"/>
      <c r="S434" s="334"/>
      <c r="T434" s="334"/>
      <c r="U434" s="334"/>
      <c r="V434" s="334"/>
      <c r="W434" s="334"/>
      <c r="X434" s="334"/>
      <c r="Y434" s="334"/>
    </row>
    <row r="435" spans="1:25">
      <c r="A435" s="334"/>
      <c r="B435" s="334"/>
      <c r="C435" s="334"/>
      <c r="D435" s="334"/>
      <c r="E435" s="334"/>
      <c r="F435" s="334"/>
      <c r="G435" s="334"/>
      <c r="H435" s="334"/>
      <c r="I435" s="334"/>
      <c r="J435" s="334"/>
      <c r="K435" s="334"/>
      <c r="L435" s="334"/>
      <c r="M435" s="334"/>
      <c r="N435" s="334"/>
      <c r="O435" s="334"/>
      <c r="P435" s="334"/>
      <c r="Q435" s="334"/>
      <c r="R435" s="334"/>
      <c r="S435" s="334"/>
      <c r="T435" s="334"/>
      <c r="U435" s="334"/>
      <c r="V435" s="334"/>
      <c r="W435" s="334"/>
      <c r="X435" s="334"/>
      <c r="Y435" s="334"/>
    </row>
    <row r="436" spans="1:25">
      <c r="A436" s="334"/>
      <c r="B436" s="334"/>
      <c r="C436" s="334"/>
      <c r="D436" s="334"/>
      <c r="E436" s="334"/>
      <c r="F436" s="334"/>
      <c r="G436" s="334"/>
      <c r="H436" s="334"/>
      <c r="I436" s="334"/>
      <c r="J436" s="334"/>
      <c r="K436" s="334"/>
      <c r="L436" s="334"/>
      <c r="M436" s="334"/>
      <c r="N436" s="334"/>
      <c r="O436" s="334"/>
      <c r="P436" s="334"/>
      <c r="Q436" s="334"/>
      <c r="R436" s="334"/>
      <c r="S436" s="334"/>
      <c r="T436" s="334"/>
      <c r="U436" s="334"/>
      <c r="V436" s="334"/>
      <c r="W436" s="334"/>
      <c r="X436" s="334"/>
      <c r="Y436" s="334"/>
    </row>
    <row r="437" spans="1:25">
      <c r="A437" s="334"/>
      <c r="B437" s="334"/>
      <c r="C437" s="334"/>
      <c r="D437" s="334"/>
      <c r="E437" s="334"/>
      <c r="F437" s="334"/>
      <c r="G437" s="334"/>
      <c r="H437" s="334"/>
      <c r="I437" s="334"/>
      <c r="J437" s="334"/>
      <c r="K437" s="334"/>
      <c r="L437" s="334"/>
      <c r="M437" s="334"/>
      <c r="N437" s="334"/>
      <c r="O437" s="334"/>
      <c r="P437" s="334"/>
      <c r="Q437" s="334"/>
      <c r="R437" s="334"/>
      <c r="S437" s="334"/>
      <c r="T437" s="334"/>
      <c r="U437" s="334"/>
      <c r="V437" s="334"/>
      <c r="W437" s="334"/>
      <c r="X437" s="334"/>
      <c r="Y437" s="334"/>
    </row>
    <row r="438" spans="1:25">
      <c r="A438" s="334"/>
      <c r="B438" s="334"/>
      <c r="C438" s="334"/>
      <c r="D438" s="334"/>
      <c r="E438" s="334"/>
      <c r="F438" s="334"/>
      <c r="G438" s="334"/>
      <c r="H438" s="334"/>
      <c r="I438" s="334"/>
      <c r="J438" s="334"/>
      <c r="K438" s="334"/>
      <c r="L438" s="334"/>
      <c r="M438" s="334"/>
      <c r="N438" s="334"/>
      <c r="O438" s="334"/>
      <c r="P438" s="334"/>
      <c r="Q438" s="334"/>
      <c r="R438" s="334"/>
      <c r="S438" s="334"/>
      <c r="T438" s="334"/>
      <c r="U438" s="334"/>
      <c r="V438" s="334"/>
      <c r="W438" s="334"/>
      <c r="X438" s="334"/>
      <c r="Y438" s="334"/>
    </row>
    <row r="439" spans="1:25">
      <c r="A439" s="334"/>
      <c r="B439" s="334"/>
      <c r="C439" s="334"/>
      <c r="D439" s="334"/>
      <c r="E439" s="334"/>
      <c r="F439" s="334"/>
      <c r="G439" s="334"/>
      <c r="H439" s="334"/>
      <c r="I439" s="334"/>
      <c r="J439" s="334"/>
      <c r="K439" s="334"/>
      <c r="L439" s="334"/>
      <c r="M439" s="334"/>
      <c r="N439" s="334"/>
      <c r="O439" s="334"/>
      <c r="P439" s="334"/>
      <c r="Q439" s="334"/>
      <c r="R439" s="334"/>
      <c r="S439" s="334"/>
      <c r="T439" s="334"/>
      <c r="U439" s="334"/>
      <c r="V439" s="334"/>
      <c r="W439" s="334"/>
      <c r="X439" s="334"/>
      <c r="Y439" s="334"/>
    </row>
    <row r="440" spans="1:25">
      <c r="A440" s="334"/>
      <c r="B440" s="334"/>
      <c r="C440" s="334"/>
      <c r="D440" s="334"/>
      <c r="E440" s="334"/>
      <c r="F440" s="334"/>
      <c r="G440" s="334"/>
      <c r="H440" s="334"/>
      <c r="I440" s="334"/>
      <c r="J440" s="334"/>
      <c r="K440" s="334"/>
      <c r="L440" s="334"/>
      <c r="M440" s="334"/>
      <c r="N440" s="334"/>
      <c r="O440" s="334"/>
      <c r="P440" s="334"/>
      <c r="Q440" s="334"/>
      <c r="R440" s="334"/>
      <c r="S440" s="334"/>
      <c r="T440" s="334"/>
      <c r="U440" s="334"/>
      <c r="V440" s="334"/>
      <c r="W440" s="334"/>
      <c r="X440" s="334"/>
      <c r="Y440" s="334"/>
    </row>
    <row r="441" spans="1:25">
      <c r="A441" s="334"/>
      <c r="B441" s="334"/>
      <c r="C441" s="334"/>
      <c r="D441" s="334"/>
      <c r="E441" s="334"/>
      <c r="F441" s="334"/>
      <c r="G441" s="334"/>
      <c r="H441" s="334"/>
      <c r="I441" s="334"/>
      <c r="J441" s="334"/>
      <c r="K441" s="334"/>
      <c r="L441" s="334"/>
      <c r="M441" s="334"/>
      <c r="N441" s="334"/>
      <c r="O441" s="334"/>
      <c r="P441" s="334"/>
      <c r="Q441" s="334"/>
      <c r="R441" s="334"/>
      <c r="S441" s="334"/>
      <c r="T441" s="334"/>
      <c r="U441" s="334"/>
      <c r="V441" s="334"/>
      <c r="W441" s="334"/>
      <c r="X441" s="334"/>
      <c r="Y441" s="334"/>
    </row>
    <row r="442" spans="1:25">
      <c r="A442" s="334"/>
      <c r="B442" s="334"/>
      <c r="C442" s="334"/>
      <c r="D442" s="334"/>
      <c r="E442" s="334"/>
      <c r="F442" s="334"/>
      <c r="G442" s="334"/>
      <c r="H442" s="334"/>
      <c r="I442" s="334"/>
      <c r="J442" s="334"/>
      <c r="K442" s="334"/>
      <c r="L442" s="334"/>
      <c r="M442" s="334"/>
      <c r="N442" s="334"/>
      <c r="O442" s="334"/>
      <c r="P442" s="334"/>
      <c r="Q442" s="334"/>
      <c r="R442" s="334"/>
      <c r="S442" s="334"/>
      <c r="T442" s="334"/>
      <c r="U442" s="334"/>
      <c r="V442" s="334"/>
      <c r="W442" s="334"/>
      <c r="X442" s="334"/>
      <c r="Y442" s="334"/>
    </row>
    <row r="443" spans="1:25">
      <c r="A443" s="334"/>
      <c r="B443" s="334"/>
      <c r="C443" s="334"/>
      <c r="D443" s="334"/>
      <c r="E443" s="334"/>
      <c r="F443" s="334"/>
      <c r="G443" s="334"/>
      <c r="H443" s="334"/>
      <c r="I443" s="334"/>
      <c r="J443" s="334"/>
      <c r="K443" s="334"/>
      <c r="L443" s="334"/>
      <c r="M443" s="334"/>
      <c r="N443" s="334"/>
      <c r="O443" s="334"/>
      <c r="P443" s="334"/>
      <c r="Q443" s="334"/>
      <c r="R443" s="334"/>
      <c r="S443" s="334"/>
      <c r="T443" s="334"/>
      <c r="U443" s="334"/>
      <c r="V443" s="334"/>
      <c r="W443" s="334"/>
      <c r="X443" s="334"/>
      <c r="Y443" s="334"/>
    </row>
    <row r="444" spans="1:25">
      <c r="A444" s="334"/>
      <c r="B444" s="334"/>
      <c r="C444" s="334"/>
      <c r="D444" s="334"/>
      <c r="E444" s="334"/>
      <c r="F444" s="334"/>
      <c r="G444" s="334"/>
      <c r="H444" s="334"/>
      <c r="I444" s="334"/>
      <c r="J444" s="334"/>
      <c r="K444" s="334"/>
      <c r="L444" s="334"/>
      <c r="M444" s="334"/>
      <c r="N444" s="334"/>
      <c r="O444" s="334"/>
      <c r="P444" s="334"/>
      <c r="Q444" s="334"/>
      <c r="R444" s="334"/>
      <c r="S444" s="334"/>
      <c r="T444" s="334"/>
      <c r="U444" s="334"/>
      <c r="V444" s="334"/>
      <c r="W444" s="334"/>
      <c r="X444" s="334"/>
      <c r="Y444" s="334"/>
    </row>
    <row r="445" spans="1:25">
      <c r="A445" s="334"/>
      <c r="B445" s="334"/>
      <c r="C445" s="334"/>
      <c r="D445" s="334"/>
      <c r="E445" s="334"/>
      <c r="F445" s="334"/>
      <c r="G445" s="334"/>
      <c r="H445" s="334"/>
      <c r="I445" s="334"/>
      <c r="J445" s="334"/>
      <c r="K445" s="334"/>
      <c r="L445" s="334"/>
      <c r="M445" s="334"/>
      <c r="N445" s="334"/>
      <c r="O445" s="334"/>
      <c r="P445" s="334"/>
      <c r="Q445" s="334"/>
      <c r="R445" s="334"/>
      <c r="S445" s="334"/>
      <c r="T445" s="334"/>
      <c r="U445" s="334"/>
      <c r="V445" s="334"/>
      <c r="W445" s="334"/>
      <c r="X445" s="334"/>
      <c r="Y445" s="334"/>
    </row>
    <row r="446" spans="1:25">
      <c r="A446" s="334"/>
      <c r="B446" s="334"/>
      <c r="C446" s="334"/>
      <c r="D446" s="334"/>
      <c r="E446" s="334"/>
      <c r="F446" s="334"/>
      <c r="G446" s="334"/>
      <c r="H446" s="334"/>
      <c r="I446" s="334"/>
      <c r="J446" s="334"/>
      <c r="K446" s="334"/>
      <c r="L446" s="334"/>
      <c r="M446" s="334"/>
      <c r="N446" s="334"/>
      <c r="O446" s="334"/>
      <c r="P446" s="334"/>
      <c r="Q446" s="334"/>
      <c r="R446" s="334"/>
      <c r="S446" s="334"/>
      <c r="T446" s="334"/>
      <c r="U446" s="334"/>
      <c r="V446" s="334"/>
      <c r="W446" s="334"/>
      <c r="X446" s="334"/>
      <c r="Y446" s="334"/>
    </row>
    <row r="447" spans="1:25">
      <c r="A447" s="334"/>
      <c r="B447" s="334"/>
      <c r="C447" s="334"/>
      <c r="D447" s="334"/>
      <c r="E447" s="334"/>
      <c r="F447" s="334"/>
      <c r="G447" s="334"/>
      <c r="H447" s="334"/>
      <c r="I447" s="334"/>
      <c r="J447" s="334"/>
      <c r="K447" s="334"/>
      <c r="L447" s="334"/>
      <c r="M447" s="334"/>
      <c r="N447" s="334"/>
      <c r="O447" s="334"/>
      <c r="P447" s="334"/>
      <c r="Q447" s="334"/>
      <c r="R447" s="334"/>
      <c r="S447" s="334"/>
      <c r="T447" s="334"/>
      <c r="U447" s="334"/>
      <c r="V447" s="334"/>
      <c r="W447" s="334"/>
      <c r="X447" s="334"/>
      <c r="Y447" s="334"/>
    </row>
    <row r="448" spans="1:25">
      <c r="A448" s="334"/>
      <c r="B448" s="334"/>
      <c r="C448" s="334"/>
      <c r="D448" s="334"/>
      <c r="E448" s="334"/>
      <c r="F448" s="334"/>
      <c r="G448" s="334"/>
      <c r="H448" s="334"/>
      <c r="I448" s="334"/>
      <c r="J448" s="334"/>
      <c r="K448" s="334"/>
      <c r="L448" s="334"/>
      <c r="M448" s="334"/>
      <c r="N448" s="334"/>
      <c r="O448" s="334"/>
      <c r="P448" s="334"/>
      <c r="Q448" s="334"/>
      <c r="R448" s="334"/>
      <c r="S448" s="334"/>
      <c r="T448" s="334"/>
      <c r="U448" s="334"/>
      <c r="V448" s="334"/>
      <c r="W448" s="334"/>
      <c r="X448" s="334"/>
      <c r="Y448" s="334"/>
    </row>
    <row r="449" spans="1:25">
      <c r="A449" s="334"/>
      <c r="B449" s="334"/>
      <c r="C449" s="334"/>
      <c r="D449" s="334"/>
      <c r="E449" s="334"/>
      <c r="F449" s="334"/>
      <c r="G449" s="334"/>
      <c r="H449" s="334"/>
      <c r="I449" s="334"/>
      <c r="J449" s="334"/>
      <c r="K449" s="334"/>
      <c r="L449" s="334"/>
      <c r="M449" s="334"/>
      <c r="N449" s="334"/>
      <c r="O449" s="334"/>
      <c r="P449" s="334"/>
      <c r="Q449" s="334"/>
      <c r="R449" s="334"/>
      <c r="S449" s="334"/>
      <c r="T449" s="334"/>
      <c r="U449" s="334"/>
      <c r="V449" s="334"/>
      <c r="W449" s="334"/>
      <c r="X449" s="334"/>
      <c r="Y449" s="334"/>
    </row>
    <row r="450" spans="1:25">
      <c r="A450" s="334"/>
      <c r="B450" s="334"/>
      <c r="C450" s="334"/>
      <c r="D450" s="334"/>
      <c r="E450" s="334"/>
      <c r="F450" s="334"/>
      <c r="G450" s="334"/>
      <c r="H450" s="334"/>
      <c r="I450" s="334"/>
      <c r="J450" s="334"/>
      <c r="K450" s="334"/>
      <c r="L450" s="334"/>
      <c r="M450" s="334"/>
      <c r="N450" s="334"/>
      <c r="O450" s="334"/>
      <c r="P450" s="334"/>
      <c r="Q450" s="334"/>
      <c r="R450" s="334"/>
      <c r="S450" s="334"/>
      <c r="T450" s="334"/>
      <c r="U450" s="334"/>
      <c r="V450" s="334"/>
      <c r="W450" s="334"/>
      <c r="X450" s="334"/>
      <c r="Y450" s="334"/>
    </row>
    <row r="451" spans="1:25">
      <c r="A451" s="334"/>
      <c r="B451" s="334"/>
      <c r="C451" s="334"/>
      <c r="D451" s="334"/>
      <c r="E451" s="334"/>
      <c r="F451" s="334"/>
      <c r="G451" s="334"/>
      <c r="H451" s="334"/>
      <c r="I451" s="334"/>
      <c r="J451" s="334"/>
      <c r="K451" s="334"/>
      <c r="L451" s="334"/>
      <c r="M451" s="334"/>
      <c r="N451" s="334"/>
      <c r="O451" s="334"/>
      <c r="P451" s="334"/>
      <c r="Q451" s="334"/>
      <c r="R451" s="334"/>
      <c r="S451" s="334"/>
      <c r="T451" s="334"/>
      <c r="U451" s="334"/>
      <c r="V451" s="334"/>
      <c r="W451" s="334"/>
      <c r="X451" s="334"/>
      <c r="Y451" s="334"/>
    </row>
    <row r="452" spans="1:25">
      <c r="A452" s="334"/>
      <c r="B452" s="334"/>
      <c r="C452" s="334"/>
      <c r="D452" s="334"/>
      <c r="E452" s="334"/>
      <c r="F452" s="334"/>
      <c r="G452" s="334"/>
      <c r="H452" s="334"/>
      <c r="I452" s="334"/>
      <c r="J452" s="334"/>
      <c r="K452" s="334"/>
      <c r="L452" s="334"/>
      <c r="M452" s="334"/>
      <c r="N452" s="334"/>
      <c r="O452" s="334"/>
      <c r="P452" s="334"/>
      <c r="Q452" s="334"/>
      <c r="R452" s="334"/>
      <c r="S452" s="334"/>
      <c r="T452" s="334"/>
      <c r="U452" s="334"/>
      <c r="V452" s="334"/>
      <c r="W452" s="334"/>
      <c r="X452" s="334"/>
      <c r="Y452" s="334"/>
    </row>
    <row r="453" spans="1:25">
      <c r="A453" s="334"/>
      <c r="B453" s="334"/>
      <c r="C453" s="334"/>
      <c r="D453" s="334"/>
      <c r="E453" s="334"/>
      <c r="F453" s="334"/>
      <c r="G453" s="334"/>
      <c r="H453" s="334"/>
      <c r="I453" s="334"/>
      <c r="J453" s="334"/>
      <c r="K453" s="334"/>
      <c r="L453" s="334"/>
      <c r="M453" s="334"/>
      <c r="N453" s="334"/>
      <c r="O453" s="334"/>
      <c r="P453" s="334"/>
      <c r="Q453" s="334"/>
      <c r="R453" s="334"/>
      <c r="S453" s="334"/>
      <c r="T453" s="334"/>
      <c r="U453" s="334"/>
      <c r="V453" s="334"/>
      <c r="W453" s="334"/>
      <c r="X453" s="334"/>
      <c r="Y453" s="334"/>
    </row>
    <row r="454" spans="1:25">
      <c r="A454" s="334"/>
      <c r="B454" s="334"/>
      <c r="C454" s="334"/>
      <c r="D454" s="334"/>
      <c r="E454" s="334"/>
      <c r="F454" s="334"/>
      <c r="G454" s="334"/>
      <c r="H454" s="334"/>
      <c r="I454" s="334"/>
      <c r="J454" s="334"/>
      <c r="K454" s="334"/>
      <c r="L454" s="334"/>
      <c r="M454" s="334"/>
      <c r="N454" s="334"/>
      <c r="O454" s="334"/>
      <c r="P454" s="334"/>
      <c r="Q454" s="334"/>
      <c r="R454" s="334"/>
      <c r="S454" s="334"/>
      <c r="T454" s="334"/>
      <c r="U454" s="334"/>
      <c r="V454" s="334"/>
      <c r="W454" s="334"/>
      <c r="X454" s="334"/>
      <c r="Y454" s="334"/>
    </row>
    <row r="455" spans="1:25">
      <c r="A455" s="334"/>
      <c r="B455" s="334"/>
      <c r="C455" s="334"/>
      <c r="D455" s="334"/>
      <c r="E455" s="334"/>
      <c r="F455" s="334"/>
      <c r="G455" s="334"/>
      <c r="H455" s="334"/>
      <c r="I455" s="334"/>
      <c r="J455" s="334"/>
      <c r="K455" s="334"/>
      <c r="L455" s="334"/>
      <c r="M455" s="334"/>
      <c r="N455" s="334"/>
      <c r="O455" s="334"/>
      <c r="P455" s="334"/>
      <c r="Q455" s="334"/>
      <c r="R455" s="334"/>
      <c r="S455" s="334"/>
      <c r="T455" s="334"/>
      <c r="U455" s="334"/>
      <c r="V455" s="334"/>
      <c r="W455" s="334"/>
      <c r="X455" s="334"/>
      <c r="Y455" s="334"/>
    </row>
    <row r="456" spans="1:25">
      <c r="A456" s="334"/>
      <c r="B456" s="334"/>
      <c r="C456" s="334"/>
      <c r="D456" s="334"/>
      <c r="E456" s="334"/>
      <c r="F456" s="334"/>
      <c r="G456" s="334"/>
      <c r="H456" s="334"/>
      <c r="I456" s="334"/>
      <c r="J456" s="334"/>
      <c r="K456" s="334"/>
      <c r="L456" s="334"/>
      <c r="M456" s="334"/>
      <c r="N456" s="334"/>
      <c r="O456" s="334"/>
      <c r="P456" s="334"/>
      <c r="Q456" s="334"/>
      <c r="R456" s="334"/>
      <c r="S456" s="334"/>
      <c r="T456" s="334"/>
      <c r="U456" s="334"/>
      <c r="V456" s="334"/>
      <c r="W456" s="334"/>
      <c r="X456" s="334"/>
      <c r="Y456" s="334"/>
    </row>
    <row r="457" spans="1:25">
      <c r="A457" s="334"/>
      <c r="B457" s="334"/>
      <c r="C457" s="334"/>
      <c r="D457" s="334"/>
      <c r="E457" s="334"/>
      <c r="F457" s="334"/>
      <c r="G457" s="334"/>
      <c r="H457" s="334"/>
      <c r="I457" s="334"/>
      <c r="J457" s="334"/>
      <c r="K457" s="334"/>
      <c r="L457" s="334"/>
      <c r="M457" s="334"/>
      <c r="N457" s="334"/>
      <c r="O457" s="334"/>
      <c r="P457" s="334"/>
      <c r="Q457" s="334"/>
      <c r="R457" s="334"/>
      <c r="S457" s="334"/>
      <c r="T457" s="334"/>
      <c r="U457" s="334"/>
      <c r="V457" s="334"/>
      <c r="W457" s="334"/>
      <c r="X457" s="334"/>
      <c r="Y457" s="334"/>
    </row>
    <row r="458" spans="1:25">
      <c r="A458" s="334"/>
      <c r="B458" s="334"/>
      <c r="C458" s="334"/>
      <c r="D458" s="334"/>
      <c r="E458" s="334"/>
      <c r="F458" s="334"/>
      <c r="G458" s="334"/>
      <c r="H458" s="334"/>
      <c r="I458" s="334"/>
      <c r="J458" s="334"/>
      <c r="K458" s="334"/>
      <c r="L458" s="334"/>
      <c r="M458" s="334"/>
      <c r="N458" s="334"/>
      <c r="O458" s="334"/>
      <c r="P458" s="334"/>
      <c r="Q458" s="334"/>
      <c r="R458" s="334"/>
      <c r="S458" s="334"/>
      <c r="T458" s="334"/>
      <c r="U458" s="334"/>
      <c r="V458" s="334"/>
      <c r="W458" s="334"/>
      <c r="X458" s="334"/>
      <c r="Y458" s="334"/>
    </row>
    <row r="459" spans="1:25">
      <c r="A459" s="334"/>
      <c r="B459" s="334"/>
      <c r="C459" s="334"/>
      <c r="D459" s="334"/>
      <c r="E459" s="334"/>
      <c r="F459" s="334"/>
      <c r="G459" s="334"/>
      <c r="H459" s="334"/>
      <c r="I459" s="334"/>
      <c r="J459" s="334"/>
      <c r="K459" s="334"/>
      <c r="L459" s="334"/>
      <c r="M459" s="334"/>
      <c r="N459" s="334"/>
      <c r="O459" s="334"/>
      <c r="P459" s="334"/>
      <c r="Q459" s="334"/>
      <c r="R459" s="334"/>
      <c r="S459" s="334"/>
      <c r="T459" s="334"/>
      <c r="U459" s="334"/>
      <c r="V459" s="334"/>
      <c r="W459" s="334"/>
      <c r="X459" s="334"/>
      <c r="Y459" s="334"/>
    </row>
    <row r="460" spans="1:25">
      <c r="A460" s="334"/>
      <c r="B460" s="334"/>
      <c r="C460" s="334"/>
      <c r="D460" s="334"/>
      <c r="E460" s="334"/>
      <c r="F460" s="334"/>
      <c r="G460" s="334"/>
      <c r="H460" s="334"/>
      <c r="I460" s="334"/>
      <c r="J460" s="334"/>
      <c r="K460" s="334"/>
      <c r="L460" s="334"/>
      <c r="M460" s="334"/>
      <c r="N460" s="334"/>
      <c r="O460" s="334"/>
      <c r="P460" s="334"/>
      <c r="Q460" s="334"/>
      <c r="R460" s="334"/>
      <c r="S460" s="334"/>
      <c r="T460" s="334"/>
      <c r="U460" s="334"/>
      <c r="V460" s="334"/>
      <c r="W460" s="334"/>
      <c r="X460" s="334"/>
      <c r="Y460" s="334"/>
    </row>
    <row r="461" spans="1:25">
      <c r="A461" s="334"/>
      <c r="B461" s="334"/>
      <c r="C461" s="334"/>
      <c r="D461" s="334"/>
      <c r="E461" s="334"/>
      <c r="F461" s="334"/>
      <c r="G461" s="334"/>
      <c r="H461" s="334"/>
      <c r="I461" s="334"/>
      <c r="J461" s="334"/>
      <c r="K461" s="334"/>
      <c r="L461" s="334"/>
      <c r="M461" s="334"/>
      <c r="N461" s="334"/>
      <c r="O461" s="334"/>
      <c r="P461" s="334"/>
      <c r="Q461" s="334"/>
      <c r="R461" s="334"/>
      <c r="S461" s="334"/>
      <c r="T461" s="334"/>
      <c r="U461" s="334"/>
      <c r="V461" s="334"/>
      <c r="W461" s="334"/>
      <c r="X461" s="334"/>
      <c r="Y461" s="334"/>
    </row>
    <row r="462" spans="1:25">
      <c r="A462" s="334"/>
      <c r="B462" s="334"/>
      <c r="C462" s="334"/>
      <c r="D462" s="334"/>
      <c r="E462" s="334"/>
      <c r="F462" s="334"/>
      <c r="G462" s="334"/>
      <c r="H462" s="334"/>
      <c r="I462" s="334"/>
      <c r="J462" s="334"/>
      <c r="K462" s="334"/>
      <c r="L462" s="334"/>
      <c r="M462" s="334"/>
      <c r="N462" s="334"/>
      <c r="O462" s="334"/>
      <c r="P462" s="334"/>
      <c r="Q462" s="334"/>
      <c r="R462" s="334"/>
      <c r="S462" s="334"/>
      <c r="T462" s="334"/>
      <c r="U462" s="334"/>
      <c r="V462" s="334"/>
      <c r="W462" s="334"/>
      <c r="X462" s="334"/>
      <c r="Y462" s="334"/>
    </row>
    <row r="463" spans="1:25">
      <c r="A463" s="334"/>
      <c r="B463" s="334"/>
      <c r="C463" s="334"/>
      <c r="D463" s="334"/>
      <c r="E463" s="334"/>
      <c r="F463" s="334"/>
      <c r="G463" s="334"/>
      <c r="H463" s="334"/>
      <c r="I463" s="334"/>
      <c r="J463" s="334"/>
      <c r="K463" s="334"/>
      <c r="L463" s="334"/>
      <c r="M463" s="334"/>
      <c r="N463" s="334"/>
      <c r="O463" s="334"/>
      <c r="P463" s="334"/>
      <c r="Q463" s="334"/>
      <c r="R463" s="334"/>
      <c r="S463" s="334"/>
      <c r="T463" s="334"/>
      <c r="U463" s="334"/>
      <c r="V463" s="334"/>
      <c r="W463" s="334"/>
      <c r="X463" s="334"/>
      <c r="Y463" s="334"/>
    </row>
    <row r="464" spans="1:25">
      <c r="A464" s="334"/>
      <c r="B464" s="334"/>
      <c r="C464" s="334"/>
      <c r="D464" s="334"/>
      <c r="E464" s="334"/>
      <c r="F464" s="334"/>
      <c r="G464" s="334"/>
      <c r="H464" s="334"/>
      <c r="I464" s="334"/>
      <c r="J464" s="334"/>
      <c r="K464" s="334"/>
      <c r="L464" s="334"/>
      <c r="M464" s="334"/>
      <c r="N464" s="334"/>
      <c r="O464" s="334"/>
      <c r="P464" s="334"/>
      <c r="Q464" s="334"/>
      <c r="R464" s="334"/>
      <c r="S464" s="334"/>
      <c r="T464" s="334"/>
      <c r="U464" s="334"/>
      <c r="V464" s="334"/>
      <c r="W464" s="334"/>
      <c r="X464" s="334"/>
      <c r="Y464" s="334"/>
    </row>
    <row r="465" spans="1:25">
      <c r="A465" s="334"/>
      <c r="B465" s="334"/>
      <c r="C465" s="334"/>
      <c r="D465" s="334"/>
      <c r="E465" s="334"/>
      <c r="F465" s="334"/>
      <c r="G465" s="334"/>
      <c r="H465" s="334"/>
      <c r="I465" s="334"/>
      <c r="J465" s="334"/>
      <c r="K465" s="334"/>
      <c r="L465" s="334"/>
      <c r="M465" s="334"/>
      <c r="N465" s="334"/>
      <c r="O465" s="334"/>
      <c r="P465" s="334"/>
      <c r="Q465" s="334"/>
      <c r="R465" s="334"/>
      <c r="S465" s="334"/>
      <c r="T465" s="334"/>
      <c r="U465" s="334"/>
      <c r="V465" s="334"/>
      <c r="W465" s="334"/>
      <c r="X465" s="334"/>
      <c r="Y465" s="334"/>
    </row>
    <row r="466" spans="1:25">
      <c r="A466" s="334"/>
      <c r="B466" s="334"/>
      <c r="C466" s="334"/>
      <c r="D466" s="334"/>
      <c r="E466" s="334"/>
      <c r="F466" s="334"/>
      <c r="G466" s="334"/>
      <c r="H466" s="334"/>
      <c r="I466" s="334"/>
      <c r="J466" s="334"/>
      <c r="K466" s="334"/>
      <c r="L466" s="334"/>
      <c r="M466" s="334"/>
      <c r="N466" s="334"/>
      <c r="O466" s="334"/>
      <c r="P466" s="334"/>
      <c r="Q466" s="334"/>
      <c r="R466" s="334"/>
      <c r="S466" s="334"/>
      <c r="T466" s="334"/>
      <c r="U466" s="334"/>
      <c r="V466" s="334"/>
      <c r="W466" s="334"/>
      <c r="X466" s="334"/>
      <c r="Y466" s="334"/>
    </row>
    <row r="467" spans="1:25">
      <c r="A467" s="334"/>
      <c r="B467" s="334"/>
      <c r="C467" s="334"/>
      <c r="D467" s="334"/>
      <c r="E467" s="334"/>
      <c r="F467" s="334"/>
      <c r="G467" s="334"/>
      <c r="H467" s="334"/>
      <c r="I467" s="334"/>
      <c r="J467" s="334"/>
      <c r="K467" s="334"/>
      <c r="L467" s="334"/>
      <c r="M467" s="334"/>
      <c r="N467" s="334"/>
      <c r="O467" s="334"/>
      <c r="P467" s="334"/>
      <c r="Q467" s="334"/>
      <c r="R467" s="334"/>
      <c r="S467" s="334"/>
      <c r="T467" s="334"/>
      <c r="U467" s="334"/>
      <c r="V467" s="334"/>
      <c r="W467" s="334"/>
      <c r="X467" s="334"/>
      <c r="Y467" s="334"/>
    </row>
    <row r="468" spans="1:25">
      <c r="A468" s="334"/>
      <c r="B468" s="334"/>
      <c r="C468" s="334"/>
      <c r="D468" s="334"/>
      <c r="E468" s="334"/>
      <c r="F468" s="334"/>
      <c r="G468" s="334"/>
      <c r="H468" s="334"/>
      <c r="I468" s="334"/>
      <c r="J468" s="334"/>
      <c r="K468" s="334"/>
      <c r="L468" s="334"/>
      <c r="M468" s="334"/>
      <c r="N468" s="334"/>
      <c r="O468" s="334"/>
      <c r="P468" s="334"/>
      <c r="Q468" s="334"/>
      <c r="R468" s="334"/>
      <c r="S468" s="334"/>
      <c r="T468" s="334"/>
      <c r="U468" s="334"/>
      <c r="V468" s="334"/>
      <c r="W468" s="334"/>
      <c r="X468" s="334"/>
      <c r="Y468" s="334"/>
    </row>
    <row r="469" spans="1:25">
      <c r="A469" s="334"/>
      <c r="B469" s="334"/>
      <c r="C469" s="334"/>
      <c r="D469" s="334"/>
      <c r="E469" s="334"/>
      <c r="F469" s="334"/>
      <c r="G469" s="334"/>
      <c r="H469" s="334"/>
      <c r="I469" s="334"/>
      <c r="J469" s="334"/>
      <c r="K469" s="334"/>
      <c r="L469" s="334"/>
      <c r="M469" s="334"/>
      <c r="N469" s="334"/>
      <c r="O469" s="334"/>
      <c r="P469" s="334"/>
      <c r="Q469" s="334"/>
      <c r="R469" s="334"/>
      <c r="S469" s="334"/>
      <c r="T469" s="334"/>
      <c r="U469" s="334"/>
      <c r="V469" s="334"/>
      <c r="W469" s="334"/>
      <c r="X469" s="334"/>
      <c r="Y469" s="334"/>
    </row>
    <row r="470" spans="1:25">
      <c r="A470" s="334"/>
      <c r="B470" s="334"/>
      <c r="C470" s="334"/>
      <c r="D470" s="334"/>
      <c r="E470" s="334"/>
      <c r="F470" s="334"/>
      <c r="G470" s="334"/>
      <c r="H470" s="334"/>
      <c r="I470" s="334"/>
      <c r="J470" s="334"/>
      <c r="K470" s="334"/>
      <c r="L470" s="334"/>
      <c r="M470" s="334"/>
      <c r="N470" s="334"/>
      <c r="O470" s="334"/>
      <c r="P470" s="334"/>
      <c r="Q470" s="334"/>
      <c r="R470" s="334"/>
      <c r="S470" s="334"/>
      <c r="T470" s="334"/>
      <c r="U470" s="334"/>
      <c r="V470" s="334"/>
      <c r="W470" s="334"/>
      <c r="X470" s="334"/>
      <c r="Y470" s="334"/>
    </row>
    <row r="471" spans="1:25">
      <c r="A471" s="334"/>
      <c r="B471" s="334"/>
      <c r="C471" s="334"/>
      <c r="D471" s="334"/>
      <c r="E471" s="334"/>
      <c r="F471" s="334"/>
      <c r="G471" s="334"/>
      <c r="H471" s="334"/>
      <c r="I471" s="334"/>
      <c r="J471" s="334"/>
      <c r="K471" s="334"/>
      <c r="L471" s="334"/>
      <c r="M471" s="334"/>
      <c r="N471" s="334"/>
      <c r="O471" s="334"/>
      <c r="P471" s="334"/>
      <c r="Q471" s="334"/>
      <c r="R471" s="334"/>
      <c r="S471" s="334"/>
      <c r="T471" s="334"/>
      <c r="U471" s="334"/>
      <c r="V471" s="334"/>
      <c r="W471" s="334"/>
      <c r="X471" s="334"/>
      <c r="Y471" s="334"/>
    </row>
    <row r="472" spans="1:25">
      <c r="A472" s="334"/>
      <c r="B472" s="334"/>
      <c r="C472" s="334"/>
      <c r="D472" s="334"/>
      <c r="E472" s="334"/>
      <c r="F472" s="334"/>
      <c r="G472" s="334"/>
      <c r="H472" s="334"/>
      <c r="I472" s="334"/>
      <c r="J472" s="334"/>
      <c r="K472" s="334"/>
      <c r="L472" s="334"/>
      <c r="M472" s="334"/>
      <c r="N472" s="334"/>
      <c r="O472" s="334"/>
      <c r="P472" s="334"/>
      <c r="Q472" s="334"/>
      <c r="R472" s="334"/>
      <c r="S472" s="334"/>
      <c r="T472" s="334"/>
      <c r="U472" s="334"/>
      <c r="V472" s="334"/>
      <c r="W472" s="334"/>
      <c r="X472" s="334"/>
      <c r="Y472" s="334"/>
    </row>
    <row r="473" spans="1:25">
      <c r="A473" s="334"/>
      <c r="B473" s="334"/>
      <c r="C473" s="334"/>
      <c r="D473" s="334"/>
      <c r="E473" s="334"/>
      <c r="F473" s="334"/>
      <c r="G473" s="334"/>
      <c r="H473" s="334"/>
      <c r="I473" s="334"/>
      <c r="J473" s="334"/>
      <c r="K473" s="334"/>
      <c r="L473" s="334"/>
      <c r="M473" s="334"/>
      <c r="N473" s="334"/>
      <c r="O473" s="334"/>
      <c r="P473" s="334"/>
      <c r="Q473" s="334"/>
      <c r="R473" s="334"/>
      <c r="S473" s="334"/>
      <c r="T473" s="334"/>
      <c r="U473" s="334"/>
      <c r="V473" s="334"/>
      <c r="W473" s="334"/>
      <c r="X473" s="334"/>
      <c r="Y473" s="334"/>
    </row>
    <row r="474" spans="1:25">
      <c r="A474" s="334"/>
      <c r="B474" s="334"/>
      <c r="C474" s="334"/>
      <c r="D474" s="334"/>
      <c r="E474" s="334"/>
      <c r="F474" s="334"/>
      <c r="G474" s="334"/>
      <c r="H474" s="334"/>
      <c r="I474" s="334"/>
      <c r="J474" s="334"/>
      <c r="K474" s="334"/>
      <c r="L474" s="334"/>
      <c r="M474" s="334"/>
      <c r="N474" s="334"/>
      <c r="O474" s="334"/>
      <c r="P474" s="334"/>
      <c r="Q474" s="334"/>
      <c r="R474" s="334"/>
      <c r="S474" s="334"/>
      <c r="T474" s="334"/>
      <c r="U474" s="334"/>
      <c r="V474" s="334"/>
      <c r="W474" s="334"/>
      <c r="X474" s="334"/>
      <c r="Y474" s="334"/>
    </row>
    <row r="475" spans="1:25">
      <c r="A475" s="334"/>
      <c r="B475" s="334"/>
      <c r="C475" s="334"/>
      <c r="D475" s="334"/>
      <c r="E475" s="334"/>
      <c r="F475" s="334"/>
      <c r="G475" s="334"/>
      <c r="H475" s="334"/>
      <c r="I475" s="334"/>
      <c r="J475" s="334"/>
      <c r="K475" s="334"/>
      <c r="L475" s="334"/>
      <c r="M475" s="334"/>
      <c r="N475" s="334"/>
      <c r="O475" s="334"/>
      <c r="P475" s="334"/>
      <c r="Q475" s="334"/>
      <c r="R475" s="334"/>
      <c r="S475" s="334"/>
      <c r="T475" s="334"/>
      <c r="U475" s="334"/>
      <c r="V475" s="334"/>
      <c r="W475" s="334"/>
      <c r="X475" s="334"/>
      <c r="Y475" s="334"/>
    </row>
    <row r="476" spans="1:25">
      <c r="A476" s="334"/>
      <c r="B476" s="334"/>
      <c r="C476" s="334"/>
      <c r="D476" s="334"/>
      <c r="E476" s="334"/>
      <c r="F476" s="334"/>
      <c r="G476" s="334"/>
      <c r="H476" s="334"/>
      <c r="I476" s="334"/>
      <c r="J476" s="334"/>
      <c r="K476" s="334"/>
      <c r="L476" s="334"/>
      <c r="M476" s="334"/>
      <c r="N476" s="334"/>
      <c r="O476" s="334"/>
      <c r="P476" s="334"/>
      <c r="Q476" s="334"/>
      <c r="R476" s="334"/>
      <c r="S476" s="334"/>
      <c r="T476" s="334"/>
      <c r="U476" s="334"/>
      <c r="V476" s="334"/>
      <c r="W476" s="334"/>
      <c r="X476" s="334"/>
      <c r="Y476" s="334"/>
    </row>
    <row r="477" spans="1:25">
      <c r="A477" s="334"/>
      <c r="B477" s="334"/>
      <c r="C477" s="334"/>
      <c r="D477" s="334"/>
      <c r="E477" s="334"/>
      <c r="F477" s="334"/>
      <c r="G477" s="334"/>
      <c r="H477" s="334"/>
      <c r="I477" s="334"/>
      <c r="J477" s="334"/>
      <c r="K477" s="334"/>
      <c r="L477" s="334"/>
      <c r="M477" s="334"/>
      <c r="N477" s="334"/>
      <c r="O477" s="334"/>
      <c r="P477" s="334"/>
      <c r="Q477" s="334"/>
      <c r="R477" s="334"/>
      <c r="S477" s="334"/>
      <c r="T477" s="334"/>
      <c r="U477" s="334"/>
      <c r="V477" s="334"/>
      <c r="W477" s="334"/>
      <c r="X477" s="334"/>
      <c r="Y477" s="334"/>
    </row>
    <row r="478" spans="1:25">
      <c r="A478" s="334"/>
      <c r="B478" s="334"/>
      <c r="C478" s="334"/>
      <c r="D478" s="334"/>
      <c r="E478" s="334"/>
      <c r="F478" s="334"/>
      <c r="G478" s="334"/>
      <c r="H478" s="334"/>
      <c r="I478" s="334"/>
      <c r="J478" s="334"/>
      <c r="K478" s="334"/>
      <c r="L478" s="334"/>
      <c r="M478" s="334"/>
      <c r="N478" s="334"/>
      <c r="O478" s="334"/>
      <c r="P478" s="334"/>
      <c r="Q478" s="334"/>
      <c r="R478" s="334"/>
      <c r="S478" s="334"/>
      <c r="T478" s="334"/>
      <c r="U478" s="334"/>
      <c r="V478" s="334"/>
      <c r="W478" s="334"/>
      <c r="X478" s="334"/>
      <c r="Y478" s="334"/>
    </row>
    <row r="479" spans="1:25">
      <c r="A479" s="334"/>
      <c r="B479" s="334"/>
      <c r="C479" s="334"/>
      <c r="D479" s="334"/>
      <c r="E479" s="334"/>
      <c r="F479" s="334"/>
      <c r="G479" s="334"/>
      <c r="H479" s="334"/>
      <c r="I479" s="334"/>
      <c r="J479" s="334"/>
      <c r="K479" s="334"/>
      <c r="L479" s="334"/>
      <c r="M479" s="334"/>
      <c r="N479" s="334"/>
      <c r="O479" s="334"/>
      <c r="P479" s="334"/>
      <c r="Q479" s="334"/>
      <c r="R479" s="334"/>
      <c r="S479" s="334"/>
      <c r="T479" s="334"/>
      <c r="U479" s="334"/>
      <c r="V479" s="334"/>
      <c r="W479" s="334"/>
      <c r="X479" s="334"/>
      <c r="Y479" s="334"/>
    </row>
    <row r="480" spans="1:25">
      <c r="A480" s="334"/>
      <c r="B480" s="334"/>
      <c r="C480" s="334"/>
      <c r="D480" s="334"/>
      <c r="E480" s="334"/>
      <c r="F480" s="334"/>
      <c r="G480" s="334"/>
      <c r="H480" s="334"/>
      <c r="I480" s="334"/>
      <c r="J480" s="334"/>
      <c r="K480" s="334"/>
      <c r="L480" s="334"/>
      <c r="M480" s="334"/>
      <c r="N480" s="334"/>
      <c r="O480" s="334"/>
      <c r="P480" s="334"/>
      <c r="Q480" s="334"/>
      <c r="R480" s="334"/>
      <c r="S480" s="334"/>
      <c r="T480" s="334"/>
      <c r="U480" s="334"/>
      <c r="V480" s="334"/>
      <c r="W480" s="334"/>
      <c r="X480" s="334"/>
      <c r="Y480" s="334"/>
    </row>
    <row r="481" spans="1:25">
      <c r="A481" s="334"/>
      <c r="B481" s="334"/>
      <c r="C481" s="334"/>
      <c r="D481" s="334"/>
      <c r="E481" s="334"/>
      <c r="F481" s="334"/>
      <c r="G481" s="334"/>
      <c r="H481" s="334"/>
      <c r="I481" s="334"/>
      <c r="J481" s="334"/>
      <c r="K481" s="334"/>
      <c r="L481" s="334"/>
      <c r="M481" s="334"/>
      <c r="N481" s="334"/>
      <c r="O481" s="334"/>
      <c r="P481" s="334"/>
      <c r="Q481" s="334"/>
      <c r="R481" s="334"/>
      <c r="S481" s="334"/>
      <c r="T481" s="334"/>
      <c r="U481" s="334"/>
      <c r="V481" s="334"/>
      <c r="W481" s="334"/>
      <c r="X481" s="334"/>
      <c r="Y481" s="334"/>
    </row>
    <row r="482" spans="1:25">
      <c r="A482" s="334"/>
      <c r="B482" s="334"/>
      <c r="C482" s="334"/>
      <c r="D482" s="334"/>
      <c r="E482" s="334"/>
      <c r="F482" s="334"/>
      <c r="G482" s="334"/>
      <c r="H482" s="334"/>
      <c r="I482" s="334"/>
      <c r="J482" s="334"/>
      <c r="K482" s="334"/>
      <c r="L482" s="334"/>
      <c r="M482" s="334"/>
      <c r="N482" s="334"/>
      <c r="O482" s="334"/>
      <c r="P482" s="334"/>
      <c r="Q482" s="334"/>
      <c r="R482" s="334"/>
      <c r="S482" s="334"/>
      <c r="T482" s="334"/>
      <c r="U482" s="334"/>
      <c r="V482" s="334"/>
      <c r="W482" s="334"/>
      <c r="X482" s="334"/>
      <c r="Y482" s="334"/>
    </row>
    <row r="483" spans="1:25">
      <c r="A483" s="334"/>
      <c r="B483" s="334"/>
      <c r="C483" s="334"/>
      <c r="D483" s="334"/>
      <c r="E483" s="334"/>
      <c r="F483" s="334"/>
      <c r="G483" s="334"/>
      <c r="H483" s="334"/>
      <c r="I483" s="334"/>
      <c r="J483" s="334"/>
      <c r="K483" s="334"/>
      <c r="L483" s="334"/>
      <c r="M483" s="334"/>
      <c r="N483" s="334"/>
      <c r="O483" s="334"/>
      <c r="P483" s="334"/>
      <c r="Q483" s="334"/>
      <c r="R483" s="334"/>
      <c r="S483" s="334"/>
      <c r="T483" s="334"/>
      <c r="U483" s="334"/>
      <c r="V483" s="334"/>
      <c r="W483" s="334"/>
      <c r="X483" s="334"/>
      <c r="Y483" s="334"/>
    </row>
    <row r="484" spans="1:25">
      <c r="A484" s="334"/>
      <c r="B484" s="334"/>
      <c r="C484" s="334"/>
      <c r="D484" s="334"/>
      <c r="E484" s="334"/>
      <c r="F484" s="334"/>
      <c r="G484" s="334"/>
      <c r="H484" s="334"/>
      <c r="I484" s="334"/>
      <c r="J484" s="334"/>
      <c r="K484" s="334"/>
      <c r="L484" s="334"/>
      <c r="M484" s="334"/>
      <c r="N484" s="334"/>
      <c r="O484" s="334"/>
      <c r="P484" s="334"/>
      <c r="Q484" s="334"/>
      <c r="R484" s="334"/>
      <c r="S484" s="334"/>
      <c r="T484" s="334"/>
      <c r="U484" s="334"/>
      <c r="V484" s="334"/>
      <c r="W484" s="334"/>
      <c r="X484" s="334"/>
      <c r="Y484" s="334"/>
    </row>
    <row r="485" spans="1:25">
      <c r="A485" s="334"/>
      <c r="B485" s="334"/>
      <c r="C485" s="334"/>
      <c r="D485" s="334"/>
      <c r="E485" s="334"/>
      <c r="F485" s="334"/>
      <c r="G485" s="334"/>
      <c r="H485" s="334"/>
      <c r="I485" s="334"/>
      <c r="J485" s="334"/>
      <c r="K485" s="334"/>
      <c r="L485" s="334"/>
      <c r="M485" s="334"/>
      <c r="N485" s="334"/>
      <c r="O485" s="334"/>
      <c r="P485" s="334"/>
      <c r="Q485" s="334"/>
      <c r="R485" s="334"/>
      <c r="S485" s="334"/>
      <c r="T485" s="334"/>
      <c r="U485" s="334"/>
      <c r="V485" s="334"/>
      <c r="W485" s="334"/>
      <c r="X485" s="334"/>
      <c r="Y485" s="334"/>
    </row>
    <row r="486" spans="1:25">
      <c r="A486" s="334"/>
      <c r="B486" s="334"/>
      <c r="C486" s="334"/>
      <c r="D486" s="334"/>
      <c r="E486" s="334"/>
      <c r="F486" s="334"/>
      <c r="G486" s="334"/>
      <c r="H486" s="334"/>
      <c r="I486" s="334"/>
      <c r="J486" s="334"/>
      <c r="K486" s="334"/>
      <c r="L486" s="334"/>
      <c r="M486" s="334"/>
      <c r="N486" s="334"/>
      <c r="O486" s="334"/>
      <c r="P486" s="334"/>
      <c r="Q486" s="334"/>
      <c r="R486" s="334"/>
      <c r="S486" s="334"/>
      <c r="T486" s="334"/>
      <c r="U486" s="334"/>
      <c r="V486" s="334"/>
      <c r="W486" s="334"/>
      <c r="X486" s="334"/>
      <c r="Y486" s="334"/>
    </row>
    <row r="487" spans="1:25">
      <c r="A487" s="334"/>
      <c r="B487" s="334"/>
      <c r="C487" s="334"/>
      <c r="D487" s="334"/>
      <c r="E487" s="334"/>
      <c r="F487" s="334"/>
      <c r="G487" s="334"/>
      <c r="H487" s="334"/>
      <c r="I487" s="334"/>
      <c r="J487" s="334"/>
      <c r="K487" s="334"/>
      <c r="L487" s="334"/>
      <c r="M487" s="334"/>
      <c r="N487" s="334"/>
      <c r="O487" s="334"/>
      <c r="P487" s="334"/>
      <c r="Q487" s="334"/>
      <c r="R487" s="334"/>
      <c r="S487" s="334"/>
      <c r="T487" s="334"/>
      <c r="U487" s="334"/>
      <c r="V487" s="334"/>
      <c r="W487" s="334"/>
      <c r="X487" s="334"/>
      <c r="Y487" s="334"/>
    </row>
    <row r="488" spans="1:25">
      <c r="A488" s="334"/>
      <c r="B488" s="334"/>
      <c r="C488" s="334"/>
      <c r="D488" s="334"/>
      <c r="E488" s="334"/>
      <c r="F488" s="334"/>
      <c r="G488" s="334"/>
      <c r="H488" s="334"/>
      <c r="I488" s="334"/>
      <c r="J488" s="334"/>
      <c r="K488" s="334"/>
      <c r="L488" s="334"/>
      <c r="M488" s="334"/>
      <c r="N488" s="334"/>
      <c r="O488" s="334"/>
      <c r="P488" s="334"/>
      <c r="Q488" s="334"/>
      <c r="R488" s="334"/>
      <c r="S488" s="334"/>
      <c r="T488" s="334"/>
      <c r="U488" s="334"/>
      <c r="V488" s="334"/>
      <c r="W488" s="334"/>
      <c r="X488" s="334"/>
      <c r="Y488" s="334"/>
    </row>
    <row r="489" spans="1:25">
      <c r="A489" s="334"/>
      <c r="B489" s="334"/>
      <c r="C489" s="334"/>
      <c r="D489" s="334"/>
      <c r="E489" s="334"/>
      <c r="F489" s="334"/>
      <c r="G489" s="334"/>
      <c r="H489" s="334"/>
      <c r="I489" s="334"/>
      <c r="J489" s="334"/>
      <c r="K489" s="334"/>
      <c r="L489" s="334"/>
      <c r="M489" s="334"/>
      <c r="N489" s="334"/>
      <c r="O489" s="334"/>
      <c r="P489" s="334"/>
      <c r="Q489" s="334"/>
      <c r="R489" s="334"/>
      <c r="S489" s="334"/>
      <c r="T489" s="334"/>
      <c r="U489" s="334"/>
      <c r="V489" s="334"/>
      <c r="W489" s="334"/>
      <c r="X489" s="334"/>
      <c r="Y489" s="334"/>
    </row>
    <row r="490" spans="1:25">
      <c r="A490" s="334"/>
      <c r="B490" s="334"/>
      <c r="C490" s="334"/>
      <c r="D490" s="334"/>
      <c r="E490" s="334"/>
      <c r="F490" s="334"/>
      <c r="G490" s="334"/>
      <c r="H490" s="334"/>
      <c r="I490" s="334"/>
      <c r="J490" s="334"/>
      <c r="K490" s="334"/>
      <c r="L490" s="334"/>
      <c r="M490" s="334"/>
      <c r="N490" s="334"/>
      <c r="O490" s="334"/>
      <c r="P490" s="334"/>
      <c r="Q490" s="334"/>
      <c r="R490" s="334"/>
      <c r="S490" s="334"/>
      <c r="T490" s="334"/>
      <c r="U490" s="334"/>
      <c r="V490" s="334"/>
      <c r="W490" s="334"/>
      <c r="X490" s="334"/>
      <c r="Y490" s="334"/>
    </row>
    <row r="491" spans="1:25">
      <c r="A491" s="334"/>
      <c r="B491" s="334"/>
      <c r="C491" s="334"/>
      <c r="D491" s="334"/>
      <c r="E491" s="334"/>
      <c r="F491" s="334"/>
      <c r="G491" s="334"/>
      <c r="H491" s="334"/>
      <c r="I491" s="334"/>
      <c r="J491" s="334"/>
      <c r="K491" s="334"/>
      <c r="L491" s="334"/>
      <c r="M491" s="334"/>
      <c r="N491" s="334"/>
      <c r="O491" s="334"/>
      <c r="P491" s="334"/>
      <c r="Q491" s="334"/>
      <c r="R491" s="334"/>
      <c r="S491" s="334"/>
      <c r="T491" s="334"/>
      <c r="U491" s="334"/>
      <c r="V491" s="334"/>
      <c r="W491" s="334"/>
      <c r="X491" s="334"/>
      <c r="Y491" s="334"/>
    </row>
    <row r="492" spans="1:25">
      <c r="A492" s="334"/>
      <c r="B492" s="334"/>
      <c r="C492" s="334"/>
      <c r="D492" s="334"/>
      <c r="E492" s="334"/>
      <c r="F492" s="334"/>
      <c r="G492" s="334"/>
      <c r="H492" s="334"/>
      <c r="I492" s="334"/>
      <c r="J492" s="334"/>
      <c r="K492" s="334"/>
      <c r="L492" s="334"/>
      <c r="M492" s="334"/>
      <c r="N492" s="334"/>
      <c r="O492" s="334"/>
      <c r="P492" s="334"/>
      <c r="Q492" s="334"/>
      <c r="R492" s="334"/>
      <c r="S492" s="334"/>
      <c r="T492" s="334"/>
      <c r="U492" s="334"/>
      <c r="V492" s="334"/>
      <c r="W492" s="334"/>
      <c r="X492" s="334"/>
      <c r="Y492" s="334"/>
    </row>
    <row r="493" spans="1:25">
      <c r="A493" s="334"/>
      <c r="B493" s="334"/>
      <c r="C493" s="334"/>
      <c r="D493" s="334"/>
      <c r="E493" s="334"/>
      <c r="F493" s="334"/>
      <c r="G493" s="334"/>
      <c r="H493" s="334"/>
      <c r="I493" s="334"/>
      <c r="J493" s="334"/>
      <c r="K493" s="334"/>
      <c r="L493" s="334"/>
      <c r="M493" s="334"/>
      <c r="N493" s="334"/>
      <c r="O493" s="334"/>
      <c r="P493" s="334"/>
      <c r="Q493" s="334"/>
      <c r="R493" s="334"/>
      <c r="S493" s="334"/>
      <c r="T493" s="334"/>
      <c r="U493" s="334"/>
      <c r="V493" s="334"/>
      <c r="W493" s="334"/>
      <c r="X493" s="334"/>
      <c r="Y493" s="334"/>
    </row>
    <row r="494" spans="1:25">
      <c r="A494" s="334"/>
      <c r="B494" s="334"/>
      <c r="C494" s="334"/>
      <c r="D494" s="334"/>
      <c r="E494" s="334"/>
      <c r="F494" s="334"/>
      <c r="G494" s="334"/>
      <c r="H494" s="334"/>
      <c r="I494" s="334"/>
      <c r="J494" s="334"/>
      <c r="K494" s="334"/>
      <c r="L494" s="334"/>
      <c r="M494" s="334"/>
      <c r="N494" s="334"/>
      <c r="O494" s="334"/>
      <c r="P494" s="334"/>
      <c r="Q494" s="334"/>
      <c r="R494" s="334"/>
      <c r="S494" s="334"/>
      <c r="T494" s="334"/>
      <c r="U494" s="334"/>
      <c r="V494" s="334"/>
      <c r="W494" s="334"/>
      <c r="X494" s="334"/>
      <c r="Y494" s="334"/>
    </row>
    <row r="495" spans="1:25">
      <c r="A495" s="334"/>
      <c r="B495" s="334"/>
      <c r="C495" s="334"/>
      <c r="D495" s="334"/>
      <c r="E495" s="334"/>
      <c r="F495" s="334"/>
      <c r="G495" s="334"/>
      <c r="H495" s="334"/>
      <c r="I495" s="334"/>
      <c r="J495" s="334"/>
      <c r="K495" s="334"/>
      <c r="L495" s="334"/>
      <c r="M495" s="334"/>
      <c r="N495" s="334"/>
      <c r="O495" s="334"/>
      <c r="P495" s="334"/>
      <c r="Q495" s="334"/>
      <c r="R495" s="334"/>
      <c r="S495" s="334"/>
      <c r="T495" s="334"/>
      <c r="U495" s="334"/>
      <c r="V495" s="334"/>
      <c r="W495" s="334"/>
      <c r="X495" s="334"/>
      <c r="Y495" s="334"/>
    </row>
    <row r="496" spans="1:25">
      <c r="A496" s="334"/>
      <c r="B496" s="334"/>
      <c r="C496" s="334"/>
      <c r="D496" s="334"/>
      <c r="E496" s="334"/>
      <c r="F496" s="334"/>
      <c r="G496" s="334"/>
      <c r="H496" s="334"/>
      <c r="I496" s="334"/>
      <c r="J496" s="334"/>
      <c r="K496" s="334"/>
      <c r="L496" s="334"/>
      <c r="M496" s="334"/>
      <c r="N496" s="334"/>
      <c r="O496" s="334"/>
      <c r="P496" s="334"/>
      <c r="Q496" s="334"/>
      <c r="R496" s="334"/>
      <c r="S496" s="334"/>
      <c r="T496" s="334"/>
      <c r="U496" s="334"/>
      <c r="V496" s="334"/>
      <c r="W496" s="334"/>
      <c r="X496" s="334"/>
      <c r="Y496" s="334"/>
    </row>
    <row r="497" spans="1:25">
      <c r="A497" s="334"/>
      <c r="B497" s="334"/>
      <c r="C497" s="334"/>
      <c r="D497" s="334"/>
      <c r="E497" s="334"/>
      <c r="F497" s="334"/>
      <c r="G497" s="334"/>
      <c r="H497" s="334"/>
      <c r="I497" s="334"/>
      <c r="J497" s="334"/>
      <c r="K497" s="334"/>
      <c r="L497" s="334"/>
      <c r="M497" s="334"/>
      <c r="N497" s="334"/>
      <c r="O497" s="334"/>
      <c r="P497" s="334"/>
      <c r="Q497" s="334"/>
      <c r="R497" s="334"/>
      <c r="S497" s="334"/>
      <c r="T497" s="334"/>
      <c r="U497" s="334"/>
      <c r="V497" s="334"/>
      <c r="W497" s="334"/>
      <c r="X497" s="334"/>
      <c r="Y497" s="334"/>
    </row>
    <row r="498" spans="1:25">
      <c r="A498" s="334"/>
      <c r="B498" s="334"/>
      <c r="C498" s="334"/>
      <c r="D498" s="334"/>
      <c r="E498" s="334"/>
      <c r="F498" s="334"/>
      <c r="G498" s="334"/>
      <c r="H498" s="334"/>
      <c r="I498" s="334"/>
      <c r="J498" s="334"/>
      <c r="K498" s="334"/>
      <c r="L498" s="334"/>
      <c r="M498" s="334"/>
      <c r="N498" s="334"/>
      <c r="O498" s="334"/>
      <c r="P498" s="334"/>
      <c r="Q498" s="334"/>
      <c r="R498" s="334"/>
      <c r="S498" s="334"/>
      <c r="T498" s="334"/>
      <c r="U498" s="334"/>
      <c r="V498" s="334"/>
      <c r="W498" s="334"/>
      <c r="X498" s="334"/>
      <c r="Y498" s="334"/>
    </row>
    <row r="499" spans="1:25">
      <c r="A499" s="334"/>
      <c r="B499" s="334"/>
      <c r="C499" s="334"/>
      <c r="D499" s="334"/>
      <c r="E499" s="334"/>
      <c r="F499" s="334"/>
      <c r="G499" s="334"/>
      <c r="H499" s="334"/>
      <c r="I499" s="334"/>
      <c r="J499" s="334"/>
      <c r="K499" s="334"/>
      <c r="L499" s="334"/>
      <c r="M499" s="334"/>
      <c r="N499" s="334"/>
      <c r="O499" s="334"/>
      <c r="P499" s="334"/>
      <c r="Q499" s="334"/>
      <c r="R499" s="334"/>
      <c r="S499" s="334"/>
      <c r="T499" s="334"/>
      <c r="U499" s="334"/>
      <c r="V499" s="334"/>
      <c r="W499" s="334"/>
      <c r="X499" s="334"/>
      <c r="Y499" s="334"/>
    </row>
    <row r="500" spans="1:25">
      <c r="A500" s="334"/>
      <c r="B500" s="334"/>
      <c r="C500" s="334"/>
      <c r="D500" s="334"/>
      <c r="E500" s="334"/>
      <c r="F500" s="334"/>
      <c r="G500" s="334"/>
      <c r="H500" s="334"/>
      <c r="I500" s="334"/>
      <c r="J500" s="334"/>
      <c r="K500" s="334"/>
      <c r="L500" s="334"/>
      <c r="M500" s="334"/>
      <c r="N500" s="334"/>
      <c r="O500" s="334"/>
      <c r="P500" s="334"/>
      <c r="Q500" s="334"/>
      <c r="R500" s="334"/>
      <c r="S500" s="334"/>
      <c r="T500" s="334"/>
      <c r="U500" s="334"/>
      <c r="V500" s="334"/>
      <c r="W500" s="334"/>
      <c r="X500" s="334"/>
      <c r="Y500" s="334"/>
    </row>
    <row r="501" spans="1:25">
      <c r="A501" s="334"/>
      <c r="B501" s="334"/>
      <c r="C501" s="334"/>
      <c r="D501" s="334"/>
      <c r="E501" s="334"/>
      <c r="F501" s="334"/>
      <c r="G501" s="334"/>
      <c r="H501" s="334"/>
      <c r="I501" s="334"/>
      <c r="J501" s="334"/>
      <c r="K501" s="334"/>
      <c r="L501" s="334"/>
      <c r="M501" s="334"/>
      <c r="N501" s="334"/>
      <c r="O501" s="334"/>
      <c r="P501" s="334"/>
      <c r="Q501" s="334"/>
      <c r="R501" s="334"/>
      <c r="S501" s="334"/>
      <c r="T501" s="334"/>
      <c r="U501" s="334"/>
      <c r="V501" s="334"/>
      <c r="W501" s="334"/>
      <c r="X501" s="334"/>
      <c r="Y501" s="334"/>
    </row>
    <row r="502" spans="1:25">
      <c r="A502" s="334"/>
      <c r="B502" s="334"/>
      <c r="C502" s="334"/>
      <c r="D502" s="334"/>
      <c r="E502" s="334"/>
      <c r="F502" s="334"/>
      <c r="G502" s="334"/>
      <c r="H502" s="334"/>
      <c r="I502" s="334"/>
      <c r="J502" s="334"/>
      <c r="K502" s="334"/>
      <c r="L502" s="334"/>
      <c r="M502" s="334"/>
      <c r="N502" s="334"/>
      <c r="O502" s="334"/>
      <c r="P502" s="334"/>
      <c r="Q502" s="334"/>
      <c r="R502" s="334"/>
      <c r="S502" s="334"/>
      <c r="T502" s="334"/>
      <c r="U502" s="334"/>
      <c r="V502" s="334"/>
      <c r="W502" s="334"/>
      <c r="X502" s="334"/>
      <c r="Y502" s="334"/>
    </row>
    <row r="503" spans="1:25">
      <c r="A503" s="334"/>
      <c r="B503" s="334"/>
      <c r="C503" s="334"/>
      <c r="D503" s="334"/>
      <c r="E503" s="334"/>
      <c r="F503" s="334"/>
      <c r="G503" s="334"/>
      <c r="H503" s="334"/>
      <c r="I503" s="334"/>
      <c r="J503" s="334"/>
      <c r="K503" s="334"/>
      <c r="L503" s="334"/>
      <c r="M503" s="334"/>
      <c r="N503" s="334"/>
      <c r="O503" s="334"/>
      <c r="P503" s="334"/>
      <c r="Q503" s="334"/>
      <c r="R503" s="334"/>
      <c r="S503" s="334"/>
      <c r="T503" s="334"/>
      <c r="U503" s="334"/>
      <c r="V503" s="334"/>
      <c r="W503" s="334"/>
      <c r="X503" s="334"/>
      <c r="Y503" s="334"/>
    </row>
    <row r="504" spans="1:25">
      <c r="A504" s="334"/>
      <c r="B504" s="334"/>
      <c r="C504" s="334"/>
      <c r="D504" s="334"/>
      <c r="E504" s="334"/>
      <c r="F504" s="334"/>
      <c r="G504" s="334"/>
      <c r="H504" s="334"/>
      <c r="I504" s="334"/>
      <c r="J504" s="334"/>
      <c r="K504" s="334"/>
      <c r="L504" s="334"/>
      <c r="M504" s="334"/>
      <c r="N504" s="334"/>
      <c r="O504" s="334"/>
      <c r="P504" s="334"/>
      <c r="Q504" s="334"/>
      <c r="R504" s="334"/>
      <c r="S504" s="334"/>
      <c r="T504" s="334"/>
      <c r="U504" s="334"/>
      <c r="V504" s="334"/>
      <c r="W504" s="334"/>
      <c r="X504" s="334"/>
      <c r="Y504" s="334"/>
    </row>
    <row r="505" spans="1:25">
      <c r="A505" s="334"/>
      <c r="B505" s="334"/>
      <c r="C505" s="334"/>
      <c r="D505" s="334"/>
      <c r="E505" s="334"/>
      <c r="F505" s="334"/>
      <c r="G505" s="334"/>
      <c r="H505" s="334"/>
      <c r="I505" s="334"/>
      <c r="J505" s="334"/>
      <c r="K505" s="334"/>
      <c r="L505" s="334"/>
      <c r="M505" s="334"/>
      <c r="N505" s="334"/>
      <c r="O505" s="334"/>
      <c r="P505" s="334"/>
      <c r="Q505" s="334"/>
      <c r="R505" s="334"/>
      <c r="S505" s="334"/>
      <c r="T505" s="334"/>
      <c r="U505" s="334"/>
      <c r="V505" s="334"/>
      <c r="W505" s="334"/>
      <c r="X505" s="334"/>
      <c r="Y505" s="334"/>
    </row>
    <row r="506" spans="1:25">
      <c r="A506" s="334"/>
      <c r="B506" s="334"/>
      <c r="C506" s="334"/>
      <c r="D506" s="334"/>
      <c r="E506" s="334"/>
      <c r="F506" s="334"/>
      <c r="G506" s="334"/>
      <c r="H506" s="334"/>
      <c r="I506" s="334"/>
      <c r="J506" s="334"/>
      <c r="K506" s="334"/>
      <c r="L506" s="334"/>
      <c r="M506" s="334"/>
      <c r="N506" s="334"/>
      <c r="O506" s="334"/>
      <c r="P506" s="334"/>
      <c r="Q506" s="334"/>
      <c r="R506" s="334"/>
      <c r="S506" s="334"/>
      <c r="T506" s="334"/>
      <c r="U506" s="334"/>
      <c r="V506" s="334"/>
      <c r="W506" s="334"/>
      <c r="X506" s="334"/>
      <c r="Y506" s="334"/>
    </row>
    <row r="507" spans="1:25">
      <c r="A507" s="334"/>
      <c r="B507" s="334"/>
      <c r="C507" s="334"/>
      <c r="D507" s="334"/>
      <c r="E507" s="334"/>
      <c r="F507" s="334"/>
      <c r="G507" s="334"/>
      <c r="H507" s="334"/>
      <c r="I507" s="334"/>
      <c r="J507" s="334"/>
      <c r="K507" s="334"/>
      <c r="L507" s="334"/>
      <c r="M507" s="334"/>
      <c r="N507" s="334"/>
      <c r="O507" s="334"/>
      <c r="P507" s="334"/>
      <c r="Q507" s="334"/>
      <c r="R507" s="334"/>
      <c r="S507" s="334"/>
      <c r="T507" s="334"/>
      <c r="U507" s="334"/>
      <c r="V507" s="334"/>
      <c r="W507" s="334"/>
      <c r="X507" s="334"/>
      <c r="Y507" s="334"/>
    </row>
    <row r="508" spans="1:25">
      <c r="A508" s="334"/>
      <c r="B508" s="334"/>
      <c r="C508" s="334"/>
      <c r="D508" s="334"/>
      <c r="E508" s="334"/>
      <c r="F508" s="334"/>
      <c r="G508" s="334"/>
      <c r="H508" s="334"/>
      <c r="I508" s="334"/>
      <c r="J508" s="334"/>
      <c r="K508" s="334"/>
      <c r="L508" s="334"/>
      <c r="M508" s="334"/>
      <c r="N508" s="334"/>
      <c r="O508" s="334"/>
      <c r="P508" s="334"/>
      <c r="Q508" s="334"/>
      <c r="R508" s="334"/>
      <c r="S508" s="334"/>
      <c r="T508" s="334"/>
      <c r="U508" s="334"/>
      <c r="V508" s="334"/>
      <c r="W508" s="334"/>
      <c r="X508" s="334"/>
      <c r="Y508" s="334"/>
    </row>
    <row r="509" spans="1:25">
      <c r="A509" s="334"/>
      <c r="B509" s="334"/>
      <c r="C509" s="334"/>
      <c r="D509" s="334"/>
      <c r="E509" s="334"/>
      <c r="F509" s="334"/>
      <c r="G509" s="334"/>
      <c r="H509" s="334"/>
      <c r="I509" s="334"/>
      <c r="J509" s="334"/>
      <c r="K509" s="334"/>
      <c r="L509" s="334"/>
      <c r="M509" s="334"/>
      <c r="N509" s="334"/>
      <c r="O509" s="334"/>
      <c r="P509" s="334"/>
      <c r="Q509" s="334"/>
      <c r="R509" s="334"/>
      <c r="S509" s="334"/>
      <c r="T509" s="334"/>
      <c r="U509" s="334"/>
      <c r="V509" s="334"/>
      <c r="W509" s="334"/>
      <c r="X509" s="334"/>
      <c r="Y509" s="334"/>
    </row>
    <row r="510" spans="1:25">
      <c r="A510" s="334"/>
      <c r="B510" s="334"/>
      <c r="C510" s="334"/>
      <c r="D510" s="334"/>
      <c r="E510" s="334"/>
      <c r="F510" s="334"/>
      <c r="G510" s="334"/>
      <c r="H510" s="334"/>
      <c r="I510" s="334"/>
      <c r="J510" s="334"/>
      <c r="K510" s="334"/>
      <c r="L510" s="334"/>
      <c r="M510" s="334"/>
      <c r="N510" s="334"/>
      <c r="O510" s="334"/>
      <c r="P510" s="334"/>
      <c r="Q510" s="334"/>
      <c r="R510" s="334"/>
      <c r="S510" s="334"/>
      <c r="T510" s="334"/>
      <c r="U510" s="334"/>
      <c r="V510" s="334"/>
      <c r="W510" s="334"/>
      <c r="X510" s="334"/>
      <c r="Y510" s="334"/>
    </row>
    <row r="511" spans="1:25">
      <c r="A511" s="334"/>
      <c r="B511" s="334"/>
      <c r="C511" s="334"/>
      <c r="D511" s="334"/>
      <c r="E511" s="334"/>
      <c r="F511" s="334"/>
      <c r="G511" s="334"/>
      <c r="H511" s="334"/>
      <c r="I511" s="334"/>
      <c r="J511" s="334"/>
      <c r="K511" s="334"/>
      <c r="L511" s="334"/>
      <c r="M511" s="334"/>
      <c r="N511" s="334"/>
      <c r="O511" s="334"/>
      <c r="P511" s="334"/>
      <c r="Q511" s="334"/>
      <c r="R511" s="334"/>
      <c r="S511" s="334"/>
      <c r="T511" s="334"/>
      <c r="U511" s="334"/>
      <c r="V511" s="334"/>
      <c r="W511" s="334"/>
      <c r="X511" s="334"/>
      <c r="Y511" s="334"/>
    </row>
    <row r="512" spans="1:25">
      <c r="A512" s="334"/>
      <c r="B512" s="334"/>
      <c r="C512" s="334"/>
      <c r="D512" s="334"/>
      <c r="E512" s="334"/>
      <c r="F512" s="334"/>
      <c r="G512" s="334"/>
      <c r="H512" s="334"/>
      <c r="I512" s="334"/>
      <c r="J512" s="334"/>
      <c r="K512" s="334"/>
      <c r="L512" s="334"/>
      <c r="M512" s="334"/>
      <c r="N512" s="334"/>
      <c r="O512" s="334"/>
      <c r="P512" s="334"/>
      <c r="Q512" s="334"/>
      <c r="R512" s="334"/>
      <c r="S512" s="334"/>
      <c r="T512" s="334"/>
      <c r="U512" s="334"/>
      <c r="V512" s="334"/>
      <c r="W512" s="334"/>
      <c r="X512" s="334"/>
      <c r="Y512" s="334"/>
    </row>
    <row r="513" spans="1:25">
      <c r="A513" s="334"/>
      <c r="B513" s="334"/>
      <c r="C513" s="334"/>
      <c r="D513" s="334"/>
      <c r="E513" s="334"/>
      <c r="F513" s="334"/>
      <c r="G513" s="334"/>
      <c r="H513" s="334"/>
      <c r="I513" s="334"/>
      <c r="J513" s="334"/>
      <c r="K513" s="334"/>
      <c r="L513" s="334"/>
      <c r="M513" s="334"/>
      <c r="N513" s="334"/>
      <c r="O513" s="334"/>
      <c r="P513" s="334"/>
      <c r="Q513" s="334"/>
      <c r="R513" s="334"/>
      <c r="S513" s="334"/>
      <c r="T513" s="334"/>
      <c r="U513" s="334"/>
      <c r="V513" s="334"/>
      <c r="W513" s="334"/>
      <c r="X513" s="334"/>
      <c r="Y513" s="334"/>
    </row>
    <row r="514" spans="1:25">
      <c r="A514" s="334"/>
      <c r="B514" s="334"/>
      <c r="C514" s="334"/>
      <c r="D514" s="334"/>
      <c r="E514" s="334"/>
      <c r="F514" s="334"/>
      <c r="G514" s="334"/>
      <c r="H514" s="334"/>
      <c r="I514" s="334"/>
      <c r="J514" s="334"/>
      <c r="K514" s="334"/>
      <c r="L514" s="334"/>
      <c r="M514" s="334"/>
      <c r="N514" s="334"/>
      <c r="O514" s="334"/>
      <c r="P514" s="334"/>
      <c r="Q514" s="334"/>
      <c r="R514" s="334"/>
      <c r="S514" s="334"/>
      <c r="T514" s="334"/>
      <c r="U514" s="334"/>
      <c r="V514" s="334"/>
      <c r="W514" s="334"/>
      <c r="X514" s="334"/>
      <c r="Y514" s="334"/>
    </row>
    <row r="515" spans="1:25">
      <c r="A515" s="334"/>
      <c r="B515" s="334"/>
      <c r="C515" s="334"/>
      <c r="D515" s="334"/>
      <c r="E515" s="334"/>
      <c r="F515" s="334"/>
      <c r="G515" s="334"/>
      <c r="H515" s="334"/>
      <c r="I515" s="334"/>
      <c r="J515" s="334"/>
      <c r="K515" s="334"/>
      <c r="L515" s="334"/>
      <c r="M515" s="334"/>
      <c r="N515" s="334"/>
      <c r="O515" s="334"/>
      <c r="P515" s="334"/>
      <c r="Q515" s="334"/>
      <c r="R515" s="334"/>
      <c r="S515" s="334"/>
      <c r="T515" s="334"/>
      <c r="U515" s="334"/>
      <c r="V515" s="334"/>
      <c r="W515" s="334"/>
      <c r="X515" s="334"/>
      <c r="Y515" s="334"/>
    </row>
    <row r="516" spans="1:25">
      <c r="A516" s="334"/>
      <c r="B516" s="334"/>
      <c r="C516" s="334"/>
      <c r="D516" s="334"/>
      <c r="E516" s="334"/>
      <c r="F516" s="334"/>
      <c r="G516" s="334"/>
      <c r="H516" s="334"/>
      <c r="I516" s="334"/>
      <c r="J516" s="334"/>
      <c r="K516" s="334"/>
      <c r="L516" s="334"/>
      <c r="M516" s="334"/>
      <c r="N516" s="334"/>
      <c r="O516" s="334"/>
      <c r="P516" s="334"/>
      <c r="Q516" s="334"/>
      <c r="R516" s="334"/>
      <c r="S516" s="334"/>
      <c r="T516" s="334"/>
      <c r="U516" s="334"/>
      <c r="V516" s="334"/>
      <c r="W516" s="334"/>
      <c r="X516" s="334"/>
      <c r="Y516" s="334"/>
    </row>
    <row r="517" spans="1:25">
      <c r="A517" s="334"/>
      <c r="B517" s="334"/>
      <c r="C517" s="334"/>
      <c r="D517" s="334"/>
      <c r="E517" s="334"/>
      <c r="F517" s="334"/>
      <c r="G517" s="334"/>
      <c r="H517" s="334"/>
      <c r="I517" s="334"/>
      <c r="J517" s="334"/>
      <c r="K517" s="334"/>
      <c r="L517" s="334"/>
      <c r="M517" s="334"/>
      <c r="N517" s="334"/>
      <c r="O517" s="334"/>
      <c r="P517" s="334"/>
      <c r="Q517" s="334"/>
      <c r="R517" s="334"/>
      <c r="S517" s="334"/>
      <c r="T517" s="334"/>
      <c r="U517" s="334"/>
      <c r="V517" s="334"/>
      <c r="W517" s="334"/>
      <c r="X517" s="334"/>
      <c r="Y517" s="334"/>
    </row>
    <row r="518" spans="1:25">
      <c r="A518" s="334"/>
      <c r="B518" s="334"/>
      <c r="C518" s="334"/>
      <c r="D518" s="334"/>
      <c r="E518" s="334"/>
      <c r="F518" s="334"/>
      <c r="G518" s="334"/>
      <c r="H518" s="334"/>
      <c r="I518" s="334"/>
      <c r="J518" s="334"/>
      <c r="K518" s="334"/>
      <c r="L518" s="334"/>
      <c r="M518" s="334"/>
      <c r="N518" s="334"/>
      <c r="O518" s="334"/>
      <c r="P518" s="334"/>
      <c r="Q518" s="334"/>
      <c r="R518" s="334"/>
      <c r="S518" s="334"/>
      <c r="T518" s="334"/>
      <c r="U518" s="334"/>
      <c r="V518" s="334"/>
      <c r="W518" s="334"/>
      <c r="X518" s="334"/>
      <c r="Y518" s="334"/>
    </row>
    <row r="519" spans="1:25">
      <c r="A519" s="334"/>
      <c r="B519" s="334"/>
      <c r="C519" s="334"/>
      <c r="D519" s="334"/>
      <c r="E519" s="334"/>
      <c r="F519" s="334"/>
      <c r="G519" s="334"/>
      <c r="H519" s="334"/>
      <c r="I519" s="334"/>
      <c r="J519" s="334"/>
      <c r="K519" s="334"/>
      <c r="L519" s="334"/>
      <c r="M519" s="334"/>
      <c r="N519" s="334"/>
      <c r="O519" s="334"/>
      <c r="P519" s="334"/>
      <c r="Q519" s="334"/>
      <c r="R519" s="334"/>
      <c r="S519" s="334"/>
      <c r="T519" s="334"/>
      <c r="U519" s="334"/>
      <c r="V519" s="334"/>
      <c r="W519" s="334"/>
      <c r="X519" s="334"/>
      <c r="Y519" s="334"/>
    </row>
    <row r="520" spans="1:25">
      <c r="A520" s="334"/>
      <c r="B520" s="334"/>
      <c r="C520" s="334"/>
      <c r="D520" s="334"/>
      <c r="E520" s="334"/>
      <c r="F520" s="334"/>
      <c r="G520" s="334"/>
      <c r="H520" s="334"/>
      <c r="I520" s="334"/>
      <c r="J520" s="334"/>
      <c r="K520" s="334"/>
      <c r="L520" s="334"/>
      <c r="M520" s="334"/>
      <c r="N520" s="334"/>
      <c r="O520" s="334"/>
      <c r="P520" s="334"/>
      <c r="Q520" s="334"/>
      <c r="R520" s="334"/>
      <c r="S520" s="334"/>
      <c r="T520" s="334"/>
      <c r="U520" s="334"/>
      <c r="V520" s="334"/>
      <c r="W520" s="334"/>
      <c r="X520" s="334"/>
      <c r="Y520" s="334"/>
    </row>
    <row r="521" spans="1:25">
      <c r="A521" s="334"/>
      <c r="B521" s="334"/>
      <c r="C521" s="334"/>
      <c r="D521" s="334"/>
      <c r="E521" s="334"/>
      <c r="F521" s="334"/>
      <c r="G521" s="334"/>
      <c r="H521" s="334"/>
      <c r="I521" s="334"/>
      <c r="J521" s="334"/>
      <c r="K521" s="334"/>
      <c r="L521" s="334"/>
      <c r="M521" s="334"/>
      <c r="N521" s="334"/>
      <c r="O521" s="334"/>
      <c r="P521" s="334"/>
      <c r="Q521" s="334"/>
      <c r="R521" s="334"/>
      <c r="S521" s="334"/>
      <c r="T521" s="334"/>
      <c r="U521" s="334"/>
      <c r="V521" s="334"/>
      <c r="W521" s="334"/>
      <c r="X521" s="334"/>
      <c r="Y521" s="334"/>
    </row>
    <row r="522" spans="1:25">
      <c r="A522" s="334"/>
      <c r="B522" s="334"/>
      <c r="C522" s="334"/>
      <c r="D522" s="334"/>
      <c r="E522" s="334"/>
      <c r="F522" s="334"/>
      <c r="G522" s="334"/>
      <c r="H522" s="334"/>
      <c r="I522" s="334"/>
      <c r="J522" s="334"/>
      <c r="K522" s="334"/>
      <c r="L522" s="334"/>
      <c r="M522" s="334"/>
      <c r="N522" s="334"/>
      <c r="O522" s="334"/>
      <c r="P522" s="334"/>
      <c r="Q522" s="334"/>
      <c r="R522" s="334"/>
      <c r="S522" s="334"/>
      <c r="T522" s="334"/>
      <c r="U522" s="334"/>
      <c r="V522" s="334"/>
      <c r="W522" s="334"/>
      <c r="X522" s="334"/>
      <c r="Y522" s="334"/>
    </row>
    <row r="523" spans="1:25">
      <c r="A523" s="334"/>
      <c r="B523" s="334"/>
      <c r="C523" s="334"/>
      <c r="D523" s="334"/>
      <c r="E523" s="334"/>
      <c r="F523" s="334"/>
      <c r="G523" s="334"/>
      <c r="H523" s="334"/>
      <c r="I523" s="334"/>
      <c r="J523" s="334"/>
      <c r="K523" s="334"/>
      <c r="L523" s="334"/>
      <c r="M523" s="334"/>
      <c r="N523" s="334"/>
      <c r="O523" s="334"/>
      <c r="P523" s="334"/>
      <c r="Q523" s="334"/>
      <c r="R523" s="334"/>
      <c r="S523" s="334"/>
      <c r="T523" s="334"/>
      <c r="U523" s="334"/>
      <c r="V523" s="334"/>
      <c r="W523" s="334"/>
      <c r="X523" s="334"/>
      <c r="Y523" s="334"/>
    </row>
    <row r="524" spans="1:25">
      <c r="A524" s="334"/>
      <c r="B524" s="334"/>
      <c r="C524" s="334"/>
      <c r="D524" s="334"/>
      <c r="E524" s="334"/>
      <c r="F524" s="334"/>
      <c r="G524" s="334"/>
      <c r="H524" s="334"/>
      <c r="I524" s="334"/>
      <c r="J524" s="334"/>
      <c r="K524" s="334"/>
      <c r="L524" s="334"/>
      <c r="M524" s="334"/>
      <c r="N524" s="334"/>
      <c r="O524" s="334"/>
      <c r="P524" s="334"/>
      <c r="Q524" s="334"/>
      <c r="R524" s="334"/>
      <c r="S524" s="334"/>
      <c r="T524" s="334"/>
      <c r="U524" s="334"/>
      <c r="V524" s="334"/>
      <c r="W524" s="334"/>
      <c r="X524" s="334"/>
      <c r="Y524" s="334"/>
    </row>
    <row r="525" spans="1:25">
      <c r="A525" s="334"/>
      <c r="B525" s="334"/>
      <c r="C525" s="334"/>
      <c r="D525" s="334"/>
      <c r="E525" s="334"/>
      <c r="F525" s="334"/>
      <c r="G525" s="334"/>
      <c r="H525" s="334"/>
      <c r="I525" s="334"/>
      <c r="J525" s="334"/>
      <c r="K525" s="334"/>
      <c r="L525" s="334"/>
      <c r="M525" s="334"/>
      <c r="N525" s="334"/>
      <c r="O525" s="334"/>
      <c r="P525" s="334"/>
      <c r="Q525" s="334"/>
      <c r="R525" s="334"/>
      <c r="S525" s="334"/>
      <c r="T525" s="334"/>
      <c r="U525" s="334"/>
      <c r="V525" s="334"/>
      <c r="W525" s="334"/>
      <c r="X525" s="334"/>
      <c r="Y525" s="334"/>
    </row>
    <row r="526" spans="1:25">
      <c r="A526" s="334"/>
      <c r="B526" s="334"/>
      <c r="C526" s="334"/>
      <c r="D526" s="334"/>
      <c r="E526" s="334"/>
      <c r="F526" s="334"/>
      <c r="G526" s="334"/>
      <c r="H526" s="334"/>
      <c r="I526" s="334"/>
      <c r="J526" s="334"/>
      <c r="K526" s="334"/>
      <c r="L526" s="334"/>
      <c r="M526" s="334"/>
      <c r="N526" s="334"/>
      <c r="O526" s="334"/>
      <c r="P526" s="334"/>
      <c r="Q526" s="334"/>
      <c r="R526" s="334"/>
      <c r="S526" s="334"/>
      <c r="T526" s="334"/>
      <c r="U526" s="334"/>
      <c r="V526" s="334"/>
      <c r="W526" s="334"/>
      <c r="X526" s="334"/>
      <c r="Y526" s="334"/>
    </row>
    <row r="527" spans="1:25">
      <c r="A527" s="334"/>
      <c r="B527" s="334"/>
      <c r="C527" s="334"/>
      <c r="D527" s="334"/>
      <c r="E527" s="334"/>
      <c r="F527" s="334"/>
      <c r="G527" s="334"/>
      <c r="H527" s="334"/>
      <c r="I527" s="334"/>
      <c r="J527" s="334"/>
      <c r="K527" s="334"/>
      <c r="L527" s="334"/>
      <c r="M527" s="334"/>
      <c r="N527" s="334"/>
      <c r="O527" s="334"/>
      <c r="P527" s="334"/>
      <c r="Q527" s="334"/>
      <c r="R527" s="334"/>
      <c r="S527" s="334"/>
      <c r="T527" s="334"/>
      <c r="U527" s="334"/>
      <c r="V527" s="334"/>
      <c r="W527" s="334"/>
      <c r="X527" s="334"/>
      <c r="Y527" s="334"/>
    </row>
    <row r="528" spans="1:25">
      <c r="A528" s="334"/>
      <c r="B528" s="334"/>
      <c r="C528" s="334"/>
      <c r="D528" s="334"/>
      <c r="E528" s="334"/>
      <c r="F528" s="334"/>
      <c r="G528" s="334"/>
      <c r="H528" s="334"/>
      <c r="I528" s="334"/>
      <c r="J528" s="334"/>
      <c r="K528" s="334"/>
      <c r="L528" s="334"/>
      <c r="M528" s="334"/>
      <c r="N528" s="334"/>
      <c r="O528" s="334"/>
      <c r="P528" s="334"/>
      <c r="Q528" s="334"/>
      <c r="R528" s="334"/>
      <c r="S528" s="334"/>
      <c r="T528" s="334"/>
      <c r="U528" s="334"/>
      <c r="V528" s="334"/>
      <c r="W528" s="334"/>
      <c r="X528" s="334"/>
      <c r="Y528" s="334"/>
    </row>
    <row r="529" spans="1:25">
      <c r="A529" s="334"/>
      <c r="B529" s="334"/>
      <c r="C529" s="334"/>
      <c r="D529" s="334"/>
      <c r="E529" s="334"/>
      <c r="F529" s="334"/>
      <c r="G529" s="334"/>
      <c r="H529" s="334"/>
      <c r="I529" s="334"/>
      <c r="J529" s="334"/>
      <c r="K529" s="334"/>
      <c r="L529" s="334"/>
      <c r="M529" s="334"/>
      <c r="N529" s="334"/>
      <c r="O529" s="334"/>
      <c r="P529" s="334"/>
      <c r="Q529" s="334"/>
      <c r="R529" s="334"/>
      <c r="S529" s="334"/>
      <c r="T529" s="334"/>
      <c r="U529" s="334"/>
      <c r="V529" s="334"/>
      <c r="W529" s="334"/>
      <c r="X529" s="334"/>
      <c r="Y529" s="334"/>
    </row>
    <row r="530" spans="1:25">
      <c r="A530" s="334"/>
      <c r="B530" s="334"/>
      <c r="C530" s="334"/>
      <c r="D530" s="334"/>
      <c r="E530" s="334"/>
      <c r="F530" s="334"/>
      <c r="G530" s="334"/>
      <c r="H530" s="334"/>
      <c r="I530" s="334"/>
      <c r="J530" s="334"/>
      <c r="K530" s="334"/>
      <c r="L530" s="334"/>
      <c r="M530" s="334"/>
      <c r="N530" s="334"/>
      <c r="O530" s="334"/>
      <c r="P530" s="334"/>
      <c r="Q530" s="334"/>
      <c r="R530" s="334"/>
      <c r="S530" s="334"/>
      <c r="T530" s="334"/>
      <c r="U530" s="334"/>
      <c r="V530" s="334"/>
      <c r="W530" s="334"/>
      <c r="X530" s="334"/>
      <c r="Y530" s="334"/>
    </row>
    <row r="531" spans="1:25">
      <c r="A531" s="334"/>
      <c r="B531" s="334"/>
      <c r="C531" s="334"/>
      <c r="D531" s="334"/>
      <c r="E531" s="334"/>
      <c r="F531" s="334"/>
      <c r="G531" s="334"/>
      <c r="H531" s="334"/>
      <c r="I531" s="334"/>
      <c r="J531" s="334"/>
      <c r="K531" s="334"/>
      <c r="L531" s="334"/>
      <c r="M531" s="334"/>
      <c r="N531" s="334"/>
      <c r="O531" s="334"/>
      <c r="P531" s="334"/>
      <c r="Q531" s="334"/>
      <c r="R531" s="334"/>
      <c r="S531" s="334"/>
      <c r="T531" s="334"/>
      <c r="U531" s="334"/>
      <c r="V531" s="334"/>
      <c r="W531" s="334"/>
      <c r="X531" s="334"/>
      <c r="Y531" s="334"/>
    </row>
    <row r="532" spans="1:25">
      <c r="A532" s="334"/>
      <c r="B532" s="334"/>
      <c r="C532" s="334"/>
      <c r="D532" s="334"/>
      <c r="E532" s="334"/>
      <c r="F532" s="334"/>
      <c r="G532" s="334"/>
      <c r="H532" s="334"/>
      <c r="I532" s="334"/>
      <c r="J532" s="334"/>
      <c r="K532" s="334"/>
      <c r="L532" s="334"/>
      <c r="M532" s="334"/>
      <c r="N532" s="334"/>
      <c r="O532" s="334"/>
      <c r="P532" s="334"/>
      <c r="Q532" s="334"/>
      <c r="R532" s="334"/>
      <c r="S532" s="334"/>
      <c r="T532" s="334"/>
      <c r="U532" s="334"/>
      <c r="V532" s="334"/>
      <c r="W532" s="334"/>
      <c r="X532" s="334"/>
      <c r="Y532" s="334"/>
    </row>
    <row r="533" spans="1:25">
      <c r="A533" s="334"/>
      <c r="B533" s="334"/>
      <c r="C533" s="334"/>
      <c r="D533" s="334"/>
      <c r="E533" s="334"/>
      <c r="F533" s="334"/>
      <c r="G533" s="334"/>
      <c r="H533" s="334"/>
      <c r="I533" s="334"/>
      <c r="J533" s="334"/>
      <c r="K533" s="334"/>
      <c r="L533" s="334"/>
      <c r="M533" s="334"/>
      <c r="N533" s="334"/>
      <c r="O533" s="334"/>
      <c r="P533" s="334"/>
      <c r="Q533" s="334"/>
      <c r="R533" s="334"/>
      <c r="S533" s="334"/>
      <c r="T533" s="334"/>
      <c r="U533" s="334"/>
      <c r="V533" s="334"/>
      <c r="W533" s="334"/>
      <c r="X533" s="334"/>
      <c r="Y533" s="334"/>
    </row>
    <row r="534" spans="1:25">
      <c r="A534" s="334"/>
      <c r="B534" s="334"/>
      <c r="C534" s="334"/>
      <c r="D534" s="334"/>
      <c r="E534" s="334"/>
      <c r="F534" s="334"/>
      <c r="G534" s="334"/>
      <c r="H534" s="334"/>
      <c r="I534" s="334"/>
      <c r="J534" s="334"/>
      <c r="K534" s="334"/>
      <c r="L534" s="334"/>
      <c r="M534" s="334"/>
      <c r="N534" s="334"/>
      <c r="O534" s="334"/>
      <c r="P534" s="334"/>
      <c r="Q534" s="334"/>
      <c r="R534" s="334"/>
      <c r="S534" s="334"/>
      <c r="T534" s="334"/>
      <c r="U534" s="334"/>
      <c r="V534" s="334"/>
      <c r="W534" s="334"/>
      <c r="X534" s="334"/>
      <c r="Y534" s="334"/>
    </row>
    <row r="535" spans="1:25">
      <c r="A535" s="334"/>
      <c r="B535" s="334"/>
      <c r="C535" s="334"/>
      <c r="D535" s="334"/>
      <c r="E535" s="334"/>
      <c r="F535" s="334"/>
      <c r="G535" s="334"/>
      <c r="H535" s="334"/>
      <c r="I535" s="334"/>
      <c r="J535" s="334"/>
      <c r="K535" s="334"/>
      <c r="L535" s="334"/>
      <c r="M535" s="334"/>
      <c r="N535" s="334"/>
      <c r="O535" s="334"/>
      <c r="P535" s="334"/>
      <c r="Q535" s="334"/>
      <c r="R535" s="334"/>
      <c r="S535" s="334"/>
      <c r="T535" s="334"/>
      <c r="U535" s="334"/>
      <c r="V535" s="334"/>
      <c r="W535" s="334"/>
      <c r="X535" s="334"/>
      <c r="Y535" s="334"/>
    </row>
    <row r="536" spans="1:25">
      <c r="A536" s="334"/>
      <c r="B536" s="334"/>
      <c r="C536" s="334"/>
      <c r="D536" s="334"/>
      <c r="E536" s="334"/>
      <c r="F536" s="334"/>
      <c r="G536" s="334"/>
      <c r="H536" s="334"/>
      <c r="I536" s="334"/>
      <c r="J536" s="334"/>
      <c r="K536" s="334"/>
      <c r="L536" s="334"/>
      <c r="M536" s="334"/>
      <c r="N536" s="334"/>
      <c r="O536" s="334"/>
      <c r="P536" s="334"/>
      <c r="Q536" s="334"/>
      <c r="R536" s="334"/>
      <c r="S536" s="334"/>
      <c r="T536" s="334"/>
      <c r="U536" s="334"/>
      <c r="V536" s="334"/>
      <c r="W536" s="334"/>
      <c r="X536" s="334"/>
      <c r="Y536" s="334"/>
    </row>
    <row r="537" spans="1:25">
      <c r="A537" s="334"/>
      <c r="B537" s="334"/>
      <c r="C537" s="334"/>
      <c r="D537" s="334"/>
      <c r="E537" s="334"/>
      <c r="F537" s="334"/>
      <c r="G537" s="334"/>
      <c r="H537" s="334"/>
      <c r="I537" s="334"/>
      <c r="J537" s="334"/>
      <c r="K537" s="334"/>
      <c r="L537" s="334"/>
      <c r="M537" s="334"/>
      <c r="N537" s="334"/>
      <c r="O537" s="334"/>
      <c r="P537" s="334"/>
      <c r="Q537" s="334"/>
      <c r="R537" s="334"/>
      <c r="S537" s="334"/>
      <c r="T537" s="334"/>
      <c r="U537" s="334"/>
      <c r="V537" s="334"/>
      <c r="W537" s="334"/>
      <c r="X537" s="334"/>
      <c r="Y537" s="334"/>
    </row>
    <row r="538" spans="1:25">
      <c r="A538" s="334"/>
      <c r="B538" s="334"/>
      <c r="C538" s="334"/>
      <c r="D538" s="334"/>
      <c r="E538" s="334"/>
      <c r="F538" s="334"/>
      <c r="G538" s="334"/>
      <c r="H538" s="334"/>
      <c r="I538" s="334"/>
      <c r="J538" s="334"/>
      <c r="K538" s="334"/>
      <c r="L538" s="334"/>
      <c r="M538" s="334"/>
      <c r="N538" s="334"/>
      <c r="O538" s="334"/>
      <c r="P538" s="334"/>
      <c r="Q538" s="334"/>
      <c r="R538" s="334"/>
      <c r="S538" s="334"/>
      <c r="T538" s="334"/>
      <c r="U538" s="334"/>
      <c r="V538" s="334"/>
      <c r="W538" s="334"/>
      <c r="X538" s="334"/>
      <c r="Y538" s="334"/>
    </row>
    <row r="539" spans="1:25">
      <c r="A539" s="334"/>
      <c r="B539" s="334"/>
      <c r="C539" s="334"/>
      <c r="D539" s="334"/>
      <c r="E539" s="334"/>
      <c r="F539" s="334"/>
      <c r="G539" s="334"/>
      <c r="H539" s="334"/>
      <c r="I539" s="334"/>
      <c r="J539" s="334"/>
      <c r="K539" s="334"/>
      <c r="L539" s="334"/>
      <c r="M539" s="334"/>
      <c r="N539" s="334"/>
      <c r="O539" s="334"/>
      <c r="P539" s="334"/>
      <c r="Q539" s="334"/>
      <c r="R539" s="334"/>
      <c r="S539" s="334"/>
      <c r="T539" s="334"/>
      <c r="U539" s="334"/>
      <c r="V539" s="334"/>
      <c r="W539" s="334"/>
      <c r="X539" s="334"/>
      <c r="Y539" s="334"/>
    </row>
    <row r="540" spans="1:25">
      <c r="A540" s="334"/>
      <c r="B540" s="334"/>
      <c r="C540" s="334"/>
      <c r="D540" s="334"/>
      <c r="E540" s="334"/>
      <c r="F540" s="334"/>
      <c r="G540" s="334"/>
      <c r="H540" s="334"/>
      <c r="I540" s="334"/>
      <c r="J540" s="334"/>
      <c r="K540" s="334"/>
      <c r="L540" s="334"/>
      <c r="M540" s="334"/>
      <c r="N540" s="334"/>
      <c r="O540" s="334"/>
      <c r="P540" s="334"/>
      <c r="Q540" s="334"/>
      <c r="R540" s="334"/>
      <c r="S540" s="334"/>
      <c r="T540" s="334"/>
      <c r="U540" s="334"/>
      <c r="V540" s="334"/>
      <c r="W540" s="334"/>
      <c r="X540" s="334"/>
      <c r="Y540" s="334"/>
    </row>
    <row r="541" spans="1:25">
      <c r="A541" s="334"/>
      <c r="B541" s="334"/>
      <c r="C541" s="334"/>
      <c r="D541" s="334"/>
      <c r="E541" s="334"/>
      <c r="F541" s="334"/>
      <c r="G541" s="334"/>
      <c r="H541" s="334"/>
      <c r="I541" s="334"/>
      <c r="J541" s="334"/>
      <c r="K541" s="334"/>
      <c r="L541" s="334"/>
      <c r="M541" s="334"/>
      <c r="N541" s="334"/>
      <c r="O541" s="334"/>
      <c r="P541" s="334"/>
      <c r="Q541" s="334"/>
      <c r="R541" s="334"/>
      <c r="S541" s="334"/>
      <c r="T541" s="334"/>
      <c r="U541" s="334"/>
      <c r="V541" s="334"/>
      <c r="W541" s="334"/>
      <c r="X541" s="334"/>
      <c r="Y541" s="334"/>
    </row>
    <row r="542" spans="1:25">
      <c r="A542" s="334"/>
      <c r="B542" s="334"/>
      <c r="C542" s="334"/>
      <c r="D542" s="334"/>
      <c r="E542" s="334"/>
      <c r="F542" s="334"/>
      <c r="G542" s="334"/>
      <c r="H542" s="334"/>
      <c r="I542" s="334"/>
      <c r="J542" s="334"/>
      <c r="K542" s="334"/>
      <c r="L542" s="334"/>
      <c r="M542" s="334"/>
      <c r="N542" s="334"/>
      <c r="O542" s="334"/>
      <c r="P542" s="334"/>
      <c r="Q542" s="334"/>
      <c r="R542" s="334"/>
      <c r="S542" s="334"/>
      <c r="T542" s="334"/>
      <c r="U542" s="334"/>
      <c r="V542" s="334"/>
      <c r="W542" s="334"/>
      <c r="X542" s="334"/>
      <c r="Y542" s="334"/>
    </row>
    <row r="543" spans="1:25">
      <c r="A543" s="334"/>
      <c r="B543" s="334"/>
      <c r="C543" s="334"/>
      <c r="D543" s="334"/>
      <c r="E543" s="334"/>
      <c r="F543" s="334"/>
      <c r="G543" s="334"/>
      <c r="H543" s="334"/>
      <c r="I543" s="334"/>
      <c r="J543" s="334"/>
      <c r="K543" s="334"/>
      <c r="L543" s="334"/>
      <c r="M543" s="334"/>
      <c r="N543" s="334"/>
      <c r="O543" s="334"/>
      <c r="P543" s="334"/>
      <c r="Q543" s="334"/>
      <c r="R543" s="334"/>
      <c r="S543" s="334"/>
      <c r="T543" s="334"/>
      <c r="U543" s="334"/>
      <c r="V543" s="334"/>
      <c r="W543" s="334"/>
      <c r="X543" s="334"/>
      <c r="Y543" s="334"/>
    </row>
    <row r="544" spans="1:25">
      <c r="A544" s="334"/>
      <c r="B544" s="334"/>
      <c r="C544" s="334"/>
      <c r="D544" s="334"/>
      <c r="E544" s="334"/>
      <c r="F544" s="334"/>
      <c r="G544" s="334"/>
      <c r="H544" s="334"/>
      <c r="I544" s="334"/>
      <c r="J544" s="334"/>
      <c r="K544" s="334"/>
      <c r="L544" s="334"/>
      <c r="M544" s="334"/>
      <c r="N544" s="334"/>
      <c r="O544" s="334"/>
      <c r="P544" s="334"/>
      <c r="Q544" s="334"/>
      <c r="R544" s="334"/>
      <c r="S544" s="334"/>
      <c r="T544" s="334"/>
      <c r="U544" s="334"/>
      <c r="V544" s="334"/>
      <c r="W544" s="334"/>
      <c r="X544" s="334"/>
      <c r="Y544" s="334"/>
    </row>
    <row r="545" spans="1:25">
      <c r="A545" s="334"/>
      <c r="B545" s="334"/>
      <c r="C545" s="334"/>
      <c r="D545" s="334"/>
      <c r="E545" s="334"/>
      <c r="F545" s="334"/>
      <c r="G545" s="334"/>
      <c r="H545" s="334"/>
      <c r="I545" s="334"/>
      <c r="J545" s="334"/>
      <c r="K545" s="334"/>
      <c r="L545" s="334"/>
      <c r="M545" s="334"/>
      <c r="N545" s="334"/>
      <c r="O545" s="334"/>
      <c r="P545" s="334"/>
      <c r="Q545" s="334"/>
      <c r="R545" s="334"/>
      <c r="S545" s="334"/>
      <c r="T545" s="334"/>
      <c r="U545" s="334"/>
      <c r="V545" s="334"/>
      <c r="W545" s="334"/>
      <c r="X545" s="334"/>
      <c r="Y545" s="334"/>
    </row>
    <row r="546" spans="1:25">
      <c r="A546" s="334"/>
      <c r="B546" s="334"/>
      <c r="C546" s="334"/>
      <c r="D546" s="334"/>
      <c r="E546" s="334"/>
      <c r="F546" s="334"/>
      <c r="G546" s="334"/>
      <c r="H546" s="334"/>
      <c r="I546" s="334"/>
      <c r="J546" s="334"/>
      <c r="K546" s="334"/>
      <c r="L546" s="334"/>
      <c r="M546" s="334"/>
      <c r="N546" s="334"/>
      <c r="O546" s="334"/>
      <c r="P546" s="334"/>
      <c r="Q546" s="334"/>
      <c r="R546" s="334"/>
      <c r="S546" s="334"/>
      <c r="T546" s="334"/>
      <c r="U546" s="334"/>
      <c r="V546" s="334"/>
      <c r="W546" s="334"/>
      <c r="X546" s="334"/>
      <c r="Y546" s="334"/>
    </row>
    <row r="547" spans="1:25">
      <c r="A547" s="334"/>
      <c r="B547" s="334"/>
      <c r="C547" s="334"/>
      <c r="D547" s="334"/>
      <c r="E547" s="334"/>
      <c r="F547" s="334"/>
      <c r="G547" s="334"/>
      <c r="H547" s="334"/>
      <c r="I547" s="334"/>
      <c r="J547" s="334"/>
      <c r="K547" s="334"/>
      <c r="L547" s="334"/>
      <c r="M547" s="334"/>
      <c r="N547" s="334"/>
      <c r="O547" s="334"/>
      <c r="P547" s="334"/>
      <c r="Q547" s="334"/>
      <c r="R547" s="334"/>
      <c r="S547" s="334"/>
      <c r="T547" s="334"/>
      <c r="U547" s="334"/>
      <c r="V547" s="334"/>
      <c r="W547" s="334"/>
      <c r="X547" s="334"/>
      <c r="Y547" s="334"/>
    </row>
    <row r="548" spans="1:25">
      <c r="A548" s="334"/>
      <c r="B548" s="334"/>
      <c r="C548" s="334"/>
      <c r="D548" s="334"/>
      <c r="E548" s="334"/>
      <c r="F548" s="334"/>
      <c r="G548" s="334"/>
      <c r="H548" s="334"/>
      <c r="I548" s="334"/>
      <c r="J548" s="334"/>
      <c r="K548" s="334"/>
      <c r="L548" s="334"/>
      <c r="M548" s="334"/>
      <c r="N548" s="334"/>
      <c r="O548" s="334"/>
      <c r="P548" s="334"/>
      <c r="Q548" s="334"/>
      <c r="R548" s="334"/>
      <c r="S548" s="334"/>
      <c r="T548" s="334"/>
      <c r="U548" s="334"/>
      <c r="V548" s="334"/>
      <c r="W548" s="334"/>
      <c r="X548" s="334"/>
      <c r="Y548" s="334"/>
    </row>
    <row r="549" spans="1:25">
      <c r="A549" s="334"/>
      <c r="B549" s="334"/>
      <c r="C549" s="334"/>
      <c r="D549" s="334"/>
      <c r="E549" s="334"/>
      <c r="F549" s="334"/>
      <c r="G549" s="334"/>
      <c r="H549" s="334"/>
      <c r="I549" s="334"/>
      <c r="J549" s="334"/>
      <c r="K549" s="334"/>
      <c r="L549" s="334"/>
      <c r="M549" s="334"/>
      <c r="N549" s="334"/>
      <c r="O549" s="334"/>
      <c r="P549" s="334"/>
      <c r="Q549" s="334"/>
      <c r="R549" s="334"/>
      <c r="S549" s="334"/>
      <c r="T549" s="334"/>
      <c r="U549" s="334"/>
      <c r="V549" s="334"/>
      <c r="W549" s="334"/>
      <c r="X549" s="334"/>
      <c r="Y549" s="334"/>
    </row>
    <row r="550" spans="1:25">
      <c r="A550" s="334"/>
      <c r="B550" s="334"/>
      <c r="C550" s="334"/>
      <c r="D550" s="334"/>
      <c r="E550" s="334"/>
      <c r="F550" s="334"/>
      <c r="G550" s="334"/>
      <c r="H550" s="334"/>
      <c r="I550" s="334"/>
      <c r="J550" s="334"/>
      <c r="K550" s="334"/>
      <c r="L550" s="334"/>
      <c r="M550" s="334"/>
      <c r="N550" s="334"/>
      <c r="O550" s="334"/>
      <c r="P550" s="334"/>
      <c r="Q550" s="334"/>
      <c r="R550" s="334"/>
      <c r="S550" s="334"/>
      <c r="T550" s="334"/>
      <c r="U550" s="334"/>
      <c r="V550" s="334"/>
      <c r="W550" s="334"/>
      <c r="X550" s="334"/>
      <c r="Y550" s="334"/>
    </row>
    <row r="551" spans="1:25">
      <c r="A551" s="334"/>
      <c r="B551" s="334"/>
      <c r="C551" s="334"/>
      <c r="D551" s="334"/>
      <c r="E551" s="334"/>
      <c r="F551" s="334"/>
      <c r="G551" s="334"/>
      <c r="H551" s="334"/>
      <c r="I551" s="334"/>
      <c r="J551" s="334"/>
      <c r="K551" s="334"/>
      <c r="L551" s="334"/>
      <c r="M551" s="334"/>
      <c r="N551" s="334"/>
      <c r="O551" s="334"/>
      <c r="P551" s="334"/>
      <c r="Q551" s="334"/>
      <c r="R551" s="334"/>
      <c r="S551" s="334"/>
      <c r="T551" s="334"/>
      <c r="U551" s="334"/>
      <c r="V551" s="334"/>
      <c r="W551" s="334"/>
      <c r="X551" s="334"/>
      <c r="Y551" s="334"/>
    </row>
    <row r="552" spans="1:25">
      <c r="A552" s="334"/>
      <c r="B552" s="334"/>
      <c r="C552" s="334"/>
      <c r="D552" s="334"/>
      <c r="E552" s="334"/>
      <c r="F552" s="334"/>
      <c r="G552" s="334"/>
      <c r="H552" s="334"/>
      <c r="I552" s="334"/>
      <c r="J552" s="334"/>
      <c r="K552" s="334"/>
      <c r="L552" s="334"/>
      <c r="M552" s="334"/>
      <c r="N552" s="334"/>
      <c r="O552" s="334"/>
      <c r="P552" s="334"/>
      <c r="Q552" s="334"/>
      <c r="R552" s="334"/>
      <c r="S552" s="334"/>
      <c r="T552" s="334"/>
      <c r="U552" s="334"/>
      <c r="V552" s="334"/>
      <c r="W552" s="334"/>
      <c r="X552" s="334"/>
      <c r="Y552" s="334"/>
    </row>
    <row r="553" spans="1:25">
      <c r="A553" s="334"/>
      <c r="B553" s="334"/>
      <c r="C553" s="334"/>
      <c r="D553" s="334"/>
      <c r="E553" s="334"/>
      <c r="F553" s="334"/>
      <c r="G553" s="334"/>
      <c r="H553" s="334"/>
      <c r="I553" s="334"/>
      <c r="J553" s="334"/>
      <c r="K553" s="334"/>
      <c r="L553" s="334"/>
      <c r="M553" s="334"/>
      <c r="N553" s="334"/>
      <c r="O553" s="334"/>
      <c r="P553" s="334"/>
      <c r="Q553" s="334"/>
      <c r="R553" s="334"/>
      <c r="S553" s="334"/>
      <c r="T553" s="334"/>
      <c r="U553" s="334"/>
      <c r="V553" s="334"/>
      <c r="W553" s="334"/>
      <c r="X553" s="334"/>
      <c r="Y553" s="334"/>
    </row>
    <row r="554" spans="1:25">
      <c r="A554" s="334"/>
      <c r="B554" s="334"/>
      <c r="C554" s="334"/>
      <c r="D554" s="334"/>
      <c r="E554" s="334"/>
      <c r="F554" s="334"/>
      <c r="G554" s="334"/>
      <c r="H554" s="334"/>
      <c r="I554" s="334"/>
      <c r="J554" s="334"/>
      <c r="K554" s="334"/>
      <c r="L554" s="334"/>
      <c r="M554" s="334"/>
      <c r="N554" s="334"/>
      <c r="O554" s="334"/>
      <c r="P554" s="334"/>
      <c r="Q554" s="334"/>
      <c r="R554" s="334"/>
      <c r="S554" s="334"/>
      <c r="T554" s="334"/>
      <c r="U554" s="334"/>
      <c r="V554" s="334"/>
      <c r="W554" s="334"/>
      <c r="X554" s="334"/>
      <c r="Y554" s="334"/>
    </row>
    <row r="555" spans="1:25">
      <c r="A555" s="334"/>
      <c r="B555" s="334"/>
      <c r="C555" s="334"/>
      <c r="D555" s="334"/>
      <c r="E555" s="334"/>
      <c r="F555" s="334"/>
      <c r="G555" s="334"/>
      <c r="H555" s="334"/>
      <c r="I555" s="334"/>
      <c r="J555" s="334"/>
      <c r="K555" s="334"/>
      <c r="L555" s="334"/>
      <c r="M555" s="334"/>
      <c r="N555" s="334"/>
      <c r="O555" s="334"/>
      <c r="P555" s="334"/>
      <c r="Q555" s="334"/>
      <c r="R555" s="334"/>
      <c r="S555" s="334"/>
      <c r="T555" s="334"/>
      <c r="U555" s="334"/>
      <c r="V555" s="334"/>
      <c r="W555" s="334"/>
      <c r="X555" s="334"/>
      <c r="Y555" s="334"/>
    </row>
    <row r="556" spans="1:25">
      <c r="A556" s="334"/>
      <c r="B556" s="334"/>
      <c r="C556" s="334"/>
      <c r="D556" s="334"/>
      <c r="E556" s="334"/>
      <c r="F556" s="334"/>
      <c r="G556" s="334"/>
      <c r="H556" s="334"/>
      <c r="I556" s="334"/>
      <c r="J556" s="334"/>
      <c r="K556" s="334"/>
      <c r="L556" s="334"/>
      <c r="M556" s="334"/>
      <c r="N556" s="334"/>
      <c r="O556" s="334"/>
      <c r="P556" s="334"/>
      <c r="Q556" s="334"/>
      <c r="R556" s="334"/>
      <c r="S556" s="334"/>
      <c r="T556" s="334"/>
      <c r="U556" s="334"/>
      <c r="V556" s="334"/>
      <c r="W556" s="334"/>
      <c r="X556" s="334"/>
      <c r="Y556" s="334"/>
    </row>
    <row r="557" spans="1:25">
      <c r="A557" s="334"/>
      <c r="B557" s="334"/>
      <c r="C557" s="334"/>
      <c r="D557" s="334"/>
      <c r="E557" s="334"/>
      <c r="F557" s="334"/>
      <c r="G557" s="334"/>
      <c r="H557" s="334"/>
      <c r="I557" s="334"/>
      <c r="J557" s="334"/>
      <c r="K557" s="334"/>
      <c r="L557" s="334"/>
      <c r="M557" s="334"/>
      <c r="N557" s="334"/>
      <c r="O557" s="334"/>
      <c r="P557" s="334"/>
      <c r="Q557" s="334"/>
      <c r="R557" s="334"/>
      <c r="S557" s="334"/>
      <c r="T557" s="334"/>
      <c r="U557" s="334"/>
      <c r="V557" s="334"/>
      <c r="W557" s="334"/>
      <c r="X557" s="334"/>
      <c r="Y557" s="334"/>
    </row>
    <row r="558" spans="1:25">
      <c r="A558" s="334"/>
      <c r="B558" s="334"/>
      <c r="C558" s="334"/>
      <c r="D558" s="334"/>
      <c r="E558" s="334"/>
      <c r="F558" s="334"/>
      <c r="G558" s="334"/>
      <c r="H558" s="334"/>
      <c r="I558" s="334"/>
      <c r="J558" s="334"/>
      <c r="K558" s="334"/>
      <c r="L558" s="334"/>
      <c r="M558" s="334"/>
      <c r="N558" s="334"/>
      <c r="O558" s="334"/>
      <c r="P558" s="334"/>
      <c r="Q558" s="334"/>
      <c r="R558" s="334"/>
      <c r="S558" s="334"/>
      <c r="T558" s="334"/>
      <c r="U558" s="334"/>
      <c r="V558" s="334"/>
      <c r="W558" s="334"/>
      <c r="X558" s="334"/>
      <c r="Y558" s="334"/>
    </row>
    <row r="559" spans="1:25">
      <c r="A559" s="334"/>
      <c r="B559" s="334"/>
      <c r="C559" s="334"/>
      <c r="D559" s="334"/>
      <c r="E559" s="334"/>
      <c r="F559" s="334"/>
      <c r="G559" s="334"/>
      <c r="H559" s="334"/>
      <c r="I559" s="334"/>
      <c r="J559" s="334"/>
      <c r="K559" s="334"/>
      <c r="L559" s="334"/>
      <c r="M559" s="334"/>
      <c r="N559" s="334"/>
      <c r="O559" s="334"/>
      <c r="P559" s="334"/>
      <c r="Q559" s="334"/>
      <c r="R559" s="334"/>
      <c r="S559" s="334"/>
      <c r="T559" s="334"/>
      <c r="U559" s="334"/>
      <c r="V559" s="334"/>
      <c r="W559" s="334"/>
      <c r="X559" s="334"/>
      <c r="Y559" s="334"/>
    </row>
    <row r="560" spans="1:25">
      <c r="A560" s="334"/>
      <c r="B560" s="334"/>
      <c r="C560" s="334"/>
      <c r="D560" s="334"/>
      <c r="E560" s="334"/>
      <c r="F560" s="334"/>
      <c r="G560" s="334"/>
      <c r="H560" s="334"/>
      <c r="I560" s="334"/>
      <c r="J560" s="334"/>
      <c r="K560" s="334"/>
      <c r="L560" s="334"/>
      <c r="M560" s="334"/>
      <c r="N560" s="334"/>
      <c r="O560" s="334"/>
      <c r="P560" s="334"/>
      <c r="Q560" s="334"/>
      <c r="R560" s="334"/>
      <c r="S560" s="334"/>
      <c r="T560" s="334"/>
      <c r="U560" s="334"/>
      <c r="V560" s="334"/>
      <c r="W560" s="334"/>
      <c r="X560" s="334"/>
      <c r="Y560" s="334"/>
    </row>
    <row r="561" spans="1:25">
      <c r="A561" s="334"/>
      <c r="B561" s="334"/>
      <c r="C561" s="334"/>
      <c r="D561" s="334"/>
      <c r="E561" s="334"/>
      <c r="F561" s="334"/>
      <c r="G561" s="334"/>
      <c r="H561" s="334"/>
      <c r="I561" s="334"/>
      <c r="J561" s="334"/>
      <c r="K561" s="334"/>
      <c r="L561" s="334"/>
      <c r="M561" s="334"/>
      <c r="N561" s="334"/>
      <c r="O561" s="334"/>
      <c r="P561" s="334"/>
      <c r="Q561" s="334"/>
      <c r="R561" s="334"/>
      <c r="S561" s="334"/>
      <c r="T561" s="334"/>
      <c r="U561" s="334"/>
      <c r="V561" s="334"/>
      <c r="W561" s="334"/>
      <c r="X561" s="334"/>
      <c r="Y561" s="334"/>
    </row>
    <row r="562" spans="1:25">
      <c r="A562" s="334"/>
      <c r="B562" s="334"/>
      <c r="C562" s="334"/>
      <c r="D562" s="334"/>
      <c r="E562" s="334"/>
      <c r="F562" s="334"/>
      <c r="G562" s="334"/>
      <c r="H562" s="334"/>
      <c r="I562" s="334"/>
      <c r="J562" s="334"/>
      <c r="K562" s="334"/>
      <c r="L562" s="334"/>
      <c r="M562" s="334"/>
      <c r="N562" s="334"/>
      <c r="O562" s="334"/>
      <c r="P562" s="334"/>
      <c r="Q562" s="334"/>
      <c r="R562" s="334"/>
      <c r="S562" s="334"/>
      <c r="T562" s="334"/>
      <c r="U562" s="334"/>
      <c r="V562" s="334"/>
      <c r="W562" s="334"/>
      <c r="X562" s="334"/>
      <c r="Y562" s="334"/>
    </row>
    <row r="563" spans="1:25">
      <c r="A563" s="334"/>
      <c r="B563" s="334"/>
      <c r="C563" s="334"/>
      <c r="D563" s="334"/>
      <c r="E563" s="334"/>
      <c r="F563" s="334"/>
      <c r="G563" s="334"/>
      <c r="H563" s="334"/>
      <c r="I563" s="334"/>
      <c r="J563" s="334"/>
      <c r="K563" s="334"/>
      <c r="L563" s="334"/>
      <c r="M563" s="334"/>
      <c r="N563" s="334"/>
      <c r="O563" s="334"/>
      <c r="P563" s="334"/>
      <c r="Q563" s="334"/>
      <c r="R563" s="334"/>
      <c r="S563" s="334"/>
      <c r="T563" s="334"/>
      <c r="U563" s="334"/>
      <c r="V563" s="334"/>
      <c r="W563" s="334"/>
      <c r="X563" s="334"/>
      <c r="Y563" s="334"/>
    </row>
    <row r="564" spans="1:25">
      <c r="A564" s="334"/>
      <c r="B564" s="334"/>
      <c r="C564" s="334"/>
      <c r="D564" s="334"/>
      <c r="E564" s="334"/>
      <c r="F564" s="334"/>
      <c r="G564" s="334"/>
      <c r="H564" s="334"/>
      <c r="I564" s="334"/>
      <c r="J564" s="334"/>
      <c r="K564" s="334"/>
      <c r="L564" s="334"/>
      <c r="M564" s="334"/>
      <c r="N564" s="334"/>
      <c r="O564" s="334"/>
      <c r="P564" s="334"/>
      <c r="Q564" s="334"/>
      <c r="R564" s="334"/>
      <c r="S564" s="334"/>
      <c r="T564" s="334"/>
      <c r="U564" s="334"/>
      <c r="V564" s="334"/>
      <c r="W564" s="334"/>
      <c r="X564" s="334"/>
      <c r="Y564" s="334"/>
    </row>
    <row r="565" spans="1:25">
      <c r="A565" s="334"/>
      <c r="B565" s="334"/>
      <c r="C565" s="334"/>
      <c r="D565" s="334"/>
      <c r="E565" s="334"/>
      <c r="F565" s="334"/>
      <c r="G565" s="334"/>
      <c r="H565" s="334"/>
      <c r="I565" s="334"/>
      <c r="J565" s="334"/>
      <c r="K565" s="334"/>
      <c r="L565" s="334"/>
      <c r="M565" s="334"/>
      <c r="N565" s="334"/>
      <c r="O565" s="334"/>
      <c r="P565" s="334"/>
      <c r="Q565" s="334"/>
      <c r="R565" s="334"/>
      <c r="S565" s="334"/>
      <c r="T565" s="334"/>
      <c r="U565" s="334"/>
      <c r="V565" s="334"/>
      <c r="W565" s="334"/>
      <c r="X565" s="334"/>
      <c r="Y565" s="334"/>
    </row>
    <row r="566" spans="1:25">
      <c r="A566" s="334"/>
      <c r="B566" s="334"/>
      <c r="C566" s="334"/>
      <c r="D566" s="334"/>
      <c r="E566" s="334"/>
      <c r="F566" s="334"/>
      <c r="G566" s="334"/>
      <c r="H566" s="334"/>
      <c r="I566" s="334"/>
      <c r="J566" s="334"/>
      <c r="K566" s="334"/>
      <c r="L566" s="334"/>
      <c r="M566" s="334"/>
      <c r="N566" s="334"/>
      <c r="O566" s="334"/>
      <c r="P566" s="334"/>
      <c r="Q566" s="334"/>
      <c r="R566" s="334"/>
      <c r="S566" s="334"/>
      <c r="T566" s="334"/>
      <c r="U566" s="334"/>
      <c r="V566" s="334"/>
      <c r="W566" s="334"/>
      <c r="X566" s="334"/>
      <c r="Y566" s="334"/>
    </row>
    <row r="567" spans="1:25">
      <c r="A567" s="334"/>
      <c r="B567" s="334"/>
      <c r="C567" s="334"/>
      <c r="D567" s="334"/>
      <c r="E567" s="334"/>
      <c r="F567" s="334"/>
      <c r="G567" s="334"/>
      <c r="H567" s="334"/>
      <c r="I567" s="334"/>
      <c r="J567" s="334"/>
      <c r="K567" s="334"/>
      <c r="L567" s="334"/>
      <c r="M567" s="334"/>
      <c r="N567" s="334"/>
      <c r="O567" s="334"/>
      <c r="P567" s="334"/>
      <c r="Q567" s="334"/>
      <c r="R567" s="334"/>
      <c r="S567" s="334"/>
      <c r="T567" s="334"/>
      <c r="U567" s="334"/>
      <c r="V567" s="334"/>
      <c r="W567" s="334"/>
      <c r="X567" s="334"/>
      <c r="Y567" s="334"/>
    </row>
    <row r="568" spans="1:25">
      <c r="A568" s="334"/>
      <c r="B568" s="334"/>
      <c r="C568" s="334"/>
      <c r="D568" s="334"/>
      <c r="E568" s="334"/>
      <c r="F568" s="334"/>
      <c r="G568" s="334"/>
      <c r="H568" s="334"/>
      <c r="I568" s="334"/>
      <c r="J568" s="334"/>
      <c r="K568" s="334"/>
      <c r="L568" s="334"/>
      <c r="M568" s="334"/>
      <c r="N568" s="334"/>
      <c r="O568" s="334"/>
      <c r="P568" s="334"/>
      <c r="Q568" s="334"/>
      <c r="R568" s="334"/>
      <c r="S568" s="334"/>
      <c r="T568" s="334"/>
      <c r="U568" s="334"/>
      <c r="V568" s="334"/>
      <c r="W568" s="334"/>
      <c r="X568" s="334"/>
      <c r="Y568" s="334"/>
    </row>
    <row r="569" spans="1:25">
      <c r="A569" s="334"/>
      <c r="B569" s="334"/>
      <c r="C569" s="334"/>
      <c r="D569" s="334"/>
      <c r="E569" s="334"/>
      <c r="F569" s="334"/>
      <c r="G569" s="334"/>
      <c r="H569" s="334"/>
      <c r="I569" s="334"/>
      <c r="J569" s="334"/>
      <c r="K569" s="334"/>
      <c r="L569" s="334"/>
      <c r="M569" s="334"/>
      <c r="N569" s="334"/>
      <c r="O569" s="334"/>
      <c r="P569" s="334"/>
      <c r="Q569" s="334"/>
      <c r="R569" s="334"/>
      <c r="S569" s="334"/>
      <c r="T569" s="334"/>
      <c r="U569" s="334"/>
      <c r="V569" s="334"/>
      <c r="W569" s="334"/>
      <c r="X569" s="334"/>
      <c r="Y569" s="334"/>
    </row>
    <row r="570" spans="1:25">
      <c r="A570" s="334"/>
      <c r="B570" s="334"/>
      <c r="C570" s="334"/>
      <c r="D570" s="334"/>
      <c r="E570" s="334"/>
      <c r="F570" s="334"/>
      <c r="G570" s="334"/>
      <c r="H570" s="334"/>
      <c r="I570" s="334"/>
      <c r="J570" s="334"/>
      <c r="K570" s="334"/>
      <c r="L570" s="334"/>
      <c r="M570" s="334"/>
      <c r="N570" s="334"/>
      <c r="O570" s="334"/>
      <c r="P570" s="334"/>
      <c r="Q570" s="334"/>
      <c r="R570" s="334"/>
      <c r="S570" s="334"/>
      <c r="T570" s="334"/>
      <c r="U570" s="334"/>
      <c r="V570" s="334"/>
      <c r="W570" s="334"/>
      <c r="X570" s="334"/>
      <c r="Y570" s="334"/>
    </row>
    <row r="571" spans="1:25">
      <c r="A571" s="334"/>
      <c r="B571" s="334"/>
      <c r="C571" s="334"/>
      <c r="D571" s="334"/>
      <c r="E571" s="334"/>
      <c r="F571" s="334"/>
      <c r="G571" s="334"/>
      <c r="H571" s="334"/>
      <c r="I571" s="334"/>
      <c r="J571" s="334"/>
      <c r="K571" s="334"/>
      <c r="L571" s="334"/>
      <c r="M571" s="334"/>
      <c r="N571" s="334"/>
      <c r="O571" s="334"/>
      <c r="P571" s="334"/>
      <c r="Q571" s="334"/>
      <c r="R571" s="334"/>
      <c r="S571" s="334"/>
      <c r="T571" s="334"/>
      <c r="U571" s="334"/>
      <c r="V571" s="334"/>
      <c r="W571" s="334"/>
      <c r="X571" s="334"/>
      <c r="Y571" s="334"/>
    </row>
    <row r="572" spans="1:25">
      <c r="A572" s="334"/>
      <c r="B572" s="334"/>
      <c r="C572" s="334"/>
      <c r="D572" s="334"/>
      <c r="E572" s="334"/>
      <c r="F572" s="334"/>
      <c r="G572" s="334"/>
      <c r="H572" s="334"/>
      <c r="I572" s="334"/>
      <c r="J572" s="334"/>
      <c r="K572" s="334"/>
      <c r="L572" s="334"/>
      <c r="M572" s="334"/>
      <c r="N572" s="334"/>
      <c r="O572" s="334"/>
      <c r="P572" s="334"/>
      <c r="Q572" s="334"/>
      <c r="R572" s="334"/>
      <c r="S572" s="334"/>
      <c r="T572" s="334"/>
      <c r="U572" s="334"/>
      <c r="V572" s="334"/>
      <c r="W572" s="334"/>
      <c r="X572" s="334"/>
      <c r="Y572" s="334"/>
    </row>
    <row r="573" spans="1:25">
      <c r="A573" s="334"/>
      <c r="B573" s="334"/>
      <c r="C573" s="334"/>
      <c r="D573" s="334"/>
      <c r="E573" s="334"/>
      <c r="F573" s="334"/>
      <c r="G573" s="334"/>
      <c r="H573" s="334"/>
      <c r="I573" s="334"/>
      <c r="J573" s="334"/>
      <c r="K573" s="334"/>
      <c r="L573" s="334"/>
      <c r="M573" s="334"/>
      <c r="N573" s="334"/>
      <c r="O573" s="334"/>
      <c r="P573" s="334"/>
      <c r="Q573" s="334"/>
      <c r="R573" s="334"/>
      <c r="S573" s="334"/>
      <c r="T573" s="334"/>
      <c r="U573" s="334"/>
      <c r="V573" s="334"/>
      <c r="W573" s="334"/>
      <c r="X573" s="334"/>
      <c r="Y573" s="334"/>
    </row>
    <row r="574" spans="1:25">
      <c r="A574" s="334"/>
      <c r="B574" s="334"/>
      <c r="C574" s="334"/>
      <c r="D574" s="334"/>
      <c r="E574" s="334"/>
      <c r="F574" s="334"/>
      <c r="G574" s="334"/>
      <c r="H574" s="334"/>
      <c r="I574" s="334"/>
      <c r="J574" s="334"/>
      <c r="K574" s="334"/>
      <c r="L574" s="334"/>
      <c r="M574" s="334"/>
      <c r="N574" s="334"/>
      <c r="O574" s="334"/>
      <c r="P574" s="334"/>
      <c r="Q574" s="334"/>
      <c r="R574" s="334"/>
      <c r="S574" s="334"/>
      <c r="T574" s="334"/>
      <c r="U574" s="334"/>
      <c r="V574" s="334"/>
      <c r="W574" s="334"/>
      <c r="X574" s="334"/>
      <c r="Y574" s="334"/>
    </row>
    <row r="575" spans="1:25">
      <c r="A575" s="334"/>
      <c r="B575" s="334"/>
      <c r="C575" s="334"/>
      <c r="D575" s="334"/>
      <c r="E575" s="334"/>
      <c r="F575" s="334"/>
      <c r="G575" s="334"/>
      <c r="H575" s="334"/>
      <c r="I575" s="334"/>
      <c r="J575" s="334"/>
      <c r="K575" s="334"/>
      <c r="L575" s="334"/>
      <c r="M575" s="334"/>
      <c r="N575" s="334"/>
      <c r="O575" s="334"/>
      <c r="P575" s="334"/>
      <c r="Q575" s="334"/>
      <c r="R575" s="334"/>
      <c r="S575" s="334"/>
      <c r="T575" s="334"/>
      <c r="U575" s="334"/>
      <c r="V575" s="334"/>
      <c r="W575" s="334"/>
      <c r="X575" s="334"/>
      <c r="Y575" s="334"/>
    </row>
    <row r="576" spans="1:25">
      <c r="A576" s="334"/>
      <c r="B576" s="334"/>
      <c r="C576" s="334"/>
      <c r="D576" s="334"/>
      <c r="E576" s="334"/>
      <c r="F576" s="334"/>
      <c r="G576" s="334"/>
      <c r="H576" s="334"/>
      <c r="I576" s="334"/>
      <c r="J576" s="334"/>
      <c r="K576" s="334"/>
      <c r="L576" s="334"/>
      <c r="M576" s="334"/>
      <c r="N576" s="334"/>
      <c r="O576" s="334"/>
      <c r="P576" s="334"/>
      <c r="Q576" s="334"/>
      <c r="R576" s="334"/>
      <c r="S576" s="334"/>
      <c r="T576" s="334"/>
      <c r="U576" s="334"/>
      <c r="V576" s="334"/>
      <c r="W576" s="334"/>
      <c r="X576" s="334"/>
      <c r="Y576" s="334"/>
    </row>
    <row r="577" spans="1:25">
      <c r="A577" s="334"/>
      <c r="B577" s="334"/>
      <c r="C577" s="334"/>
      <c r="D577" s="334"/>
      <c r="E577" s="334"/>
      <c r="F577" s="334"/>
      <c r="G577" s="334"/>
      <c r="H577" s="334"/>
      <c r="I577" s="334"/>
      <c r="J577" s="334"/>
      <c r="K577" s="334"/>
      <c r="L577" s="334"/>
      <c r="M577" s="334"/>
      <c r="N577" s="334"/>
      <c r="O577" s="334"/>
      <c r="P577" s="334"/>
      <c r="Q577" s="334"/>
      <c r="R577" s="334"/>
      <c r="S577" s="334"/>
      <c r="T577" s="334"/>
      <c r="U577" s="334"/>
      <c r="V577" s="334"/>
      <c r="W577" s="334"/>
      <c r="X577" s="334"/>
      <c r="Y577" s="334"/>
    </row>
    <row r="578" spans="1:25">
      <c r="A578" s="334"/>
      <c r="B578" s="334"/>
      <c r="C578" s="334"/>
      <c r="D578" s="334"/>
      <c r="E578" s="334"/>
      <c r="F578" s="334"/>
      <c r="G578" s="334"/>
      <c r="H578" s="334"/>
      <c r="I578" s="334"/>
      <c r="J578" s="334"/>
      <c r="K578" s="334"/>
      <c r="L578" s="334"/>
      <c r="M578" s="334"/>
      <c r="N578" s="334"/>
      <c r="O578" s="334"/>
      <c r="P578" s="334"/>
      <c r="Q578" s="334"/>
      <c r="R578" s="334"/>
      <c r="S578" s="334"/>
      <c r="T578" s="334"/>
      <c r="U578" s="334"/>
      <c r="V578" s="334"/>
      <c r="W578" s="334"/>
      <c r="X578" s="334"/>
      <c r="Y578" s="334"/>
    </row>
    <row r="579" spans="1:25">
      <c r="A579" s="334"/>
      <c r="B579" s="334"/>
      <c r="C579" s="334"/>
      <c r="D579" s="334"/>
      <c r="E579" s="334"/>
      <c r="F579" s="334"/>
      <c r="G579" s="334"/>
      <c r="H579" s="334"/>
      <c r="I579" s="334"/>
      <c r="J579" s="334"/>
      <c r="K579" s="334"/>
      <c r="L579" s="334"/>
      <c r="M579" s="334"/>
      <c r="N579" s="334"/>
      <c r="O579" s="334"/>
      <c r="P579" s="334"/>
      <c r="Q579" s="334"/>
      <c r="R579" s="334"/>
      <c r="S579" s="334"/>
      <c r="T579" s="334"/>
      <c r="U579" s="334"/>
      <c r="V579" s="334"/>
      <c r="W579" s="334"/>
      <c r="X579" s="334"/>
      <c r="Y579" s="334"/>
    </row>
    <row r="580" spans="1:25">
      <c r="A580" s="334"/>
      <c r="B580" s="334"/>
      <c r="C580" s="334"/>
      <c r="D580" s="334"/>
      <c r="E580" s="334"/>
      <c r="F580" s="334"/>
      <c r="G580" s="334"/>
      <c r="H580" s="334"/>
      <c r="I580" s="334"/>
      <c r="J580" s="334"/>
      <c r="K580" s="334"/>
      <c r="L580" s="334"/>
      <c r="M580" s="334"/>
      <c r="N580" s="334"/>
      <c r="O580" s="334"/>
      <c r="P580" s="334"/>
      <c r="Q580" s="334"/>
      <c r="R580" s="334"/>
      <c r="S580" s="334"/>
      <c r="T580" s="334"/>
      <c r="U580" s="334"/>
      <c r="V580" s="334"/>
      <c r="W580" s="334"/>
      <c r="X580" s="334"/>
      <c r="Y580" s="334"/>
    </row>
    <row r="581" spans="1:25">
      <c r="A581" s="334"/>
      <c r="B581" s="334"/>
      <c r="C581" s="334"/>
      <c r="D581" s="334"/>
      <c r="E581" s="334"/>
      <c r="F581" s="334"/>
      <c r="G581" s="334"/>
      <c r="H581" s="334"/>
      <c r="I581" s="334"/>
      <c r="J581" s="334"/>
      <c r="K581" s="334"/>
      <c r="L581" s="334"/>
      <c r="M581" s="334"/>
      <c r="N581" s="334"/>
      <c r="O581" s="334"/>
      <c r="P581" s="334"/>
      <c r="Q581" s="334"/>
      <c r="R581" s="334"/>
      <c r="S581" s="334"/>
      <c r="T581" s="334"/>
      <c r="U581" s="334"/>
      <c r="V581" s="334"/>
      <c r="W581" s="334"/>
      <c r="X581" s="334"/>
      <c r="Y581" s="334"/>
    </row>
    <row r="582" spans="1:25">
      <c r="A582" s="334"/>
      <c r="B582" s="334"/>
      <c r="C582" s="334"/>
      <c r="D582" s="334"/>
      <c r="E582" s="334"/>
      <c r="F582" s="334"/>
      <c r="G582" s="334"/>
      <c r="H582" s="334"/>
      <c r="I582" s="334"/>
      <c r="J582" s="334"/>
      <c r="K582" s="334"/>
      <c r="L582" s="334"/>
      <c r="M582" s="334"/>
      <c r="N582" s="334"/>
      <c r="O582" s="334"/>
      <c r="P582" s="334"/>
      <c r="Q582" s="334"/>
      <c r="R582" s="334"/>
      <c r="S582" s="334"/>
      <c r="T582" s="334"/>
      <c r="U582" s="334"/>
      <c r="V582" s="334"/>
      <c r="W582" s="334"/>
      <c r="X582" s="334"/>
      <c r="Y582" s="334"/>
    </row>
    <row r="583" spans="1:25">
      <c r="A583" s="334"/>
      <c r="B583" s="334"/>
      <c r="C583" s="334"/>
      <c r="D583" s="334"/>
      <c r="E583" s="334"/>
      <c r="F583" s="334"/>
      <c r="G583" s="334"/>
      <c r="H583" s="334"/>
      <c r="I583" s="334"/>
      <c r="J583" s="334"/>
      <c r="K583" s="334"/>
      <c r="L583" s="334"/>
      <c r="M583" s="334"/>
      <c r="N583" s="334"/>
      <c r="O583" s="334"/>
      <c r="P583" s="334"/>
      <c r="Q583" s="334"/>
      <c r="R583" s="334"/>
      <c r="S583" s="334"/>
      <c r="T583" s="334"/>
      <c r="U583" s="334"/>
      <c r="V583" s="334"/>
      <c r="W583" s="334"/>
      <c r="X583" s="334"/>
      <c r="Y583" s="334"/>
    </row>
    <row r="584" spans="1:25">
      <c r="A584" s="334"/>
      <c r="B584" s="334"/>
      <c r="C584" s="334"/>
      <c r="D584" s="334"/>
      <c r="E584" s="334"/>
      <c r="F584" s="334"/>
      <c r="G584" s="334"/>
      <c r="H584" s="334"/>
      <c r="I584" s="334"/>
      <c r="J584" s="334"/>
      <c r="K584" s="334"/>
      <c r="L584" s="334"/>
      <c r="M584" s="334"/>
      <c r="N584" s="334"/>
      <c r="O584" s="334"/>
      <c r="P584" s="334"/>
      <c r="Q584" s="334"/>
      <c r="R584" s="334"/>
      <c r="S584" s="334"/>
      <c r="T584" s="334"/>
      <c r="U584" s="334"/>
      <c r="V584" s="334"/>
      <c r="W584" s="334"/>
      <c r="X584" s="334"/>
      <c r="Y584" s="334"/>
    </row>
    <row r="585" spans="1:25">
      <c r="A585" s="334"/>
      <c r="B585" s="334"/>
      <c r="C585" s="334"/>
      <c r="D585" s="334"/>
      <c r="E585" s="334"/>
      <c r="F585" s="334"/>
      <c r="G585" s="334"/>
      <c r="H585" s="334"/>
      <c r="I585" s="334"/>
      <c r="J585" s="334"/>
      <c r="K585" s="334"/>
      <c r="L585" s="334"/>
      <c r="M585" s="334"/>
      <c r="N585" s="334"/>
      <c r="O585" s="334"/>
      <c r="P585" s="334"/>
      <c r="Q585" s="334"/>
      <c r="R585" s="334"/>
      <c r="S585" s="334"/>
      <c r="T585" s="334"/>
      <c r="U585" s="334"/>
      <c r="V585" s="334"/>
      <c r="W585" s="334"/>
      <c r="X585" s="334"/>
      <c r="Y585" s="334"/>
    </row>
    <row r="586" spans="1:25">
      <c r="A586" s="334"/>
      <c r="B586" s="334"/>
      <c r="C586" s="334"/>
      <c r="D586" s="334"/>
      <c r="E586" s="334"/>
      <c r="F586" s="334"/>
      <c r="G586" s="334"/>
      <c r="H586" s="334"/>
      <c r="I586" s="334"/>
      <c r="J586" s="334"/>
      <c r="K586" s="334"/>
      <c r="L586" s="334"/>
      <c r="M586" s="334"/>
      <c r="N586" s="334"/>
      <c r="O586" s="334"/>
      <c r="P586" s="334"/>
      <c r="Q586" s="334"/>
      <c r="R586" s="334"/>
      <c r="S586" s="334"/>
      <c r="T586" s="334"/>
      <c r="U586" s="334"/>
      <c r="V586" s="334"/>
      <c r="W586" s="334"/>
      <c r="X586" s="334"/>
      <c r="Y586" s="334"/>
    </row>
    <row r="587" spans="1:25">
      <c r="A587" s="334"/>
      <c r="B587" s="334"/>
      <c r="C587" s="334"/>
      <c r="D587" s="334"/>
      <c r="E587" s="334"/>
      <c r="F587" s="334"/>
      <c r="G587" s="334"/>
      <c r="H587" s="334"/>
      <c r="I587" s="334"/>
      <c r="J587" s="334"/>
      <c r="K587" s="334"/>
      <c r="L587" s="334"/>
      <c r="M587" s="334"/>
      <c r="N587" s="334"/>
      <c r="O587" s="334"/>
      <c r="P587" s="334"/>
      <c r="Q587" s="334"/>
      <c r="R587" s="334"/>
      <c r="S587" s="334"/>
      <c r="T587" s="334"/>
      <c r="U587" s="334"/>
      <c r="V587" s="334"/>
      <c r="W587" s="334"/>
      <c r="X587" s="334"/>
      <c r="Y587" s="334"/>
    </row>
    <row r="588" spans="1:25">
      <c r="A588" s="334"/>
      <c r="B588" s="334"/>
      <c r="C588" s="334"/>
      <c r="D588" s="334"/>
      <c r="E588" s="334"/>
      <c r="F588" s="334"/>
      <c r="G588" s="334"/>
      <c r="H588" s="334"/>
      <c r="I588" s="334"/>
      <c r="J588" s="334"/>
      <c r="K588" s="334"/>
      <c r="L588" s="334"/>
      <c r="M588" s="334"/>
      <c r="N588" s="334"/>
      <c r="O588" s="334"/>
      <c r="P588" s="334"/>
      <c r="Q588" s="334"/>
      <c r="R588" s="334"/>
      <c r="S588" s="334"/>
      <c r="T588" s="334"/>
      <c r="U588" s="334"/>
      <c r="V588" s="334"/>
      <c r="W588" s="334"/>
      <c r="X588" s="334"/>
      <c r="Y588" s="334"/>
    </row>
    <row r="589" spans="1:25">
      <c r="A589" s="334"/>
      <c r="B589" s="334"/>
      <c r="C589" s="334"/>
      <c r="D589" s="334"/>
      <c r="E589" s="334"/>
      <c r="F589" s="334"/>
      <c r="G589" s="334"/>
      <c r="H589" s="334"/>
      <c r="I589" s="334"/>
      <c r="J589" s="334"/>
      <c r="K589" s="334"/>
      <c r="L589" s="334"/>
      <c r="M589" s="334"/>
      <c r="N589" s="334"/>
      <c r="O589" s="334"/>
      <c r="P589" s="334"/>
      <c r="Q589" s="334"/>
      <c r="R589" s="334"/>
      <c r="S589" s="334"/>
      <c r="T589" s="334"/>
      <c r="U589" s="334"/>
      <c r="V589" s="334"/>
      <c r="W589" s="334"/>
      <c r="X589" s="334"/>
      <c r="Y589" s="334"/>
    </row>
    <row r="590" spans="1:25">
      <c r="A590" s="334"/>
      <c r="B590" s="334"/>
      <c r="C590" s="334"/>
      <c r="D590" s="334"/>
      <c r="E590" s="334"/>
      <c r="F590" s="334"/>
      <c r="G590" s="334"/>
      <c r="H590" s="334"/>
      <c r="I590" s="334"/>
      <c r="J590" s="334"/>
      <c r="K590" s="334"/>
      <c r="L590" s="334"/>
      <c r="M590" s="334"/>
      <c r="N590" s="334"/>
      <c r="O590" s="334"/>
      <c r="P590" s="334"/>
      <c r="Q590" s="334"/>
      <c r="R590" s="334"/>
      <c r="S590" s="334"/>
      <c r="T590" s="334"/>
      <c r="U590" s="334"/>
      <c r="V590" s="334"/>
      <c r="W590" s="334"/>
      <c r="X590" s="334"/>
      <c r="Y590" s="334"/>
    </row>
    <row r="591" spans="1:25">
      <c r="A591" s="334"/>
      <c r="B591" s="334"/>
      <c r="C591" s="334"/>
      <c r="D591" s="334"/>
      <c r="E591" s="334"/>
      <c r="F591" s="334"/>
      <c r="G591" s="334"/>
      <c r="H591" s="334"/>
      <c r="I591" s="334"/>
      <c r="J591" s="334"/>
      <c r="K591" s="334"/>
      <c r="L591" s="334"/>
      <c r="M591" s="334"/>
      <c r="N591" s="334"/>
      <c r="O591" s="334"/>
      <c r="P591" s="334"/>
      <c r="Q591" s="334"/>
      <c r="R591" s="334"/>
      <c r="S591" s="334"/>
      <c r="T591" s="334"/>
      <c r="U591" s="334"/>
      <c r="V591" s="334"/>
      <c r="W591" s="334"/>
      <c r="X591" s="334"/>
      <c r="Y591" s="334"/>
    </row>
    <row r="592" spans="1:25">
      <c r="A592" s="334"/>
      <c r="B592" s="334"/>
      <c r="C592" s="334"/>
      <c r="D592" s="334"/>
      <c r="E592" s="334"/>
      <c r="F592" s="334"/>
      <c r="G592" s="334"/>
      <c r="H592" s="334"/>
      <c r="I592" s="334"/>
      <c r="J592" s="334"/>
      <c r="K592" s="334"/>
      <c r="L592" s="334"/>
      <c r="M592" s="334"/>
      <c r="N592" s="334"/>
      <c r="O592" s="334"/>
      <c r="P592" s="334"/>
      <c r="Q592" s="334"/>
      <c r="R592" s="334"/>
      <c r="S592" s="334"/>
      <c r="T592" s="334"/>
      <c r="U592" s="334"/>
      <c r="V592" s="334"/>
      <c r="W592" s="334"/>
      <c r="X592" s="334"/>
      <c r="Y592" s="334"/>
    </row>
    <row r="593" spans="1:25">
      <c r="A593" s="334"/>
      <c r="B593" s="334"/>
      <c r="C593" s="334"/>
      <c r="D593" s="334"/>
      <c r="E593" s="334"/>
      <c r="F593" s="334"/>
      <c r="G593" s="334"/>
      <c r="H593" s="334"/>
      <c r="I593" s="334"/>
      <c r="J593" s="334"/>
      <c r="K593" s="334"/>
      <c r="L593" s="334"/>
      <c r="M593" s="334"/>
      <c r="N593" s="334"/>
      <c r="O593" s="334"/>
      <c r="P593" s="334"/>
      <c r="Q593" s="334"/>
      <c r="R593" s="334"/>
      <c r="S593" s="334"/>
      <c r="T593" s="334"/>
      <c r="U593" s="334"/>
      <c r="V593" s="334"/>
      <c r="W593" s="334"/>
      <c r="X593" s="334"/>
      <c r="Y593" s="334"/>
    </row>
    <row r="594" spans="1:25">
      <c r="A594" s="334"/>
      <c r="B594" s="334"/>
      <c r="C594" s="334"/>
      <c r="D594" s="334"/>
      <c r="E594" s="334"/>
      <c r="F594" s="334"/>
      <c r="G594" s="334"/>
      <c r="H594" s="334"/>
      <c r="I594" s="334"/>
      <c r="J594" s="334"/>
      <c r="K594" s="334"/>
      <c r="L594" s="334"/>
      <c r="M594" s="334"/>
      <c r="N594" s="334"/>
      <c r="O594" s="334"/>
      <c r="P594" s="334"/>
      <c r="Q594" s="334"/>
      <c r="R594" s="334"/>
      <c r="S594" s="334"/>
      <c r="T594" s="334"/>
      <c r="U594" s="334"/>
      <c r="V594" s="334"/>
      <c r="W594" s="334"/>
      <c r="X594" s="334"/>
      <c r="Y594" s="334"/>
    </row>
    <row r="595" spans="1:25">
      <c r="A595" s="334"/>
      <c r="B595" s="334"/>
      <c r="C595" s="334"/>
      <c r="D595" s="334"/>
      <c r="E595" s="334"/>
      <c r="F595" s="334"/>
      <c r="G595" s="334"/>
      <c r="H595" s="334"/>
      <c r="I595" s="334"/>
      <c r="J595" s="334"/>
      <c r="K595" s="334"/>
      <c r="L595" s="334"/>
      <c r="M595" s="334"/>
      <c r="N595" s="334"/>
      <c r="O595" s="334"/>
      <c r="P595" s="334"/>
      <c r="Q595" s="334"/>
      <c r="R595" s="334"/>
      <c r="S595" s="334"/>
      <c r="T595" s="334"/>
      <c r="U595" s="334"/>
      <c r="V595" s="334"/>
      <c r="W595" s="334"/>
      <c r="X595" s="334"/>
      <c r="Y595" s="334"/>
    </row>
    <row r="596" spans="1:25">
      <c r="A596" s="334"/>
      <c r="B596" s="334"/>
      <c r="C596" s="334"/>
      <c r="D596" s="334"/>
      <c r="E596" s="334"/>
      <c r="F596" s="334"/>
      <c r="G596" s="334"/>
      <c r="H596" s="334"/>
      <c r="I596" s="334"/>
      <c r="J596" s="334"/>
      <c r="K596" s="334"/>
      <c r="L596" s="334"/>
      <c r="M596" s="334"/>
      <c r="N596" s="334"/>
      <c r="O596" s="334"/>
      <c r="P596" s="334"/>
      <c r="Q596" s="334"/>
      <c r="R596" s="334"/>
      <c r="S596" s="334"/>
      <c r="T596" s="334"/>
      <c r="U596" s="334"/>
      <c r="V596" s="334"/>
      <c r="W596" s="334"/>
      <c r="X596" s="334"/>
      <c r="Y596" s="334"/>
    </row>
    <row r="597" spans="1:25">
      <c r="A597" s="334"/>
      <c r="B597" s="334"/>
      <c r="C597" s="334"/>
      <c r="D597" s="334"/>
      <c r="E597" s="334"/>
      <c r="F597" s="334"/>
      <c r="G597" s="334"/>
      <c r="H597" s="334"/>
      <c r="I597" s="334"/>
      <c r="J597" s="334"/>
      <c r="K597" s="334"/>
      <c r="L597" s="334"/>
      <c r="M597" s="334"/>
      <c r="N597" s="334"/>
      <c r="O597" s="334"/>
      <c r="P597" s="334"/>
      <c r="Q597" s="334"/>
      <c r="R597" s="334"/>
      <c r="S597" s="334"/>
      <c r="T597" s="334"/>
      <c r="U597" s="334"/>
      <c r="V597" s="334"/>
      <c r="W597" s="334"/>
      <c r="X597" s="334"/>
      <c r="Y597" s="334"/>
    </row>
    <row r="598" spans="1:25">
      <c r="A598" s="334"/>
      <c r="B598" s="334"/>
      <c r="C598" s="334"/>
      <c r="D598" s="334"/>
      <c r="E598" s="334"/>
      <c r="F598" s="334"/>
      <c r="G598" s="334"/>
      <c r="H598" s="334"/>
      <c r="I598" s="334"/>
      <c r="J598" s="334"/>
      <c r="K598" s="334"/>
      <c r="L598" s="334"/>
      <c r="M598" s="334"/>
      <c r="N598" s="334"/>
      <c r="O598" s="334"/>
      <c r="P598" s="334"/>
      <c r="Q598" s="334"/>
      <c r="R598" s="334"/>
      <c r="S598" s="334"/>
      <c r="T598" s="334"/>
      <c r="U598" s="334"/>
      <c r="V598" s="334"/>
      <c r="W598" s="334"/>
      <c r="X598" s="334"/>
      <c r="Y598" s="334"/>
    </row>
    <row r="599" spans="1:25">
      <c r="A599" s="334"/>
      <c r="B599" s="334"/>
      <c r="C599" s="334"/>
      <c r="D599" s="334"/>
      <c r="E599" s="334"/>
      <c r="F599" s="334"/>
      <c r="G599" s="334"/>
      <c r="H599" s="334"/>
      <c r="I599" s="334"/>
      <c r="J599" s="334"/>
      <c r="K599" s="334"/>
      <c r="L599" s="334"/>
      <c r="M599" s="334"/>
      <c r="N599" s="334"/>
      <c r="O599" s="334"/>
      <c r="P599" s="334"/>
      <c r="Q599" s="334"/>
      <c r="R599" s="334"/>
      <c r="S599" s="334"/>
      <c r="T599" s="334"/>
      <c r="U599" s="334"/>
      <c r="V599" s="334"/>
      <c r="W599" s="334"/>
      <c r="X599" s="334"/>
      <c r="Y599" s="334"/>
    </row>
    <row r="600" spans="1:25">
      <c r="A600" s="334"/>
      <c r="B600" s="334"/>
      <c r="C600" s="334"/>
      <c r="D600" s="334"/>
      <c r="E600" s="334"/>
      <c r="F600" s="334"/>
      <c r="G600" s="334"/>
      <c r="H600" s="334"/>
      <c r="I600" s="334"/>
      <c r="J600" s="334"/>
      <c r="K600" s="334"/>
      <c r="L600" s="334"/>
      <c r="M600" s="334"/>
      <c r="N600" s="334"/>
      <c r="O600" s="334"/>
      <c r="P600" s="334"/>
      <c r="Q600" s="334"/>
      <c r="R600" s="334"/>
      <c r="S600" s="334"/>
      <c r="T600" s="334"/>
      <c r="U600" s="334"/>
      <c r="V600" s="334"/>
      <c r="W600" s="334"/>
      <c r="X600" s="334"/>
      <c r="Y600" s="334"/>
    </row>
    <row r="601" spans="1:25">
      <c r="A601" s="334"/>
      <c r="B601" s="334"/>
      <c r="C601" s="334"/>
      <c r="D601" s="334"/>
      <c r="E601" s="334"/>
      <c r="F601" s="334"/>
      <c r="G601" s="334"/>
      <c r="H601" s="334"/>
      <c r="I601" s="334"/>
      <c r="J601" s="334"/>
      <c r="K601" s="334"/>
      <c r="L601" s="334"/>
      <c r="M601" s="334"/>
      <c r="N601" s="334"/>
      <c r="O601" s="334"/>
      <c r="P601" s="334"/>
      <c r="Q601" s="334"/>
      <c r="R601" s="334"/>
      <c r="S601" s="334"/>
      <c r="T601" s="334"/>
      <c r="U601" s="334"/>
      <c r="V601" s="334"/>
      <c r="W601" s="334"/>
      <c r="X601" s="334"/>
      <c r="Y601" s="334"/>
    </row>
    <row r="602" spans="1:25">
      <c r="A602" s="334"/>
      <c r="B602" s="334"/>
      <c r="C602" s="334"/>
      <c r="D602" s="334"/>
      <c r="E602" s="334"/>
      <c r="F602" s="334"/>
      <c r="G602" s="334"/>
      <c r="H602" s="334"/>
      <c r="I602" s="334"/>
      <c r="J602" s="334"/>
      <c r="K602" s="334"/>
      <c r="L602" s="334"/>
      <c r="M602" s="334"/>
      <c r="N602" s="334"/>
      <c r="O602" s="334"/>
      <c r="P602" s="334"/>
      <c r="Q602" s="334"/>
      <c r="R602" s="334"/>
      <c r="S602" s="334"/>
      <c r="T602" s="334"/>
      <c r="U602" s="334"/>
      <c r="V602" s="334"/>
      <c r="W602" s="334"/>
      <c r="X602" s="334"/>
      <c r="Y602" s="334"/>
    </row>
    <row r="603" spans="1:25">
      <c r="A603" s="334"/>
      <c r="B603" s="334"/>
      <c r="C603" s="334"/>
      <c r="D603" s="334"/>
      <c r="E603" s="334"/>
      <c r="F603" s="334"/>
      <c r="G603" s="334"/>
      <c r="H603" s="334"/>
      <c r="I603" s="334"/>
      <c r="J603" s="334"/>
      <c r="K603" s="334"/>
      <c r="L603" s="334"/>
      <c r="M603" s="334"/>
      <c r="N603" s="334"/>
      <c r="O603" s="334"/>
      <c r="P603" s="334"/>
      <c r="Q603" s="334"/>
      <c r="R603" s="334"/>
      <c r="S603" s="334"/>
      <c r="T603" s="334"/>
      <c r="U603" s="334"/>
      <c r="V603" s="334"/>
      <c r="W603" s="334"/>
      <c r="X603" s="334"/>
      <c r="Y603" s="334"/>
    </row>
    <row r="604" spans="1:25">
      <c r="A604" s="334"/>
      <c r="B604" s="334"/>
      <c r="C604" s="334"/>
      <c r="D604" s="334"/>
      <c r="E604" s="334"/>
      <c r="F604" s="334"/>
      <c r="G604" s="334"/>
      <c r="H604" s="334"/>
      <c r="I604" s="334"/>
      <c r="J604" s="334"/>
      <c r="K604" s="334"/>
      <c r="L604" s="334"/>
      <c r="M604" s="334"/>
      <c r="N604" s="334"/>
      <c r="O604" s="334"/>
      <c r="P604" s="334"/>
      <c r="Q604" s="334"/>
      <c r="R604" s="334"/>
      <c r="S604" s="334"/>
      <c r="T604" s="334"/>
      <c r="U604" s="334"/>
      <c r="V604" s="334"/>
      <c r="W604" s="334"/>
      <c r="X604" s="334"/>
      <c r="Y604" s="334"/>
    </row>
    <row r="605" spans="1:25">
      <c r="A605" s="334"/>
      <c r="B605" s="334"/>
      <c r="C605" s="334"/>
      <c r="D605" s="334"/>
      <c r="E605" s="334"/>
      <c r="F605" s="334"/>
      <c r="G605" s="334"/>
      <c r="H605" s="334"/>
      <c r="I605" s="334"/>
      <c r="J605" s="334"/>
      <c r="K605" s="334"/>
      <c r="L605" s="334"/>
      <c r="M605" s="334"/>
      <c r="N605" s="334"/>
      <c r="O605" s="334"/>
      <c r="P605" s="334"/>
      <c r="Q605" s="334"/>
      <c r="R605" s="334"/>
      <c r="S605" s="334"/>
      <c r="T605" s="334"/>
      <c r="U605" s="334"/>
      <c r="V605" s="334"/>
      <c r="W605" s="334"/>
      <c r="X605" s="334"/>
      <c r="Y605" s="334"/>
    </row>
    <row r="606" spans="1:25">
      <c r="A606" s="334"/>
      <c r="B606" s="334"/>
      <c r="C606" s="334"/>
      <c r="D606" s="334"/>
      <c r="E606" s="334"/>
      <c r="F606" s="334"/>
      <c r="G606" s="334"/>
      <c r="H606" s="334"/>
      <c r="I606" s="334"/>
      <c r="J606" s="334"/>
      <c r="K606" s="334"/>
      <c r="L606" s="334"/>
      <c r="M606" s="334"/>
      <c r="N606" s="334"/>
      <c r="O606" s="334"/>
      <c r="P606" s="334"/>
      <c r="Q606" s="334"/>
      <c r="R606" s="334"/>
      <c r="S606" s="334"/>
      <c r="T606" s="334"/>
      <c r="U606" s="334"/>
      <c r="V606" s="334"/>
      <c r="W606" s="334"/>
      <c r="X606" s="334"/>
      <c r="Y606" s="334"/>
    </row>
    <row r="607" spans="1:25">
      <c r="A607" s="334"/>
      <c r="B607" s="334"/>
      <c r="C607" s="334"/>
      <c r="D607" s="334"/>
      <c r="E607" s="334"/>
      <c r="F607" s="334"/>
      <c r="G607" s="334"/>
      <c r="H607" s="334"/>
      <c r="I607" s="334"/>
      <c r="J607" s="334"/>
      <c r="K607" s="334"/>
      <c r="L607" s="334"/>
      <c r="M607" s="334"/>
      <c r="N607" s="334"/>
      <c r="O607" s="334"/>
      <c r="P607" s="334"/>
      <c r="Q607" s="334"/>
      <c r="R607" s="334"/>
      <c r="S607" s="334"/>
      <c r="T607" s="334"/>
      <c r="U607" s="334"/>
      <c r="V607" s="334"/>
      <c r="W607" s="334"/>
      <c r="X607" s="334"/>
      <c r="Y607" s="334"/>
    </row>
    <row r="608" spans="1:25">
      <c r="A608" s="334"/>
      <c r="B608" s="334"/>
      <c r="C608" s="334"/>
      <c r="D608" s="334"/>
      <c r="E608" s="334"/>
      <c r="F608" s="334"/>
      <c r="G608" s="334"/>
      <c r="H608" s="334"/>
      <c r="I608" s="334"/>
      <c r="J608" s="334"/>
      <c r="K608" s="334"/>
      <c r="L608" s="334"/>
      <c r="M608" s="334"/>
      <c r="N608" s="334"/>
      <c r="O608" s="334"/>
      <c r="P608" s="334"/>
      <c r="Q608" s="334"/>
      <c r="R608" s="334"/>
      <c r="S608" s="334"/>
      <c r="T608" s="334"/>
      <c r="U608" s="334"/>
      <c r="V608" s="334"/>
      <c r="W608" s="334"/>
      <c r="X608" s="334"/>
      <c r="Y608" s="334"/>
    </row>
    <row r="609" spans="1:25">
      <c r="A609" s="334"/>
      <c r="B609" s="334"/>
      <c r="C609" s="334"/>
      <c r="D609" s="334"/>
      <c r="E609" s="334"/>
      <c r="F609" s="334"/>
      <c r="G609" s="334"/>
      <c r="H609" s="334"/>
      <c r="I609" s="334"/>
      <c r="J609" s="334"/>
      <c r="K609" s="334"/>
      <c r="L609" s="334"/>
      <c r="M609" s="334"/>
      <c r="N609" s="334"/>
      <c r="O609" s="334"/>
      <c r="P609" s="334"/>
      <c r="Q609" s="334"/>
      <c r="R609" s="334"/>
      <c r="S609" s="334"/>
      <c r="T609" s="334"/>
      <c r="U609" s="334"/>
      <c r="V609" s="334"/>
      <c r="W609" s="334"/>
      <c r="X609" s="334"/>
      <c r="Y609" s="334"/>
    </row>
    <row r="610" spans="1:25">
      <c r="A610" s="334"/>
      <c r="B610" s="334"/>
      <c r="C610" s="334"/>
      <c r="D610" s="334"/>
      <c r="E610" s="334"/>
      <c r="F610" s="334"/>
      <c r="G610" s="334"/>
      <c r="H610" s="334"/>
      <c r="I610" s="334"/>
      <c r="J610" s="334"/>
      <c r="K610" s="334"/>
      <c r="L610" s="334"/>
      <c r="M610" s="334"/>
      <c r="N610" s="334"/>
      <c r="O610" s="334"/>
      <c r="P610" s="334"/>
      <c r="Q610" s="334"/>
      <c r="R610" s="334"/>
      <c r="S610" s="334"/>
      <c r="T610" s="334"/>
      <c r="U610" s="334"/>
      <c r="V610" s="334"/>
      <c r="W610" s="334"/>
      <c r="X610" s="334"/>
      <c r="Y610" s="334"/>
    </row>
    <row r="611" spans="1:25">
      <c r="A611" s="334"/>
      <c r="B611" s="334"/>
      <c r="C611" s="334"/>
      <c r="D611" s="334"/>
      <c r="E611" s="334"/>
      <c r="F611" s="334"/>
      <c r="G611" s="334"/>
      <c r="H611" s="334"/>
      <c r="I611" s="334"/>
      <c r="J611" s="334"/>
      <c r="K611" s="334"/>
      <c r="L611" s="334"/>
      <c r="M611" s="334"/>
      <c r="N611" s="334"/>
      <c r="O611" s="334"/>
      <c r="P611" s="334"/>
      <c r="Q611" s="334"/>
      <c r="R611" s="334"/>
      <c r="S611" s="334"/>
      <c r="T611" s="334"/>
      <c r="U611" s="334"/>
      <c r="V611" s="334"/>
      <c r="W611" s="334"/>
      <c r="X611" s="334"/>
      <c r="Y611" s="334"/>
    </row>
    <row r="612" spans="1:25">
      <c r="A612" s="334"/>
      <c r="B612" s="334"/>
      <c r="C612" s="334"/>
      <c r="D612" s="334"/>
      <c r="E612" s="334"/>
      <c r="F612" s="334"/>
      <c r="G612" s="334"/>
      <c r="H612" s="334"/>
      <c r="I612" s="334"/>
      <c r="J612" s="334"/>
      <c r="K612" s="334"/>
      <c r="L612" s="334"/>
      <c r="M612" s="334"/>
      <c r="N612" s="334"/>
      <c r="O612" s="334"/>
      <c r="P612" s="334"/>
      <c r="Q612" s="334"/>
      <c r="R612" s="334"/>
      <c r="S612" s="334"/>
      <c r="T612" s="334"/>
      <c r="U612" s="334"/>
      <c r="V612" s="334"/>
      <c r="W612" s="334"/>
      <c r="X612" s="334"/>
      <c r="Y612" s="334"/>
    </row>
    <row r="613" spans="1:25">
      <c r="A613" s="334"/>
      <c r="B613" s="334"/>
      <c r="C613" s="334"/>
      <c r="D613" s="334"/>
      <c r="E613" s="334"/>
      <c r="F613" s="334"/>
      <c r="G613" s="334"/>
      <c r="H613" s="334"/>
      <c r="I613" s="334"/>
      <c r="J613" s="334"/>
      <c r="K613" s="334"/>
      <c r="L613" s="334"/>
      <c r="M613" s="334"/>
      <c r="N613" s="334"/>
      <c r="O613" s="334"/>
      <c r="P613" s="334"/>
      <c r="Q613" s="334"/>
      <c r="R613" s="334"/>
      <c r="S613" s="334"/>
      <c r="T613" s="334"/>
      <c r="U613" s="334"/>
      <c r="V613" s="334"/>
      <c r="W613" s="334"/>
      <c r="X613" s="334"/>
      <c r="Y613" s="334"/>
    </row>
    <row r="614" spans="1:25">
      <c r="A614" s="334"/>
      <c r="B614" s="334"/>
      <c r="C614" s="334"/>
      <c r="D614" s="334"/>
      <c r="E614" s="334"/>
      <c r="F614" s="334"/>
      <c r="G614" s="334"/>
      <c r="H614" s="334"/>
      <c r="I614" s="334"/>
      <c r="J614" s="334"/>
      <c r="K614" s="334"/>
      <c r="L614" s="334"/>
      <c r="M614" s="334"/>
      <c r="N614" s="334"/>
      <c r="O614" s="334"/>
      <c r="P614" s="334"/>
      <c r="Q614" s="334"/>
      <c r="R614" s="334"/>
      <c r="S614" s="334"/>
      <c r="T614" s="334"/>
      <c r="U614" s="334"/>
      <c r="V614" s="334"/>
      <c r="W614" s="334"/>
      <c r="X614" s="334"/>
      <c r="Y614" s="334"/>
    </row>
    <row r="615" spans="1:25">
      <c r="A615" s="334"/>
      <c r="B615" s="334"/>
      <c r="C615" s="334"/>
      <c r="D615" s="334"/>
      <c r="E615" s="334"/>
      <c r="F615" s="334"/>
      <c r="G615" s="334"/>
      <c r="H615" s="334"/>
      <c r="I615" s="334"/>
      <c r="J615" s="334"/>
      <c r="K615" s="334"/>
      <c r="L615" s="334"/>
      <c r="M615" s="334"/>
      <c r="N615" s="334"/>
      <c r="O615" s="334"/>
      <c r="P615" s="334"/>
      <c r="Q615" s="334"/>
      <c r="R615" s="334"/>
      <c r="S615" s="334"/>
      <c r="T615" s="334"/>
      <c r="U615" s="334"/>
      <c r="V615" s="334"/>
      <c r="W615" s="334"/>
      <c r="X615" s="334"/>
      <c r="Y615" s="334"/>
    </row>
    <row r="616" spans="1:25">
      <c r="A616" s="334"/>
      <c r="B616" s="334"/>
      <c r="C616" s="334"/>
      <c r="D616" s="334"/>
      <c r="E616" s="334"/>
      <c r="F616" s="334"/>
      <c r="G616" s="334"/>
      <c r="H616" s="334"/>
      <c r="I616" s="334"/>
      <c r="J616" s="334"/>
      <c r="K616" s="334"/>
      <c r="L616" s="334"/>
      <c r="M616" s="334"/>
      <c r="N616" s="334"/>
      <c r="O616" s="334"/>
      <c r="P616" s="334"/>
      <c r="Q616" s="334"/>
      <c r="R616" s="334"/>
      <c r="S616" s="334"/>
      <c r="T616" s="334"/>
      <c r="U616" s="334"/>
      <c r="V616" s="334"/>
      <c r="W616" s="334"/>
      <c r="X616" s="334"/>
      <c r="Y616" s="334"/>
    </row>
    <row r="617" spans="1:25">
      <c r="A617" s="334"/>
      <c r="B617" s="334"/>
      <c r="C617" s="334"/>
      <c r="D617" s="334"/>
      <c r="E617" s="334"/>
      <c r="F617" s="334"/>
      <c r="G617" s="334"/>
      <c r="H617" s="334"/>
      <c r="I617" s="334"/>
      <c r="J617" s="334"/>
      <c r="K617" s="334"/>
      <c r="L617" s="334"/>
      <c r="M617" s="334"/>
      <c r="N617" s="334"/>
      <c r="O617" s="334"/>
      <c r="P617" s="334"/>
      <c r="Q617" s="334"/>
      <c r="R617" s="334"/>
      <c r="S617" s="334"/>
      <c r="T617" s="334"/>
      <c r="U617" s="334"/>
      <c r="V617" s="334"/>
      <c r="W617" s="334"/>
      <c r="X617" s="334"/>
      <c r="Y617" s="334"/>
    </row>
    <row r="618" spans="1:25">
      <c r="A618" s="334"/>
      <c r="B618" s="334"/>
      <c r="C618" s="334"/>
      <c r="D618" s="334"/>
      <c r="E618" s="334"/>
      <c r="F618" s="334"/>
      <c r="G618" s="334"/>
      <c r="H618" s="334"/>
      <c r="I618" s="334"/>
      <c r="J618" s="334"/>
      <c r="K618" s="334"/>
      <c r="L618" s="334"/>
      <c r="M618" s="334"/>
      <c r="N618" s="334"/>
      <c r="O618" s="334"/>
      <c r="P618" s="334"/>
      <c r="Q618" s="334"/>
      <c r="R618" s="334"/>
      <c r="S618" s="334"/>
      <c r="T618" s="334"/>
      <c r="U618" s="334"/>
      <c r="V618" s="334"/>
      <c r="W618" s="334"/>
      <c r="X618" s="334"/>
      <c r="Y618" s="334"/>
    </row>
    <row r="619" spans="1:25">
      <c r="A619" s="334"/>
      <c r="B619" s="334"/>
      <c r="C619" s="334"/>
      <c r="D619" s="334"/>
      <c r="E619" s="334"/>
      <c r="F619" s="334"/>
      <c r="G619" s="334"/>
      <c r="H619" s="334"/>
      <c r="I619" s="334"/>
      <c r="J619" s="334"/>
      <c r="K619" s="334"/>
      <c r="L619" s="334"/>
      <c r="M619" s="334"/>
      <c r="N619" s="334"/>
      <c r="O619" s="334"/>
      <c r="P619" s="334"/>
      <c r="Q619" s="334"/>
      <c r="R619" s="334"/>
      <c r="S619" s="334"/>
      <c r="T619" s="334"/>
      <c r="U619" s="334"/>
      <c r="V619" s="334"/>
      <c r="W619" s="334"/>
      <c r="X619" s="334"/>
      <c r="Y619" s="334"/>
    </row>
    <row r="620" spans="1:25">
      <c r="A620" s="334"/>
      <c r="B620" s="334"/>
      <c r="C620" s="334"/>
      <c r="D620" s="334"/>
      <c r="E620" s="334"/>
      <c r="F620" s="334"/>
      <c r="G620" s="334"/>
      <c r="H620" s="334"/>
      <c r="I620" s="334"/>
      <c r="J620" s="334"/>
      <c r="K620" s="334"/>
      <c r="L620" s="334"/>
      <c r="M620" s="334"/>
      <c r="N620" s="334"/>
      <c r="O620" s="334"/>
      <c r="P620" s="334"/>
      <c r="Q620" s="334"/>
      <c r="R620" s="334"/>
      <c r="S620" s="334"/>
      <c r="T620" s="334"/>
      <c r="U620" s="334"/>
      <c r="V620" s="334"/>
      <c r="W620" s="334"/>
      <c r="X620" s="334"/>
      <c r="Y620" s="334"/>
    </row>
    <row r="621" spans="1:25">
      <c r="A621" s="334"/>
      <c r="B621" s="334"/>
      <c r="C621" s="334"/>
      <c r="D621" s="334"/>
      <c r="E621" s="334"/>
      <c r="F621" s="334"/>
      <c r="G621" s="334"/>
      <c r="H621" s="334"/>
      <c r="I621" s="334"/>
      <c r="J621" s="334"/>
      <c r="K621" s="334"/>
      <c r="L621" s="334"/>
      <c r="M621" s="334"/>
      <c r="N621" s="334"/>
      <c r="O621" s="334"/>
      <c r="P621" s="334"/>
      <c r="Q621" s="334"/>
      <c r="R621" s="334"/>
      <c r="S621" s="334"/>
      <c r="T621" s="334"/>
      <c r="U621" s="334"/>
      <c r="V621" s="334"/>
      <c r="W621" s="334"/>
      <c r="X621" s="334"/>
      <c r="Y621" s="334"/>
    </row>
    <row r="622" spans="1:25">
      <c r="A622" s="334"/>
      <c r="B622" s="334"/>
      <c r="C622" s="334"/>
      <c r="D622" s="334"/>
      <c r="E622" s="334"/>
      <c r="F622" s="334"/>
      <c r="G622" s="334"/>
      <c r="H622" s="334"/>
      <c r="I622" s="334"/>
      <c r="J622" s="334"/>
      <c r="K622" s="334"/>
      <c r="L622" s="334"/>
      <c r="M622" s="334"/>
      <c r="N622" s="334"/>
      <c r="O622" s="334"/>
      <c r="P622" s="334"/>
      <c r="Q622" s="334"/>
      <c r="R622" s="334"/>
      <c r="S622" s="334"/>
      <c r="T622" s="334"/>
      <c r="U622" s="334"/>
      <c r="V622" s="334"/>
      <c r="W622" s="334"/>
      <c r="X622" s="334"/>
      <c r="Y622" s="334"/>
    </row>
    <row r="623" spans="1:25">
      <c r="A623" s="334"/>
      <c r="B623" s="334"/>
      <c r="C623" s="334"/>
      <c r="D623" s="334"/>
      <c r="E623" s="334"/>
      <c r="F623" s="334"/>
      <c r="G623" s="334"/>
      <c r="H623" s="334"/>
      <c r="I623" s="334"/>
      <c r="J623" s="334"/>
      <c r="K623" s="334"/>
      <c r="L623" s="334"/>
      <c r="M623" s="334"/>
      <c r="N623" s="334"/>
      <c r="O623" s="334"/>
      <c r="P623" s="334"/>
      <c r="Q623" s="334"/>
      <c r="R623" s="334"/>
      <c r="S623" s="334"/>
      <c r="T623" s="334"/>
      <c r="U623" s="334"/>
      <c r="V623" s="334"/>
      <c r="W623" s="334"/>
      <c r="X623" s="334"/>
      <c r="Y623" s="334"/>
    </row>
    <row r="624" spans="1:25">
      <c r="A624" s="334"/>
      <c r="B624" s="334"/>
      <c r="C624" s="334"/>
      <c r="D624" s="334"/>
      <c r="E624" s="334"/>
      <c r="F624" s="334"/>
      <c r="G624" s="334"/>
      <c r="H624" s="334"/>
      <c r="I624" s="334"/>
      <c r="J624" s="334"/>
      <c r="K624" s="334"/>
      <c r="L624" s="334"/>
      <c r="M624" s="334"/>
      <c r="N624" s="334"/>
      <c r="O624" s="334"/>
      <c r="P624" s="334"/>
      <c r="Q624" s="334"/>
      <c r="R624" s="334"/>
      <c r="S624" s="334"/>
      <c r="T624" s="334"/>
      <c r="U624" s="334"/>
      <c r="V624" s="334"/>
      <c r="W624" s="334"/>
      <c r="X624" s="334"/>
      <c r="Y624" s="334"/>
    </row>
    <row r="625" spans="1:25">
      <c r="A625" s="334"/>
      <c r="B625" s="334"/>
      <c r="C625" s="334"/>
      <c r="D625" s="334"/>
      <c r="E625" s="334"/>
      <c r="F625" s="334"/>
      <c r="G625" s="334"/>
      <c r="H625" s="334"/>
      <c r="I625" s="334"/>
      <c r="J625" s="334"/>
      <c r="K625" s="334"/>
      <c r="L625" s="334"/>
      <c r="M625" s="334"/>
      <c r="N625" s="334"/>
      <c r="O625" s="334"/>
      <c r="P625" s="334"/>
      <c r="Q625" s="334"/>
      <c r="R625" s="334"/>
      <c r="S625" s="334"/>
      <c r="T625" s="334"/>
      <c r="U625" s="334"/>
      <c r="V625" s="334"/>
      <c r="W625" s="334"/>
      <c r="X625" s="334"/>
      <c r="Y625" s="334"/>
    </row>
    <row r="626" spans="1:25">
      <c r="A626" s="334"/>
      <c r="B626" s="334"/>
      <c r="C626" s="334"/>
      <c r="D626" s="334"/>
      <c r="E626" s="334"/>
      <c r="F626" s="334"/>
      <c r="G626" s="334"/>
      <c r="H626" s="334"/>
      <c r="I626" s="334"/>
      <c r="J626" s="334"/>
      <c r="K626" s="334"/>
      <c r="L626" s="334"/>
      <c r="M626" s="334"/>
      <c r="N626" s="334"/>
      <c r="O626" s="334"/>
      <c r="P626" s="334"/>
      <c r="Q626" s="334"/>
      <c r="R626" s="334"/>
      <c r="S626" s="334"/>
      <c r="T626" s="334"/>
      <c r="U626" s="334"/>
      <c r="V626" s="334"/>
      <c r="W626" s="334"/>
      <c r="X626" s="334"/>
      <c r="Y626" s="334"/>
    </row>
    <row r="627" spans="1:25">
      <c r="A627" s="334"/>
      <c r="B627" s="334"/>
      <c r="C627" s="334"/>
      <c r="D627" s="334"/>
      <c r="E627" s="334"/>
      <c r="F627" s="334"/>
      <c r="G627" s="334"/>
      <c r="H627" s="334"/>
      <c r="I627" s="334"/>
      <c r="J627" s="334"/>
      <c r="K627" s="334"/>
      <c r="L627" s="334"/>
      <c r="M627" s="334"/>
      <c r="N627" s="334"/>
      <c r="O627" s="334"/>
      <c r="P627" s="334"/>
      <c r="Q627" s="334"/>
      <c r="R627" s="334"/>
      <c r="S627" s="334"/>
      <c r="T627" s="334"/>
      <c r="U627" s="334"/>
      <c r="V627" s="334"/>
      <c r="W627" s="334"/>
      <c r="X627" s="334"/>
      <c r="Y627" s="334"/>
    </row>
    <row r="628" spans="1:25">
      <c r="A628" s="334"/>
      <c r="B628" s="334"/>
      <c r="C628" s="334"/>
      <c r="D628" s="334"/>
      <c r="E628" s="334"/>
      <c r="F628" s="334"/>
      <c r="G628" s="334"/>
      <c r="H628" s="334"/>
      <c r="I628" s="334"/>
      <c r="J628" s="334"/>
      <c r="K628" s="334"/>
      <c r="L628" s="334"/>
      <c r="M628" s="334"/>
      <c r="N628" s="334"/>
      <c r="O628" s="334"/>
      <c r="P628" s="334"/>
      <c r="Q628" s="334"/>
      <c r="R628" s="334"/>
      <c r="S628" s="334"/>
      <c r="T628" s="334"/>
      <c r="U628" s="334"/>
      <c r="V628" s="334"/>
      <c r="W628" s="334"/>
      <c r="X628" s="334"/>
      <c r="Y628" s="334"/>
    </row>
    <row r="629" spans="1:25">
      <c r="A629" s="334"/>
      <c r="B629" s="334"/>
      <c r="C629" s="334"/>
      <c r="D629" s="334"/>
      <c r="E629" s="334"/>
      <c r="F629" s="334"/>
      <c r="G629" s="334"/>
      <c r="H629" s="334"/>
      <c r="I629" s="334"/>
      <c r="J629" s="334"/>
      <c r="K629" s="334"/>
      <c r="L629" s="334"/>
      <c r="M629" s="334"/>
      <c r="N629" s="334"/>
      <c r="O629" s="334"/>
      <c r="P629" s="334"/>
      <c r="Q629" s="334"/>
      <c r="R629" s="334"/>
      <c r="S629" s="334"/>
      <c r="T629" s="334"/>
      <c r="U629" s="334"/>
      <c r="V629" s="334"/>
      <c r="W629" s="334"/>
      <c r="X629" s="334"/>
      <c r="Y629" s="334"/>
    </row>
    <row r="630" spans="1:25">
      <c r="A630" s="334"/>
      <c r="B630" s="334"/>
      <c r="C630" s="334"/>
      <c r="D630" s="334"/>
      <c r="E630" s="334"/>
      <c r="F630" s="334"/>
      <c r="G630" s="334"/>
      <c r="H630" s="334"/>
      <c r="I630" s="334"/>
      <c r="J630" s="334"/>
      <c r="K630" s="334"/>
      <c r="L630" s="334"/>
      <c r="M630" s="334"/>
      <c r="N630" s="334"/>
      <c r="O630" s="334"/>
      <c r="P630" s="334"/>
      <c r="Q630" s="334"/>
      <c r="R630" s="334"/>
      <c r="S630" s="334"/>
      <c r="T630" s="334"/>
      <c r="U630" s="334"/>
      <c r="V630" s="334"/>
      <c r="W630" s="334"/>
      <c r="X630" s="334"/>
      <c r="Y630" s="334"/>
    </row>
    <row r="631" spans="1:25">
      <c r="A631" s="334"/>
      <c r="B631" s="334"/>
      <c r="C631" s="334"/>
      <c r="D631" s="334"/>
      <c r="E631" s="334"/>
      <c r="F631" s="334"/>
      <c r="G631" s="334"/>
      <c r="H631" s="334"/>
      <c r="I631" s="334"/>
      <c r="J631" s="334"/>
      <c r="K631" s="334"/>
      <c r="L631" s="334"/>
      <c r="M631" s="334"/>
      <c r="N631" s="334"/>
      <c r="O631" s="334"/>
      <c r="P631" s="334"/>
      <c r="Q631" s="334"/>
      <c r="R631" s="334"/>
      <c r="S631" s="334"/>
      <c r="T631" s="334"/>
      <c r="U631" s="334"/>
      <c r="V631" s="334"/>
      <c r="W631" s="334"/>
      <c r="X631" s="334"/>
      <c r="Y631" s="334"/>
    </row>
  </sheetData>
  <mergeCells count="2">
    <mergeCell ref="AX60:BB60"/>
    <mergeCell ref="AB4:AG4"/>
  </mergeCells>
  <pageMargins left="0.7" right="0.7" top="0.75" bottom="0.75" header="0.3" footer="0.3"/>
  <pageSetup orientation="portrait" r:id="rId1"/>
  <drawing r:id="rId2"/>
</worksheet>
</file>

<file path=xl/worksheets/sheet16.xml><?xml version="1.0" encoding="utf-8"?>
<worksheet xmlns="http://schemas.openxmlformats.org/spreadsheetml/2006/main" xmlns:r="http://schemas.openxmlformats.org/officeDocument/2006/relationships">
  <sheetPr>
    <tabColor rgb="FFFFFF00"/>
  </sheetPr>
  <dimension ref="A4:CN61"/>
  <sheetViews>
    <sheetView topLeftCell="AT4" workbookViewId="0">
      <selection activeCell="BB34" sqref="BB34"/>
    </sheetView>
  </sheetViews>
  <sheetFormatPr defaultRowHeight="12.75"/>
  <cols>
    <col min="1" max="1" width="17" customWidth="1"/>
    <col min="2" max="2" width="23.140625" customWidth="1"/>
    <col min="3" max="3" width="14.28515625" customWidth="1"/>
    <col min="4" max="4" width="16.5703125" customWidth="1"/>
    <col min="5" max="5" width="16.140625" customWidth="1"/>
    <col min="6" max="6" width="22.28515625" customWidth="1"/>
    <col min="7" max="7" width="21.42578125" customWidth="1"/>
    <col min="8" max="8" width="16.7109375" customWidth="1"/>
    <col min="9" max="9" width="20.28515625" customWidth="1"/>
    <col min="10" max="10" width="24.28515625" customWidth="1"/>
    <col min="11" max="11" width="25.5703125" customWidth="1"/>
    <col min="12" max="12" width="24.140625" customWidth="1"/>
    <col min="13" max="13" width="33.85546875" customWidth="1"/>
    <col min="14" max="14" width="6.42578125" customWidth="1"/>
    <col min="15" max="15" width="11.85546875" customWidth="1"/>
    <col min="16" max="16" width="14.28515625" customWidth="1"/>
    <col min="17" max="17" width="19.140625" customWidth="1"/>
    <col min="18" max="18" width="28.5703125" customWidth="1"/>
    <col min="19" max="19" width="34.140625" customWidth="1"/>
    <col min="20" max="20" width="8.85546875" customWidth="1"/>
    <col min="21" max="21" width="19.140625" customWidth="1"/>
    <col min="22" max="22" width="28.5703125" customWidth="1"/>
    <col min="23" max="23" width="17.42578125" customWidth="1"/>
    <col min="24" max="24" width="9.42578125" customWidth="1"/>
    <col min="25" max="25" width="19.140625" customWidth="1"/>
    <col min="26" max="26" width="28.5703125" customWidth="1"/>
    <col min="27" max="27" width="13.140625" customWidth="1"/>
    <col min="28" max="28" width="12.85546875" customWidth="1"/>
    <col min="29" max="29" width="29.28515625" customWidth="1"/>
    <col min="30" max="30" width="19.42578125" customWidth="1"/>
    <col min="31" max="31" width="24.28515625" customWidth="1"/>
    <col min="32" max="32" width="14" customWidth="1"/>
    <col min="33" max="33" width="13.28515625" customWidth="1"/>
    <col min="34" max="34" width="16.7109375" customWidth="1"/>
    <col min="35" max="35" width="20.28515625" customWidth="1"/>
    <col min="36" max="36" width="15.7109375" customWidth="1"/>
    <col min="37" max="38" width="16" customWidth="1"/>
    <col min="39" max="39" width="39.140625" customWidth="1"/>
    <col min="40" max="40" width="38.85546875" customWidth="1"/>
    <col min="41" max="41" width="19.5703125" customWidth="1"/>
    <col min="42" max="42" width="19.42578125" customWidth="1"/>
    <col min="43" max="43" width="22.42578125" customWidth="1"/>
    <col min="44" max="44" width="11.28515625" customWidth="1"/>
    <col min="45" max="45" width="12.85546875" customWidth="1"/>
    <col min="46" max="46" width="5.5703125" customWidth="1"/>
    <col min="47" max="47" width="25.140625" customWidth="1"/>
    <col min="48" max="48" width="22.42578125" customWidth="1"/>
    <col min="49" max="49" width="25.5703125" customWidth="1"/>
    <col min="50" max="50" width="25.140625" customWidth="1"/>
    <col min="51" max="51" width="26" customWidth="1"/>
    <col min="52" max="52" width="26.28515625" customWidth="1"/>
    <col min="53" max="53" width="23.7109375" customWidth="1"/>
    <col min="54" max="54" width="17" customWidth="1"/>
    <col min="55" max="55" width="22.42578125" customWidth="1"/>
    <col min="56" max="56" width="19.28515625" customWidth="1"/>
    <col min="60" max="60" width="12" customWidth="1"/>
    <col min="66" max="66" width="11.7109375" customWidth="1"/>
    <col min="67" max="67" width="14" customWidth="1"/>
    <col min="71" max="71" width="16.42578125" customWidth="1"/>
    <col min="72" max="72" width="14.7109375" customWidth="1"/>
    <col min="78" max="78" width="12" customWidth="1"/>
  </cols>
  <sheetData>
    <row r="4" spans="1:92" ht="23.25" customHeight="1">
      <c r="A4" s="68" t="s">
        <v>131</v>
      </c>
      <c r="B4" s="69" t="s">
        <v>132</v>
      </c>
    </row>
    <row r="6" spans="1:92" ht="33.75">
      <c r="A6" s="65" t="s">
        <v>63</v>
      </c>
      <c r="B6" s="66"/>
      <c r="C6" s="66"/>
      <c r="D6" s="66"/>
      <c r="E6" s="66"/>
      <c r="F6" s="66"/>
      <c r="G6" s="66"/>
      <c r="H6" s="66"/>
      <c r="I6" s="66"/>
      <c r="J6" s="66"/>
      <c r="K6" s="66"/>
      <c r="L6" s="66"/>
      <c r="M6" s="66"/>
      <c r="N6" s="66"/>
      <c r="O6" s="66"/>
      <c r="P6" s="66"/>
      <c r="Q6" s="66"/>
      <c r="R6" s="66"/>
      <c r="S6" s="66"/>
      <c r="T6" s="66"/>
      <c r="U6" s="66"/>
      <c r="V6" s="66"/>
      <c r="W6" s="66"/>
      <c r="X6" s="66"/>
      <c r="Y6" s="66"/>
      <c r="Z6" s="66"/>
      <c r="AA6" s="66"/>
      <c r="AB6" s="66"/>
      <c r="AC6" s="66"/>
      <c r="AD6" s="66"/>
      <c r="AE6" s="66"/>
      <c r="AF6" s="66"/>
      <c r="AG6" s="66"/>
      <c r="AH6" s="66"/>
      <c r="AI6" s="66"/>
      <c r="AJ6" s="66"/>
      <c r="AK6" s="66"/>
      <c r="AL6" s="66"/>
      <c r="AM6" s="66"/>
      <c r="AN6" s="66"/>
      <c r="AO6" s="66"/>
      <c r="AP6" s="66"/>
      <c r="AQ6" s="66"/>
      <c r="AR6" s="66"/>
      <c r="AS6" s="66"/>
      <c r="AT6" s="66"/>
      <c r="AU6" s="66"/>
      <c r="AV6" s="66"/>
      <c r="AW6" s="67"/>
      <c r="AX6" s="67"/>
      <c r="AY6" s="67"/>
      <c r="AZ6" s="67"/>
      <c r="BA6" s="67"/>
      <c r="BB6" s="67"/>
      <c r="BC6" s="67"/>
      <c r="BD6" s="67"/>
      <c r="CG6" s="90" t="s">
        <v>64</v>
      </c>
      <c r="CH6" s="90" t="s">
        <v>63</v>
      </c>
      <c r="CL6" s="90" t="s">
        <v>64</v>
      </c>
      <c r="CM6" s="90" t="s">
        <v>63</v>
      </c>
      <c r="CN6" s="100"/>
    </row>
    <row r="7" spans="1:92">
      <c r="A7" s="90" t="s">
        <v>64</v>
      </c>
      <c r="B7" s="90" t="s">
        <v>63</v>
      </c>
      <c r="C7" s="100"/>
      <c r="R7" s="90" t="s">
        <v>64</v>
      </c>
      <c r="S7" s="90" t="s">
        <v>63</v>
      </c>
      <c r="X7" s="90" t="s">
        <v>64</v>
      </c>
      <c r="Y7" s="90" t="s">
        <v>63</v>
      </c>
      <c r="AW7" s="90" t="s">
        <v>64</v>
      </c>
      <c r="AX7" s="90" t="s">
        <v>63</v>
      </c>
      <c r="AY7" s="100"/>
      <c r="BA7" s="90" t="s">
        <v>64</v>
      </c>
      <c r="BB7" s="90" t="s">
        <v>63</v>
      </c>
      <c r="BG7" s="90" t="s">
        <v>64</v>
      </c>
      <c r="BH7" s="90" t="s">
        <v>63</v>
      </c>
      <c r="BI7" s="100"/>
      <c r="BJ7" s="100"/>
      <c r="BN7" s="90" t="s">
        <v>64</v>
      </c>
      <c r="BO7" s="90" t="s">
        <v>63</v>
      </c>
      <c r="BS7" s="90" t="s">
        <v>64</v>
      </c>
      <c r="BT7" s="90" t="s">
        <v>63</v>
      </c>
      <c r="BX7" s="90" t="s">
        <v>64</v>
      </c>
      <c r="BY7" s="90" t="s">
        <v>63</v>
      </c>
      <c r="CB7" s="90" t="s">
        <v>64</v>
      </c>
      <c r="CC7" s="90" t="s">
        <v>63</v>
      </c>
      <c r="CG7" s="90" t="s">
        <v>67</v>
      </c>
      <c r="CH7" s="90" t="s">
        <v>68</v>
      </c>
      <c r="CL7" s="90" t="s">
        <v>67</v>
      </c>
      <c r="CM7" s="90" t="s">
        <v>82</v>
      </c>
      <c r="CN7" s="100"/>
    </row>
    <row r="8" spans="1:92" ht="51">
      <c r="A8" s="91" t="s">
        <v>65</v>
      </c>
      <c r="B8" s="90" t="s">
        <v>66</v>
      </c>
      <c r="C8" s="100"/>
      <c r="R8" s="90"/>
      <c r="S8" s="90"/>
      <c r="X8" s="90"/>
      <c r="Y8" s="90"/>
      <c r="AD8" s="90" t="s">
        <v>64</v>
      </c>
      <c r="AE8" s="90" t="s">
        <v>63</v>
      </c>
      <c r="AN8" s="59" t="s">
        <v>64</v>
      </c>
      <c r="AO8" s="59" t="s">
        <v>63</v>
      </c>
      <c r="AW8" s="90" t="s">
        <v>67</v>
      </c>
      <c r="AX8" s="90" t="s">
        <v>68</v>
      </c>
      <c r="AY8" s="100"/>
      <c r="BA8" s="90" t="s">
        <v>67</v>
      </c>
      <c r="BB8" s="90" t="s">
        <v>87</v>
      </c>
      <c r="BC8" t="s">
        <v>151</v>
      </c>
      <c r="BG8" s="90" t="s">
        <v>67</v>
      </c>
      <c r="BH8" s="90" t="s">
        <v>68</v>
      </c>
      <c r="BI8" s="100"/>
      <c r="BJ8" s="100"/>
      <c r="BN8" s="90" t="s">
        <v>67</v>
      </c>
      <c r="BO8" s="90" t="s">
        <v>68</v>
      </c>
      <c r="BS8" s="91" t="s">
        <v>67</v>
      </c>
      <c r="BT8" s="90" t="s">
        <v>82</v>
      </c>
      <c r="BU8" t="s">
        <v>150</v>
      </c>
      <c r="BX8" s="91" t="s">
        <v>67</v>
      </c>
      <c r="BY8" s="90" t="s">
        <v>82</v>
      </c>
      <c r="BZ8" t="s">
        <v>150</v>
      </c>
      <c r="CB8" s="91" t="s">
        <v>67</v>
      </c>
      <c r="CC8" s="90" t="s">
        <v>87</v>
      </c>
      <c r="CD8" t="s">
        <v>151</v>
      </c>
      <c r="CG8" s="90" t="s">
        <v>148</v>
      </c>
      <c r="CH8" s="90" t="s">
        <v>72</v>
      </c>
      <c r="CL8" s="90" t="s">
        <v>148</v>
      </c>
      <c r="CM8" s="90" t="s">
        <v>130</v>
      </c>
      <c r="CN8" s="100"/>
    </row>
    <row r="9" spans="1:92" s="62" customFormat="1" ht="51">
      <c r="A9" s="91"/>
      <c r="B9" s="91"/>
      <c r="C9" s="101"/>
      <c r="E9" s="91" t="s">
        <v>64</v>
      </c>
      <c r="F9" s="91" t="s">
        <v>63</v>
      </c>
      <c r="I9" s="91" t="s">
        <v>64</v>
      </c>
      <c r="J9" s="91" t="s">
        <v>63</v>
      </c>
      <c r="L9" s="91" t="s">
        <v>64</v>
      </c>
      <c r="M9" s="91" t="s">
        <v>63</v>
      </c>
      <c r="O9" s="91" t="s">
        <v>64</v>
      </c>
      <c r="P9" s="91" t="s">
        <v>63</v>
      </c>
      <c r="R9" s="91"/>
      <c r="S9" s="91" t="s">
        <v>69</v>
      </c>
      <c r="T9" s="61"/>
      <c r="U9" s="61"/>
      <c r="V9" s="61"/>
      <c r="X9" s="91" t="s">
        <v>70</v>
      </c>
      <c r="Y9" s="91" t="s">
        <v>69</v>
      </c>
      <c r="Z9" s="61"/>
      <c r="AA9" s="61"/>
      <c r="AB9" s="61"/>
      <c r="AD9" s="91"/>
      <c r="AE9" s="91"/>
      <c r="AN9" s="61"/>
      <c r="AO9" s="61"/>
      <c r="AW9" s="91"/>
      <c r="AX9" s="91"/>
      <c r="AY9" s="101"/>
      <c r="BA9" s="91"/>
      <c r="BB9" s="91"/>
      <c r="BG9" s="91"/>
      <c r="BH9" s="91"/>
      <c r="BI9" s="101"/>
      <c r="BJ9" s="101"/>
      <c r="BN9" s="91"/>
      <c r="BO9" s="91"/>
      <c r="BS9" s="91"/>
      <c r="BT9" s="91"/>
      <c r="BX9" s="91"/>
      <c r="BY9" s="91"/>
      <c r="CB9" s="91"/>
      <c r="CC9" s="91"/>
      <c r="CG9" s="91"/>
      <c r="CH9" s="91"/>
      <c r="CL9" s="91"/>
      <c r="CM9" s="91"/>
      <c r="CN9" s="101"/>
    </row>
    <row r="10" spans="1:92" ht="38.25">
      <c r="A10" s="91"/>
      <c r="B10" s="90" t="s">
        <v>71</v>
      </c>
      <c r="C10" s="91"/>
      <c r="E10" s="90"/>
      <c r="F10" s="90"/>
      <c r="I10" s="90"/>
      <c r="J10" s="90"/>
      <c r="L10" s="90"/>
      <c r="M10" s="90"/>
      <c r="O10" s="90"/>
      <c r="P10" s="90"/>
      <c r="R10" s="91"/>
      <c r="S10" s="90" t="s">
        <v>72</v>
      </c>
      <c r="T10" s="59"/>
      <c r="U10" s="59"/>
      <c r="V10" s="59"/>
      <c r="X10" s="91"/>
      <c r="Y10" s="90" t="s">
        <v>72</v>
      </c>
      <c r="Z10" s="90"/>
      <c r="AA10" s="90"/>
      <c r="AB10" s="91" t="s">
        <v>73</v>
      </c>
      <c r="AD10" s="91" t="s">
        <v>70</v>
      </c>
      <c r="AE10" s="90" t="s">
        <v>69</v>
      </c>
      <c r="AF10" s="61"/>
      <c r="AG10" s="61"/>
      <c r="AH10" s="61"/>
      <c r="AI10" s="61"/>
      <c r="AJ10" s="61"/>
      <c r="AK10" s="61"/>
      <c r="AL10" s="61"/>
      <c r="AN10" s="61" t="s">
        <v>70</v>
      </c>
      <c r="AO10" s="59" t="s">
        <v>69</v>
      </c>
      <c r="AW10" s="91"/>
      <c r="AX10" s="90" t="s">
        <v>71</v>
      </c>
      <c r="AY10" s="91"/>
      <c r="BA10" s="91"/>
      <c r="BB10" s="90" t="s">
        <v>71</v>
      </c>
      <c r="BC10" s="61"/>
      <c r="BD10" s="61"/>
      <c r="BG10" s="91"/>
      <c r="BH10" s="90" t="s">
        <v>71</v>
      </c>
      <c r="BI10" s="91"/>
      <c r="BJ10" s="91"/>
      <c r="BN10" s="91"/>
      <c r="BO10" s="90" t="s">
        <v>71</v>
      </c>
      <c r="BP10" s="61"/>
      <c r="BQ10" s="61"/>
      <c r="BS10" s="91"/>
      <c r="BT10" s="90" t="s">
        <v>71</v>
      </c>
      <c r="BU10" s="61"/>
      <c r="BX10" s="91"/>
      <c r="BY10" s="90" t="s">
        <v>71</v>
      </c>
      <c r="BZ10" s="61"/>
      <c r="CB10" s="91"/>
      <c r="CC10" s="90" t="s">
        <v>71</v>
      </c>
      <c r="CD10" s="61"/>
      <c r="CG10" s="90"/>
      <c r="CH10" s="90" t="s">
        <v>71</v>
      </c>
      <c r="CI10" s="59"/>
      <c r="CJ10" s="59"/>
      <c r="CL10" s="90"/>
      <c r="CM10" s="90" t="s">
        <v>71</v>
      </c>
      <c r="CN10" s="90"/>
    </row>
    <row r="11" spans="1:92" s="62" customFormat="1" ht="76.5">
      <c r="A11" s="91" t="s">
        <v>74</v>
      </c>
      <c r="B11" s="91" t="s">
        <v>70</v>
      </c>
      <c r="C11" s="91" t="s">
        <v>75</v>
      </c>
      <c r="E11" s="91" t="s">
        <v>74</v>
      </c>
      <c r="F11" s="91" t="s">
        <v>75</v>
      </c>
      <c r="I11" s="91" t="s">
        <v>74</v>
      </c>
      <c r="J11" s="91" t="s">
        <v>75</v>
      </c>
      <c r="L11" s="91" t="s">
        <v>74</v>
      </c>
      <c r="M11" s="91" t="s">
        <v>75</v>
      </c>
      <c r="O11" s="91" t="s">
        <v>74</v>
      </c>
      <c r="P11" s="91" t="s">
        <v>75</v>
      </c>
      <c r="R11" s="91" t="s">
        <v>74</v>
      </c>
      <c r="S11" s="91" t="s">
        <v>70</v>
      </c>
      <c r="T11" s="91" t="s">
        <v>75</v>
      </c>
      <c r="U11" s="91" t="s">
        <v>76</v>
      </c>
      <c r="V11" s="91" t="s">
        <v>77</v>
      </c>
      <c r="X11" s="91" t="s">
        <v>74</v>
      </c>
      <c r="Y11" s="91" t="s">
        <v>78</v>
      </c>
      <c r="Z11" s="91" t="s">
        <v>79</v>
      </c>
      <c r="AA11" s="91" t="s">
        <v>80</v>
      </c>
      <c r="AB11" s="91"/>
      <c r="AD11" s="91" t="s">
        <v>74</v>
      </c>
      <c r="AE11" s="91" t="s">
        <v>81</v>
      </c>
      <c r="AF11" s="91" t="s">
        <v>82</v>
      </c>
      <c r="AG11" s="91" t="s">
        <v>83</v>
      </c>
      <c r="AH11" s="91" t="s">
        <v>68</v>
      </c>
      <c r="AI11" s="91" t="s">
        <v>84</v>
      </c>
      <c r="AJ11" s="91" t="s">
        <v>85</v>
      </c>
      <c r="AK11" s="91" t="s">
        <v>86</v>
      </c>
      <c r="AL11" s="91" t="s">
        <v>87</v>
      </c>
      <c r="AN11" s="61" t="s">
        <v>74</v>
      </c>
      <c r="AO11" s="61" t="s">
        <v>72</v>
      </c>
      <c r="AW11" s="91" t="s">
        <v>74</v>
      </c>
      <c r="AX11" s="91" t="s">
        <v>70</v>
      </c>
      <c r="AY11" s="91" t="s">
        <v>75</v>
      </c>
      <c r="BA11" s="91" t="s">
        <v>74</v>
      </c>
      <c r="BB11" s="91" t="s">
        <v>70</v>
      </c>
      <c r="BC11" s="91" t="s">
        <v>76</v>
      </c>
      <c r="BD11" s="91" t="s">
        <v>77</v>
      </c>
      <c r="BG11" s="91" t="s">
        <v>74</v>
      </c>
      <c r="BH11" s="91" t="s">
        <v>70</v>
      </c>
      <c r="BI11" s="91" t="s">
        <v>76</v>
      </c>
      <c r="BJ11" s="91" t="s">
        <v>77</v>
      </c>
      <c r="BN11" s="91" t="s">
        <v>74</v>
      </c>
      <c r="BO11" s="91" t="s">
        <v>70</v>
      </c>
      <c r="BP11" s="91" t="s">
        <v>76</v>
      </c>
      <c r="BQ11" s="91" t="s">
        <v>141</v>
      </c>
      <c r="BS11" s="91" t="s">
        <v>74</v>
      </c>
      <c r="BT11" s="91" t="s">
        <v>75</v>
      </c>
      <c r="BU11" s="91" t="s">
        <v>70</v>
      </c>
      <c r="BX11" s="91" t="s">
        <v>74</v>
      </c>
      <c r="BY11" s="91" t="s">
        <v>75</v>
      </c>
      <c r="BZ11" s="91" t="s">
        <v>139</v>
      </c>
      <c r="CB11" s="91" t="s">
        <v>74</v>
      </c>
      <c r="CC11" s="91" t="s">
        <v>75</v>
      </c>
      <c r="CD11" s="91" t="s">
        <v>139</v>
      </c>
      <c r="CG11" s="91" t="s">
        <v>74</v>
      </c>
      <c r="CH11" s="91" t="s">
        <v>75</v>
      </c>
      <c r="CI11" s="91" t="s">
        <v>139</v>
      </c>
      <c r="CJ11" s="91" t="s">
        <v>149</v>
      </c>
      <c r="CL11" s="91" t="s">
        <v>74</v>
      </c>
      <c r="CM11" s="91" t="s">
        <v>75</v>
      </c>
      <c r="CN11" s="91" t="s">
        <v>139</v>
      </c>
    </row>
    <row r="12" spans="1:92">
      <c r="A12" s="63" t="s">
        <v>88</v>
      </c>
      <c r="B12" s="59">
        <v>25504692.955591794</v>
      </c>
      <c r="C12" s="60">
        <v>5.3037436102564416E-2</v>
      </c>
      <c r="E12" s="63" t="s">
        <v>81</v>
      </c>
      <c r="F12" s="60">
        <v>3.6352975239778484E-2</v>
      </c>
      <c r="I12" s="63" t="s">
        <v>89</v>
      </c>
      <c r="J12" s="60">
        <v>4.7532159139268219E-2</v>
      </c>
      <c r="L12" s="63" t="s">
        <v>90</v>
      </c>
      <c r="M12" s="60">
        <v>0.13591993361431329</v>
      </c>
      <c r="O12" s="63" t="s">
        <v>72</v>
      </c>
      <c r="P12" s="60">
        <v>1</v>
      </c>
      <c r="R12" s="63" t="s">
        <v>78</v>
      </c>
      <c r="S12" s="59">
        <v>162944234.84562877</v>
      </c>
      <c r="T12" s="60">
        <v>0.68662541414577283</v>
      </c>
      <c r="U12" s="59">
        <v>358.7695290682687</v>
      </c>
      <c r="V12" s="59">
        <v>218.03782505910166</v>
      </c>
      <c r="X12" s="63" t="s">
        <v>88</v>
      </c>
      <c r="Y12" s="60">
        <v>3.4290010385869341E-3</v>
      </c>
      <c r="Z12" s="60">
        <v>0</v>
      </c>
      <c r="AA12" s="60">
        <v>0</v>
      </c>
      <c r="AB12" s="60">
        <v>2.3544392582260389E-3</v>
      </c>
      <c r="AD12" s="63" t="s">
        <v>88</v>
      </c>
      <c r="AE12" s="60">
        <v>4.9730410631409006E-3</v>
      </c>
      <c r="AF12" s="60">
        <v>0.10891408500145854</v>
      </c>
      <c r="AG12" s="60">
        <v>1.9534988200141136E-3</v>
      </c>
      <c r="AH12" s="60">
        <v>3.5822559390598576E-3</v>
      </c>
      <c r="AI12" s="60">
        <v>3.5648870350376005E-2</v>
      </c>
      <c r="AJ12" s="60">
        <v>5.6271088739647387E-3</v>
      </c>
      <c r="AK12" s="60">
        <v>4.0225513449661923E-2</v>
      </c>
      <c r="AL12" s="60">
        <v>0.13771272830545248</v>
      </c>
      <c r="AN12" s="63" t="s">
        <v>91</v>
      </c>
      <c r="AO12" s="60">
        <v>1</v>
      </c>
      <c r="AW12" s="63" t="s">
        <v>92</v>
      </c>
      <c r="AX12" s="59">
        <v>38596913.75789237</v>
      </c>
      <c r="AY12" s="60">
        <v>0.1769631899454088</v>
      </c>
      <c r="BA12" s="92" t="s">
        <v>88</v>
      </c>
      <c r="BB12" s="83">
        <v>12034567.221077302</v>
      </c>
      <c r="BC12" s="83">
        <v>32.598116053443334</v>
      </c>
      <c r="BD12" s="83">
        <v>22.867424242424242</v>
      </c>
      <c r="BE12" s="103">
        <f>BC12/BD12</f>
        <v>1.4255263604619912</v>
      </c>
      <c r="BG12" s="63" t="s">
        <v>88</v>
      </c>
      <c r="BH12" s="59">
        <v>781315.16266882396</v>
      </c>
      <c r="BI12" s="59">
        <v>37.209455134069302</v>
      </c>
      <c r="BJ12" s="59">
        <v>29.444444444444443</v>
      </c>
      <c r="BN12" s="63" t="s">
        <v>91</v>
      </c>
      <c r="BO12" s="59">
        <v>200294031.58237338</v>
      </c>
      <c r="BP12" s="59">
        <v>491.20504946798337</v>
      </c>
      <c r="BQ12" s="59">
        <v>486</v>
      </c>
      <c r="BS12" s="79" t="s">
        <v>89</v>
      </c>
      <c r="BT12" s="61">
        <v>8070175.2709817179</v>
      </c>
      <c r="BU12" s="80">
        <v>7.2300730271445915E-2</v>
      </c>
      <c r="BX12" s="63" t="s">
        <v>89</v>
      </c>
      <c r="BY12" s="60">
        <v>7.230073027144597E-2</v>
      </c>
      <c r="BZ12" s="75">
        <v>1.2623588367845107</v>
      </c>
      <c r="CB12" s="63" t="s">
        <v>89</v>
      </c>
      <c r="CC12" s="60">
        <v>0.14593559613408968</v>
      </c>
      <c r="CD12" s="75">
        <v>0.64018787104770636</v>
      </c>
      <c r="CG12" s="59" t="s">
        <v>78</v>
      </c>
      <c r="CH12" s="60">
        <v>0.7470093718553098</v>
      </c>
      <c r="CI12" s="75">
        <v>0.33350837613211337</v>
      </c>
      <c r="CJ12" s="88">
        <v>0.78610378691398641</v>
      </c>
      <c r="CL12" s="59">
        <v>3</v>
      </c>
      <c r="CM12" s="60">
        <v>2.7859600112074006E-5</v>
      </c>
      <c r="CN12" s="75">
        <v>2.6515151515151518</v>
      </c>
    </row>
    <row r="13" spans="1:92">
      <c r="A13" s="63" t="s">
        <v>93</v>
      </c>
      <c r="B13" s="59">
        <v>4042976.3142621387</v>
      </c>
      <c r="C13" s="60">
        <v>8.4074369491614256E-3</v>
      </c>
      <c r="E13" s="63" t="s">
        <v>82</v>
      </c>
      <c r="F13" s="60">
        <v>0.23211473184432568</v>
      </c>
      <c r="I13" s="63" t="s">
        <v>94</v>
      </c>
      <c r="J13" s="60">
        <v>3.4765808144000907E-3</v>
      </c>
      <c r="L13" s="63" t="s">
        <v>95</v>
      </c>
      <c r="M13" s="60">
        <v>6.8619094407563509E-3</v>
      </c>
      <c r="O13" s="64" t="s">
        <v>81</v>
      </c>
      <c r="P13" s="60">
        <v>1.8563450568891398E-2</v>
      </c>
      <c r="R13" s="63" t="s">
        <v>79</v>
      </c>
      <c r="S13" s="59">
        <v>62643520.625224084</v>
      </c>
      <c r="T13" s="60">
        <v>0.26397149511667817</v>
      </c>
      <c r="U13" s="59">
        <v>906.94383557423328</v>
      </c>
      <c r="V13" s="59">
        <v>379.4959349593496</v>
      </c>
      <c r="X13" s="63" t="s">
        <v>96</v>
      </c>
      <c r="Y13" s="60">
        <v>4.3696483242309687E-2</v>
      </c>
      <c r="Z13" s="60">
        <v>0</v>
      </c>
      <c r="AA13" s="60">
        <v>0</v>
      </c>
      <c r="AB13" s="60">
        <v>3.000311590296471E-2</v>
      </c>
      <c r="AD13" s="63" t="s">
        <v>93</v>
      </c>
      <c r="AE13" s="60">
        <v>2.7030217493599277E-3</v>
      </c>
      <c r="AF13" s="60">
        <v>8.5592925162963698E-3</v>
      </c>
      <c r="AG13" s="60">
        <v>2.2555795148332183E-2</v>
      </c>
      <c r="AH13" s="60">
        <v>2.7262114166606778E-3</v>
      </c>
      <c r="AI13" s="60">
        <v>5.3609017891017005E-2</v>
      </c>
      <c r="AJ13" s="60">
        <v>0</v>
      </c>
      <c r="AK13" s="60">
        <v>0</v>
      </c>
      <c r="AL13" s="60">
        <v>1.8505404531659719E-2</v>
      </c>
      <c r="AN13" s="64" t="s">
        <v>97</v>
      </c>
      <c r="AO13" s="60">
        <v>1.6506238689404543E-2</v>
      </c>
      <c r="AW13" s="92" t="s">
        <v>98</v>
      </c>
      <c r="AX13" s="83">
        <v>101445987.83763109</v>
      </c>
      <c r="AY13" s="93">
        <v>0.46512023545508069</v>
      </c>
      <c r="BA13" s="63" t="s">
        <v>93</v>
      </c>
      <c r="BB13" s="59">
        <v>1617167.4000642826</v>
      </c>
      <c r="BC13" s="59">
        <v>126.38494094398891</v>
      </c>
      <c r="BD13" s="59">
        <v>68.071428571428569</v>
      </c>
      <c r="BG13" s="63" t="s">
        <v>93</v>
      </c>
      <c r="BH13" s="59">
        <v>594605.84411421383</v>
      </c>
      <c r="BI13" s="59">
        <v>143.27984749455334</v>
      </c>
      <c r="BJ13" s="59">
        <v>81.666666666666671</v>
      </c>
      <c r="BN13" s="64">
        <v>14</v>
      </c>
      <c r="BO13" s="59">
        <v>6913.4877884793123</v>
      </c>
      <c r="BP13" s="59">
        <v>34.102476118652604</v>
      </c>
      <c r="BQ13" s="59">
        <v>1</v>
      </c>
      <c r="BS13" s="63" t="s">
        <v>94</v>
      </c>
      <c r="BT13" s="59">
        <v>396556.77576769306</v>
      </c>
      <c r="BU13" s="60">
        <v>3.5527536291794113E-3</v>
      </c>
      <c r="BX13" s="63" t="s">
        <v>94</v>
      </c>
      <c r="BY13" s="60">
        <v>3.5527536291794139E-3</v>
      </c>
      <c r="BZ13" s="75">
        <v>0.36084261654428013</v>
      </c>
      <c r="CB13" s="63" t="s">
        <v>94</v>
      </c>
      <c r="CC13" s="60">
        <v>2.7884567304804603E-3</v>
      </c>
      <c r="CD13" s="75">
        <v>0.53955880014317192</v>
      </c>
      <c r="CG13" s="59" t="s">
        <v>79</v>
      </c>
      <c r="CH13" s="60">
        <v>0.22616858438638326</v>
      </c>
      <c r="CI13" s="75">
        <v>0.23947955467021284</v>
      </c>
      <c r="CJ13" s="88">
        <v>0.18510350744568341</v>
      </c>
      <c r="CL13" s="59">
        <v>8</v>
      </c>
      <c r="CM13" s="60">
        <v>2.0978612044570322E-4</v>
      </c>
      <c r="CN13" s="75">
        <v>0.59013434234734607</v>
      </c>
    </row>
    <row r="14" spans="1:92">
      <c r="A14" s="63" t="s">
        <v>96</v>
      </c>
      <c r="B14" s="59">
        <v>8510812.6625281684</v>
      </c>
      <c r="C14" s="60">
        <v>1.7698377453737126E-2</v>
      </c>
      <c r="E14" s="63" t="s">
        <v>83</v>
      </c>
      <c r="F14" s="60">
        <v>5.2886773215262167E-2</v>
      </c>
      <c r="I14" s="63" t="s">
        <v>99</v>
      </c>
      <c r="J14" s="60">
        <v>1.8878026222909783E-4</v>
      </c>
      <c r="L14" s="63" t="s">
        <v>100</v>
      </c>
      <c r="M14" s="60">
        <v>0.13413204408044188</v>
      </c>
      <c r="O14" s="64" t="s">
        <v>82</v>
      </c>
      <c r="P14" s="60">
        <v>6.7390161933024786E-3</v>
      </c>
      <c r="R14" s="63" t="s">
        <v>80</v>
      </c>
      <c r="S14" s="59">
        <v>11723930.768356381</v>
      </c>
      <c r="T14" s="60">
        <v>4.9403090737548859E-2</v>
      </c>
      <c r="U14" s="59">
        <v>3213.6316888841052</v>
      </c>
      <c r="V14" s="59">
        <v>570</v>
      </c>
      <c r="X14" s="63" t="s">
        <v>101</v>
      </c>
      <c r="Y14" s="60">
        <v>6.8601517697970953E-4</v>
      </c>
      <c r="Z14" s="60">
        <v>1.8306649087947158E-4</v>
      </c>
      <c r="AA14" s="60">
        <v>0</v>
      </c>
      <c r="AB14" s="60">
        <v>5.1935979030719658E-4</v>
      </c>
      <c r="AD14" s="63" t="s">
        <v>96</v>
      </c>
      <c r="AE14" s="60">
        <v>4.7913864848408549E-3</v>
      </c>
      <c r="AF14" s="60">
        <v>3.8002887744566245E-3</v>
      </c>
      <c r="AG14" s="60">
        <v>3.1375414716717225E-2</v>
      </c>
      <c r="AH14" s="60">
        <v>3.2644937671551556E-2</v>
      </c>
      <c r="AI14" s="60">
        <v>0</v>
      </c>
      <c r="AJ14" s="60">
        <v>0</v>
      </c>
      <c r="AK14" s="60">
        <v>0</v>
      </c>
      <c r="AL14" s="60">
        <v>9.7070144945701168E-4</v>
      </c>
      <c r="AN14" s="64" t="s">
        <v>102</v>
      </c>
      <c r="AO14" s="60">
        <v>0.19066022467515087</v>
      </c>
      <c r="AW14" s="63" t="s">
        <v>103</v>
      </c>
      <c r="AX14" s="59">
        <v>8675614.5406483207</v>
      </c>
      <c r="AY14" s="60">
        <v>3.9776870075161529E-2</v>
      </c>
      <c r="BA14" s="63" t="s">
        <v>96</v>
      </c>
      <c r="BB14" s="59">
        <v>84828.555710380606</v>
      </c>
      <c r="BC14" s="59">
        <v>109</v>
      </c>
      <c r="BD14" s="59">
        <v>40.666666666666664</v>
      </c>
      <c r="BG14" s="63" t="s">
        <v>96</v>
      </c>
      <c r="BH14" s="59">
        <v>7120090.0273629874</v>
      </c>
      <c r="BI14" s="59">
        <v>327.54721204721199</v>
      </c>
      <c r="BJ14" s="59">
        <v>41.142857142857146</v>
      </c>
      <c r="BN14" s="64">
        <v>25</v>
      </c>
      <c r="BO14" s="59">
        <v>141236.3550463086</v>
      </c>
      <c r="BP14" s="59">
        <v>31.436838624338598</v>
      </c>
      <c r="BQ14" s="59">
        <v>1</v>
      </c>
      <c r="BS14" s="63" t="s">
        <v>99</v>
      </c>
      <c r="BT14" s="59">
        <v>1050.0610876851599</v>
      </c>
      <c r="BU14" s="60">
        <v>9.4075011904952538E-6</v>
      </c>
      <c r="BX14" s="63" t="s">
        <v>99</v>
      </c>
      <c r="BY14" s="60">
        <v>9.4075011904952606E-6</v>
      </c>
      <c r="BZ14" s="75">
        <v>0.52840158520475555</v>
      </c>
      <c r="CB14" s="63" t="s">
        <v>99</v>
      </c>
      <c r="CC14" s="60">
        <v>5.6695159427982218E-4</v>
      </c>
      <c r="CD14" s="75">
        <v>0.64073294508077117</v>
      </c>
      <c r="CG14" s="59" t="s">
        <v>80</v>
      </c>
      <c r="CH14" s="60">
        <v>2.6822043758306616E-2</v>
      </c>
      <c r="CI14" s="75">
        <v>0.44583356030839405</v>
      </c>
      <c r="CJ14" s="88">
        <v>2.8792705640330811E-2</v>
      </c>
      <c r="CL14" s="59">
        <v>9</v>
      </c>
      <c r="CM14" s="60">
        <v>3.3721271315856463E-4</v>
      </c>
      <c r="CN14" s="75">
        <v>0.2829861527055107</v>
      </c>
    </row>
    <row r="15" spans="1:92">
      <c r="A15" s="63" t="s">
        <v>101</v>
      </c>
      <c r="B15" s="59">
        <v>9651115.2488710117</v>
      </c>
      <c r="C15" s="60">
        <v>2.0069655777536267E-2</v>
      </c>
      <c r="E15" s="63" t="s">
        <v>68</v>
      </c>
      <c r="F15" s="60">
        <v>0.45355719756152407</v>
      </c>
      <c r="I15" s="63" t="s">
        <v>104</v>
      </c>
      <c r="J15" s="60">
        <v>4.8350216414514736E-2</v>
      </c>
      <c r="L15" s="63" t="s">
        <v>105</v>
      </c>
      <c r="M15" s="60">
        <v>0.37211595573114858</v>
      </c>
      <c r="O15" s="64" t="s">
        <v>83</v>
      </c>
      <c r="P15" s="60">
        <v>3.8409898065761693E-2</v>
      </c>
      <c r="R15" s="63" t="s">
        <v>106</v>
      </c>
      <c r="S15" s="59">
        <v>237311686.23920926</v>
      </c>
      <c r="T15" s="60">
        <v>1</v>
      </c>
      <c r="U15" s="59">
        <v>531.38474723084414</v>
      </c>
      <c r="V15" s="59">
        <v>260.08633093525179</v>
      </c>
      <c r="X15" s="63" t="s">
        <v>91</v>
      </c>
      <c r="Y15" s="60">
        <v>0.91673094545030975</v>
      </c>
      <c r="Z15" s="60">
        <v>0.97712951238070189</v>
      </c>
      <c r="AA15" s="60">
        <v>1</v>
      </c>
      <c r="AB15" s="60">
        <v>0.93678819412337844</v>
      </c>
      <c r="AD15" s="63" t="s">
        <v>101</v>
      </c>
      <c r="AE15" s="60">
        <v>6.8879796831966628E-2</v>
      </c>
      <c r="AF15" s="60">
        <v>1.387837203577718E-2</v>
      </c>
      <c r="AG15" s="60">
        <v>5.6450519673950809E-2</v>
      </c>
      <c r="AH15" s="60">
        <v>1.3910212731979177E-3</v>
      </c>
      <c r="AI15" s="60">
        <v>0.32546810318426694</v>
      </c>
      <c r="AJ15" s="60">
        <v>6.9985457914791991E-4</v>
      </c>
      <c r="AK15" s="60">
        <v>1.0868369575283997E-2</v>
      </c>
      <c r="AL15" s="60">
        <v>4.0739610638682255E-2</v>
      </c>
      <c r="AN15" s="64" t="s">
        <v>107</v>
      </c>
      <c r="AO15" s="60">
        <v>3.5376628787964139E-4</v>
      </c>
      <c r="AW15" s="63" t="s">
        <v>108</v>
      </c>
      <c r="AX15" s="59">
        <v>5560167.3426108267</v>
      </c>
      <c r="AY15" s="60">
        <v>2.549284006878658E-2</v>
      </c>
      <c r="BA15" s="63" t="s">
        <v>101</v>
      </c>
      <c r="BB15" s="59">
        <v>3560190.7595953564</v>
      </c>
      <c r="BC15" s="59">
        <v>56.75</v>
      </c>
      <c r="BD15" s="59">
        <v>31</v>
      </c>
      <c r="BG15" s="63" t="s">
        <v>101</v>
      </c>
      <c r="BH15" s="59">
        <v>303391.50268242892</v>
      </c>
      <c r="BI15" s="59">
        <v>60.666666666666664</v>
      </c>
      <c r="BJ15" s="59">
        <v>32</v>
      </c>
      <c r="BN15" s="64">
        <v>32</v>
      </c>
      <c r="BO15" s="59">
        <v>84750.193742132265</v>
      </c>
      <c r="BP15" s="59">
        <v>40.239153439153398</v>
      </c>
      <c r="BQ15" s="59">
        <v>1</v>
      </c>
      <c r="BS15" s="63" t="s">
        <v>104</v>
      </c>
      <c r="BT15" s="59">
        <v>6299300.253806591</v>
      </c>
      <c r="BU15" s="60">
        <v>5.6435454405430463E-2</v>
      </c>
      <c r="BX15" s="63" t="s">
        <v>104</v>
      </c>
      <c r="BY15" s="60">
        <v>5.6435454405430505E-2</v>
      </c>
      <c r="BZ15" s="75">
        <v>0.68621019896433211</v>
      </c>
      <c r="CB15" s="63" t="s">
        <v>104</v>
      </c>
      <c r="CC15" s="60">
        <v>6.695715033465531E-2</v>
      </c>
      <c r="CD15" s="75">
        <v>0.31233656770757634</v>
      </c>
      <c r="CG15" s="59" t="s">
        <v>106</v>
      </c>
      <c r="CH15" s="60">
        <v>1</v>
      </c>
      <c r="CI15" s="75">
        <v>0.31151409551809839</v>
      </c>
      <c r="CJ15" s="88">
        <v>1</v>
      </c>
      <c r="CL15" s="59">
        <v>10</v>
      </c>
      <c r="CM15" s="60">
        <v>2.6956323823150463E-4</v>
      </c>
      <c r="CN15" s="75">
        <v>0.5748838772766165</v>
      </c>
    </row>
    <row r="16" spans="1:92">
      <c r="A16" s="63" t="s">
        <v>91</v>
      </c>
      <c r="B16" s="59">
        <v>381599285.24006069</v>
      </c>
      <c r="C16" s="60">
        <v>0.79354210391568925</v>
      </c>
      <c r="E16" s="63" t="s">
        <v>84</v>
      </c>
      <c r="F16" s="60">
        <v>9.8885127499710422E-3</v>
      </c>
      <c r="I16" s="63" t="s">
        <v>109</v>
      </c>
      <c r="J16" s="60">
        <v>4.5723542740629987E-3</v>
      </c>
      <c r="L16" s="63" t="s">
        <v>110</v>
      </c>
      <c r="M16" s="60">
        <v>0.1850242265099877</v>
      </c>
      <c r="O16" s="64" t="s">
        <v>68</v>
      </c>
      <c r="P16" s="60">
        <v>0.81956659478258198</v>
      </c>
      <c r="X16" s="63" t="s">
        <v>111</v>
      </c>
      <c r="Y16" s="60">
        <v>6.4122036301260121E-3</v>
      </c>
      <c r="Z16" s="60">
        <v>0</v>
      </c>
      <c r="AA16" s="60">
        <v>0</v>
      </c>
      <c r="AB16" s="60">
        <v>4.4027819731223012E-3</v>
      </c>
      <c r="AD16" s="63" t="s">
        <v>91</v>
      </c>
      <c r="AE16" s="60">
        <v>0.8456446012009261</v>
      </c>
      <c r="AF16" s="60">
        <v>0.66834655159895406</v>
      </c>
      <c r="AG16" s="60">
        <v>0.78807981385960213</v>
      </c>
      <c r="AH16" s="60">
        <v>0.91832914357292206</v>
      </c>
      <c r="AI16" s="60">
        <v>0.44016519711820656</v>
      </c>
      <c r="AJ16" s="60">
        <v>0.80321411812166976</v>
      </c>
      <c r="AK16" s="60">
        <v>0.92171165919593023</v>
      </c>
      <c r="AL16" s="60">
        <v>0.64532218485940596</v>
      </c>
      <c r="AN16" s="64" t="s">
        <v>112</v>
      </c>
      <c r="AO16" s="60">
        <v>1.0458573887725166E-3</v>
      </c>
      <c r="AW16" s="63" t="s">
        <v>113</v>
      </c>
      <c r="AX16" s="59">
        <v>8152671.2513537109</v>
      </c>
      <c r="AY16" s="60">
        <v>3.7379224677537064E-2</v>
      </c>
      <c r="BA16" s="92" t="s">
        <v>91</v>
      </c>
      <c r="BB16" s="83">
        <v>56394011.711955197</v>
      </c>
      <c r="BC16" s="83">
        <v>187.02164257808269</v>
      </c>
      <c r="BD16" s="83">
        <v>148.93385214007782</v>
      </c>
      <c r="BE16" s="103">
        <f>BC16/BD16</f>
        <v>1.2557362875579281</v>
      </c>
      <c r="BG16" s="63" t="s">
        <v>91</v>
      </c>
      <c r="BH16" s="59">
        <v>200294031.58237335</v>
      </c>
      <c r="BI16" s="59">
        <v>491.20504946798326</v>
      </c>
      <c r="BJ16" s="59">
        <v>272.24242424242425</v>
      </c>
      <c r="BN16" s="64">
        <v>35</v>
      </c>
      <c r="BO16" s="59">
        <v>40688.441174178501</v>
      </c>
      <c r="BP16" s="59">
        <v>85.676893671185695</v>
      </c>
      <c r="BQ16" s="59">
        <v>1</v>
      </c>
      <c r="BS16" s="63" t="s">
        <v>109</v>
      </c>
      <c r="BT16" s="59">
        <v>1415709.2491503088</v>
      </c>
      <c r="BU16" s="60">
        <v>1.2683344429167055E-2</v>
      </c>
      <c r="BX16" s="63" t="s">
        <v>109</v>
      </c>
      <c r="BY16" s="60">
        <v>1.2683344429167066E-2</v>
      </c>
      <c r="BZ16" s="75">
        <v>1.2079907748893202</v>
      </c>
      <c r="CB16" s="63" t="s">
        <v>109</v>
      </c>
      <c r="CC16" s="60">
        <v>7.2088595395926863E-3</v>
      </c>
      <c r="CD16" s="75">
        <v>0.71455758170334271</v>
      </c>
      <c r="CL16" s="59">
        <v>12</v>
      </c>
      <c r="CM16" s="60">
        <v>8.0868829481941195E-5</v>
      </c>
      <c r="CN16" s="75">
        <v>0.10362229909937769</v>
      </c>
    </row>
    <row r="17" spans="1:92">
      <c r="A17" s="63" t="s">
        <v>111</v>
      </c>
      <c r="B17" s="59">
        <v>39821584.675208613</v>
      </c>
      <c r="C17" s="60">
        <v>8.2809652184077001E-2</v>
      </c>
      <c r="E17" s="63" t="s">
        <v>85</v>
      </c>
      <c r="F17" s="60">
        <v>2.5349570197223507E-2</v>
      </c>
      <c r="I17" s="63" t="s">
        <v>114</v>
      </c>
      <c r="J17" s="60">
        <v>2.5139431444923317E-2</v>
      </c>
      <c r="L17" s="63" t="s">
        <v>115</v>
      </c>
      <c r="M17" s="60">
        <v>0.16594593062335228</v>
      </c>
      <c r="O17" s="64" t="s">
        <v>84</v>
      </c>
      <c r="P17" s="60">
        <v>5.0827022616666342E-4</v>
      </c>
      <c r="X17" s="63" t="s">
        <v>116</v>
      </c>
      <c r="Y17" s="60">
        <v>2.8954638534071153E-2</v>
      </c>
      <c r="Z17" s="60">
        <v>8.8871977165374729E-3</v>
      </c>
      <c r="AA17" s="60">
        <v>0</v>
      </c>
      <c r="AB17" s="60">
        <v>2.2226957543529682E-2</v>
      </c>
      <c r="AD17" s="63" t="s">
        <v>111</v>
      </c>
      <c r="AE17" s="60">
        <v>2.5818444206180645E-2</v>
      </c>
      <c r="AF17" s="60">
        <v>0.17790718167399888</v>
      </c>
      <c r="AG17" s="60">
        <v>8.1299704506988715E-2</v>
      </c>
      <c r="AH17" s="60">
        <v>1.8494862077173501E-2</v>
      </c>
      <c r="AI17" s="60">
        <v>0.10041442742330232</v>
      </c>
      <c r="AJ17" s="60">
        <v>0.19045891842521759</v>
      </c>
      <c r="AK17" s="60">
        <v>2.7194457779123812E-2</v>
      </c>
      <c r="AL17" s="60">
        <v>0.12021415135711923</v>
      </c>
      <c r="AN17" s="64" t="s">
        <v>117</v>
      </c>
      <c r="AO17" s="60">
        <v>0.6462200605816053</v>
      </c>
      <c r="AW17" s="63" t="s">
        <v>118</v>
      </c>
      <c r="AX17" s="59">
        <v>5553052.7711432585</v>
      </c>
      <c r="AY17" s="60">
        <v>2.5460220433188435E-2</v>
      </c>
      <c r="BA17" s="92" t="s">
        <v>111</v>
      </c>
      <c r="BB17" s="83">
        <v>10505385.400709784</v>
      </c>
      <c r="BC17" s="83">
        <v>96.664000000000001</v>
      </c>
      <c r="BD17" s="83">
        <v>79.024000000000001</v>
      </c>
      <c r="BE17" s="103">
        <f>BC17/BD17</f>
        <v>1.2232233245596276</v>
      </c>
      <c r="BG17" s="63" t="s">
        <v>111</v>
      </c>
      <c r="BH17" s="59">
        <v>4033859.2267521452</v>
      </c>
      <c r="BI17" s="59">
        <v>157.95454545454547</v>
      </c>
      <c r="BJ17" s="59">
        <v>107.27272727272727</v>
      </c>
      <c r="BN17" s="64">
        <v>50</v>
      </c>
      <c r="BO17" s="59">
        <v>21505.809860890669</v>
      </c>
      <c r="BP17" s="59">
        <v>72</v>
      </c>
      <c r="BQ17" s="59">
        <v>1</v>
      </c>
      <c r="BS17" s="63" t="s">
        <v>114</v>
      </c>
      <c r="BT17" s="59">
        <v>2485483.326230309</v>
      </c>
      <c r="BU17" s="60">
        <v>2.2267454364977308E-2</v>
      </c>
      <c r="BX17" s="63" t="s">
        <v>114</v>
      </c>
      <c r="BY17" s="60">
        <v>2.2267454364977325E-2</v>
      </c>
      <c r="BZ17" s="75">
        <v>1.3588277483238014</v>
      </c>
      <c r="CB17" s="63" t="s">
        <v>114</v>
      </c>
      <c r="CC17" s="60">
        <v>5.4105745918855246E-2</v>
      </c>
      <c r="CD17" s="75">
        <v>1.0633959141116669</v>
      </c>
      <c r="CL17" s="59">
        <v>13</v>
      </c>
      <c r="CM17" s="60">
        <v>7.2263571049762691E-3</v>
      </c>
      <c r="CN17" s="75">
        <v>0.89883313633481721</v>
      </c>
    </row>
    <row r="18" spans="1:92">
      <c r="A18" s="63" t="s">
        <v>116</v>
      </c>
      <c r="B18" s="59">
        <v>9864630.1007196102</v>
      </c>
      <c r="C18" s="60">
        <v>2.0513663487473657E-2</v>
      </c>
      <c r="E18" s="63" t="s">
        <v>86</v>
      </c>
      <c r="F18" s="60">
        <v>8.1235072118429688E-3</v>
      </c>
      <c r="I18" s="63" t="s">
        <v>119</v>
      </c>
      <c r="J18" s="60">
        <v>4.5394715837206948E-3</v>
      </c>
      <c r="L18" s="63" t="s">
        <v>106</v>
      </c>
      <c r="M18" s="60">
        <v>1</v>
      </c>
      <c r="O18" s="64" t="s">
        <v>85</v>
      </c>
      <c r="P18" s="60">
        <v>3.7280654245107681E-2</v>
      </c>
      <c r="X18" s="63" t="s">
        <v>120</v>
      </c>
      <c r="Y18" s="60">
        <v>0</v>
      </c>
      <c r="Z18" s="60">
        <v>1.380022341188108E-2</v>
      </c>
      <c r="AA18" s="60">
        <v>0</v>
      </c>
      <c r="AB18" s="60">
        <v>3.6428656069784357E-3</v>
      </c>
      <c r="AD18" s="63" t="s">
        <v>116</v>
      </c>
      <c r="AE18" s="60">
        <v>4.5597649716187745E-2</v>
      </c>
      <c r="AF18" s="60">
        <v>1.5246596487825158E-2</v>
      </c>
      <c r="AG18" s="60">
        <v>6.8645975030871944E-3</v>
      </c>
      <c r="AH18" s="60">
        <v>1.8804377524271401E-2</v>
      </c>
      <c r="AI18" s="60">
        <v>3.8788810994273032E-2</v>
      </c>
      <c r="AJ18" s="60">
        <v>0</v>
      </c>
      <c r="AK18" s="60">
        <v>0</v>
      </c>
      <c r="AL18" s="60">
        <v>3.3245646911600139E-2</v>
      </c>
      <c r="AN18" s="64" t="s">
        <v>121</v>
      </c>
      <c r="AO18" s="60">
        <v>2.111205874607849E-2</v>
      </c>
      <c r="AW18" s="63" t="s">
        <v>122</v>
      </c>
      <c r="AX18" s="59">
        <v>7435332.1274686176</v>
      </c>
      <c r="AY18" s="60">
        <v>3.4090292810299537E-2</v>
      </c>
      <c r="BA18" s="63" t="s">
        <v>116</v>
      </c>
      <c r="BB18" s="59">
        <v>2905301.3289985918</v>
      </c>
      <c r="BC18" s="59">
        <v>65.510638297872347</v>
      </c>
      <c r="BD18" s="59">
        <v>34.553191489361701</v>
      </c>
      <c r="BG18" s="63" t="s">
        <v>116</v>
      </c>
      <c r="BH18" s="59">
        <v>4101366.7181239864</v>
      </c>
      <c r="BI18" s="59">
        <v>157.88888888888889</v>
      </c>
      <c r="BJ18" s="59">
        <v>94.481481481481481</v>
      </c>
      <c r="BN18" s="64">
        <v>55</v>
      </c>
      <c r="BO18" s="59">
        <v>37957.620343374183</v>
      </c>
      <c r="BP18" s="59">
        <v>67.317559313074497</v>
      </c>
      <c r="BQ18" s="59">
        <v>1</v>
      </c>
      <c r="BS18" s="63" t="s">
        <v>119</v>
      </c>
      <c r="BT18" s="59">
        <v>274149.73525987385</v>
      </c>
      <c r="BU18" s="60">
        <v>2.4561084979510292E-3</v>
      </c>
      <c r="BX18" s="63" t="s">
        <v>119</v>
      </c>
      <c r="BY18" s="60">
        <v>2.4561084979510309E-3</v>
      </c>
      <c r="BZ18" s="75">
        <v>0.41620409924867668</v>
      </c>
      <c r="CB18" s="63" t="s">
        <v>119</v>
      </c>
      <c r="CC18" s="60">
        <v>3.4910328425881589E-4</v>
      </c>
      <c r="CD18" s="75">
        <v>5.458530008597684E-2</v>
      </c>
      <c r="CL18" s="59">
        <v>14</v>
      </c>
      <c r="CM18" s="60">
        <v>9.0820398121439251E-4</v>
      </c>
      <c r="CN18" s="75">
        <v>0.3218563072890559</v>
      </c>
    </row>
    <row r="19" spans="1:92">
      <c r="A19" s="63" t="s">
        <v>120</v>
      </c>
      <c r="B19" s="59">
        <v>1485217.570019579</v>
      </c>
      <c r="C19" s="60">
        <v>3.0885348082988376E-3</v>
      </c>
      <c r="E19" s="63" t="s">
        <v>87</v>
      </c>
      <c r="F19" s="60">
        <v>0.18172673198007216</v>
      </c>
      <c r="I19" s="63" t="s">
        <v>100</v>
      </c>
      <c r="J19" s="60">
        <v>5.3933286949346647E-2</v>
      </c>
      <c r="O19" s="64" t="s">
        <v>86</v>
      </c>
      <c r="P19" s="60">
        <v>8.8117289222101967E-3</v>
      </c>
      <c r="X19" s="63" t="s">
        <v>123</v>
      </c>
      <c r="Y19" s="60">
        <v>9.0712927616696178E-5</v>
      </c>
      <c r="Z19" s="60">
        <v>0</v>
      </c>
      <c r="AA19" s="60">
        <v>0</v>
      </c>
      <c r="AB19" s="60">
        <v>6.228580149318953E-5</v>
      </c>
      <c r="AD19" s="63" t="s">
        <v>120</v>
      </c>
      <c r="AE19" s="60">
        <v>1.5920587473971641E-3</v>
      </c>
      <c r="AF19" s="60">
        <v>3.3476319112331092E-3</v>
      </c>
      <c r="AG19" s="60">
        <v>0</v>
      </c>
      <c r="AH19" s="60">
        <v>3.9636256804213748E-3</v>
      </c>
      <c r="AI19" s="60">
        <v>0</v>
      </c>
      <c r="AJ19" s="60">
        <v>0</v>
      </c>
      <c r="AK19" s="60">
        <v>0</v>
      </c>
      <c r="AL19" s="60">
        <v>2.5086738308827501E-3</v>
      </c>
      <c r="AN19" s="64" t="s">
        <v>124</v>
      </c>
      <c r="AO19" s="60">
        <v>0.12410179363110864</v>
      </c>
      <c r="AW19" s="63" t="s">
        <v>125</v>
      </c>
      <c r="AX19" s="59">
        <v>3416487.7555155237</v>
      </c>
      <c r="AY19" s="60">
        <v>1.5664272418719715E-2</v>
      </c>
      <c r="BA19" s="63" t="s">
        <v>120</v>
      </c>
      <c r="BB19" s="59">
        <v>219230.30808417025</v>
      </c>
      <c r="BC19" s="59">
        <v>80.666666666666671</v>
      </c>
      <c r="BD19" s="59">
        <v>49.333333333333336</v>
      </c>
      <c r="BG19" s="63" t="s">
        <v>120</v>
      </c>
      <c r="BH19" s="59">
        <v>864494.57993487269</v>
      </c>
      <c r="BI19" s="59">
        <v>600</v>
      </c>
      <c r="BJ19" s="59">
        <v>600</v>
      </c>
      <c r="BN19" s="64">
        <v>60</v>
      </c>
      <c r="BO19" s="59">
        <v>128082.25788160189</v>
      </c>
      <c r="BP19" s="59">
        <v>89.831281243266602</v>
      </c>
      <c r="BQ19" s="59">
        <v>4</v>
      </c>
      <c r="BS19" s="63" t="s">
        <v>100</v>
      </c>
      <c r="BT19" s="59">
        <v>7034528.3158437675</v>
      </c>
      <c r="BU19" s="60">
        <v>6.3022365348057524E-2</v>
      </c>
      <c r="BX19" s="63" t="s">
        <v>100</v>
      </c>
      <c r="BY19" s="60">
        <v>6.302236534805758E-2</v>
      </c>
      <c r="BZ19" s="75">
        <v>5.9596594462265449</v>
      </c>
      <c r="CB19" s="63" t="s">
        <v>100</v>
      </c>
      <c r="CC19" s="60">
        <v>9.6094504577345294E-2</v>
      </c>
      <c r="CD19" s="75">
        <v>0.39612834348457121</v>
      </c>
      <c r="CL19" s="59">
        <v>15</v>
      </c>
      <c r="CM19" s="60">
        <v>9.9765074717133337E-4</v>
      </c>
      <c r="CN19" s="75">
        <v>2.1485824088066634</v>
      </c>
    </row>
    <row r="20" spans="1:92">
      <c r="A20" s="63" t="s">
        <v>119</v>
      </c>
      <c r="B20" s="59">
        <v>0</v>
      </c>
      <c r="C20" s="60">
        <v>0</v>
      </c>
      <c r="E20" s="63" t="s">
        <v>106</v>
      </c>
      <c r="F20" s="60">
        <v>1</v>
      </c>
      <c r="I20" s="63" t="s">
        <v>126</v>
      </c>
      <c r="J20" s="60">
        <v>9.9575889492209246E-2</v>
      </c>
      <c r="O20" s="64" t="s">
        <v>87</v>
      </c>
      <c r="P20" s="60">
        <v>7.0120386995977946E-2</v>
      </c>
      <c r="X20" s="63" t="s">
        <v>106</v>
      </c>
      <c r="Y20" s="60">
        <v>1</v>
      </c>
      <c r="Z20" s="60">
        <v>1</v>
      </c>
      <c r="AA20" s="60">
        <v>1</v>
      </c>
      <c r="AB20" s="60">
        <v>1</v>
      </c>
      <c r="AD20" s="63" t="s">
        <v>119</v>
      </c>
      <c r="AE20" s="60">
        <v>0</v>
      </c>
      <c r="AF20" s="60">
        <v>0</v>
      </c>
      <c r="AG20" s="60">
        <v>0</v>
      </c>
      <c r="AH20" s="60">
        <v>0</v>
      </c>
      <c r="AI20" s="60">
        <v>0</v>
      </c>
      <c r="AJ20" s="60">
        <v>0</v>
      </c>
      <c r="AK20" s="60">
        <v>0</v>
      </c>
      <c r="AL20" s="60">
        <v>0</v>
      </c>
      <c r="AN20" s="63" t="s">
        <v>106</v>
      </c>
      <c r="AO20" s="60">
        <v>1</v>
      </c>
      <c r="AW20" s="63" t="s">
        <v>127</v>
      </c>
      <c r="AX20" s="59">
        <v>20964511.225378457</v>
      </c>
      <c r="AY20" s="60">
        <v>9.612029618121179E-2</v>
      </c>
      <c r="BA20" s="63" t="s">
        <v>119</v>
      </c>
      <c r="BB20" s="59">
        <v>0</v>
      </c>
      <c r="BC20" s="59" t="e">
        <v>#DIV/0!</v>
      </c>
      <c r="BD20" s="59" t="e">
        <v>#DIV/0!</v>
      </c>
      <c r="BG20" s="63" t="s">
        <v>123</v>
      </c>
      <c r="BH20" s="59">
        <v>13863.938773310279</v>
      </c>
      <c r="BI20" s="59">
        <v>40</v>
      </c>
      <c r="BJ20" s="59">
        <v>40</v>
      </c>
      <c r="BN20" s="64">
        <v>70</v>
      </c>
      <c r="BO20" s="59">
        <v>1170780.7390146269</v>
      </c>
      <c r="BP20" s="59">
        <v>92.925296610169497</v>
      </c>
      <c r="BQ20" s="59">
        <v>13</v>
      </c>
      <c r="BS20" s="63" t="s">
        <v>126</v>
      </c>
      <c r="BT20" s="59">
        <v>18155200.262207985</v>
      </c>
      <c r="BU20" s="60">
        <v>0.16265250668122166</v>
      </c>
      <c r="BX20" s="63" t="s">
        <v>126</v>
      </c>
      <c r="BY20" s="60">
        <v>0.1626525066812218</v>
      </c>
      <c r="BZ20" s="75">
        <v>0.71817697247203249</v>
      </c>
      <c r="CB20" s="63" t="s">
        <v>126</v>
      </c>
      <c r="CC20" s="60">
        <v>0.19376381065277984</v>
      </c>
      <c r="CD20" s="75">
        <v>0.61415779697653361</v>
      </c>
      <c r="CL20" s="59">
        <v>16</v>
      </c>
      <c r="CM20" s="60">
        <v>2.4970745660587361E-4</v>
      </c>
      <c r="CN20" s="75">
        <v>9.0909090909090898E-2</v>
      </c>
    </row>
    <row r="21" spans="1:92">
      <c r="A21" s="63" t="s">
        <v>123</v>
      </c>
      <c r="B21" s="59">
        <v>400640.83305274625</v>
      </c>
      <c r="C21" s="60">
        <v>8.3313932146179652E-4</v>
      </c>
      <c r="I21" s="63" t="s">
        <v>72</v>
      </c>
      <c r="J21" s="60">
        <v>0.49349362555428744</v>
      </c>
      <c r="O21" s="63" t="s">
        <v>106</v>
      </c>
      <c r="P21" s="60">
        <v>1</v>
      </c>
      <c r="AD21" s="63" t="s">
        <v>123</v>
      </c>
      <c r="AE21" s="60">
        <v>0</v>
      </c>
      <c r="AF21" s="60">
        <v>0</v>
      </c>
      <c r="AG21" s="60">
        <v>1.1420655771307435E-2</v>
      </c>
      <c r="AH21" s="60">
        <v>6.3564844741793568E-5</v>
      </c>
      <c r="AI21" s="60">
        <v>5.9055730385580455E-3</v>
      </c>
      <c r="AJ21" s="60">
        <v>0</v>
      </c>
      <c r="AK21" s="60">
        <v>0</v>
      </c>
      <c r="AL21" s="60">
        <v>7.808981157403943E-4</v>
      </c>
      <c r="AW21" s="63" t="s">
        <v>100</v>
      </c>
      <c r="AX21" s="59">
        <v>18306279.973143846</v>
      </c>
      <c r="AY21" s="60">
        <v>8.393255793460587E-2</v>
      </c>
      <c r="BA21" s="63" t="s">
        <v>123</v>
      </c>
      <c r="BB21" s="59">
        <v>68241.846504164394</v>
      </c>
      <c r="BC21" s="59">
        <v>48</v>
      </c>
      <c r="BD21" s="59">
        <v>34.666666666666664</v>
      </c>
      <c r="BG21" s="63" t="s">
        <v>106</v>
      </c>
      <c r="BH21" s="59">
        <v>218107018.58278614</v>
      </c>
      <c r="BI21" s="59">
        <v>437.65240996982817</v>
      </c>
      <c r="BJ21" s="59">
        <v>243.68306010928961</v>
      </c>
      <c r="BN21" s="64">
        <v>75</v>
      </c>
      <c r="BO21" s="59">
        <v>1135030.3266979069</v>
      </c>
      <c r="BP21" s="59">
        <v>105.05514641754145</v>
      </c>
      <c r="BQ21" s="59">
        <v>7</v>
      </c>
      <c r="BS21" s="63" t="s">
        <v>72</v>
      </c>
      <c r="BT21" s="59">
        <v>1599247.2964259484</v>
      </c>
      <c r="BU21" s="60">
        <v>1.4327662477418027E-2</v>
      </c>
      <c r="BX21" s="63" t="s">
        <v>72</v>
      </c>
      <c r="BY21" s="60">
        <v>1.4327662477418037E-2</v>
      </c>
      <c r="BZ21" s="75">
        <v>0.24410682216434806</v>
      </c>
      <c r="CB21" s="63" t="s">
        <v>72</v>
      </c>
      <c r="CC21" s="60">
        <v>0.19041757713284291</v>
      </c>
      <c r="CD21" s="75">
        <v>0.28539213559064824</v>
      </c>
      <c r="CL21" s="59">
        <v>18</v>
      </c>
      <c r="CM21" s="60">
        <v>1.5677223505354695E-3</v>
      </c>
      <c r="CN21" s="75">
        <v>0.96323834789915852</v>
      </c>
    </row>
    <row r="22" spans="1:92">
      <c r="A22" s="63" t="s">
        <v>106</v>
      </c>
      <c r="B22" s="59">
        <v>480880955.60031444</v>
      </c>
      <c r="C22" s="60">
        <v>1</v>
      </c>
      <c r="I22" s="63" t="s">
        <v>128</v>
      </c>
      <c r="J22" s="60">
        <v>2.7909397541300888E-3</v>
      </c>
      <c r="AD22" s="63" t="s">
        <v>106</v>
      </c>
      <c r="AE22" s="60">
        <v>1</v>
      </c>
      <c r="AF22" s="60">
        <v>1</v>
      </c>
      <c r="AG22" s="60">
        <v>1</v>
      </c>
      <c r="AH22" s="60">
        <v>1</v>
      </c>
      <c r="AI22" s="60">
        <v>1</v>
      </c>
      <c r="AJ22" s="60">
        <v>1</v>
      </c>
      <c r="AK22" s="60">
        <v>1</v>
      </c>
      <c r="AL22" s="60">
        <v>1</v>
      </c>
      <c r="AW22" s="63" t="s">
        <v>106</v>
      </c>
      <c r="AX22" s="59">
        <v>218107018.58278602</v>
      </c>
      <c r="AY22" s="60">
        <v>1</v>
      </c>
      <c r="BA22" s="63" t="s">
        <v>106</v>
      </c>
      <c r="BB22" s="59">
        <v>87388924.532699168</v>
      </c>
      <c r="BC22" s="59">
        <v>102.02130907781202</v>
      </c>
      <c r="BD22" s="59">
        <v>77.907382550335569</v>
      </c>
      <c r="BN22" s="64">
        <v>100</v>
      </c>
      <c r="BO22" s="59">
        <v>2778054.1611819854</v>
      </c>
      <c r="BP22" s="59">
        <v>162.18122524413377</v>
      </c>
      <c r="BQ22" s="59">
        <v>18</v>
      </c>
      <c r="BS22" s="63" t="s">
        <v>128</v>
      </c>
      <c r="BT22" s="59">
        <v>396336.51888338121</v>
      </c>
      <c r="BU22" s="60">
        <v>3.5507803469335695E-3</v>
      </c>
      <c r="BX22" s="63" t="s">
        <v>128</v>
      </c>
      <c r="BY22" s="60">
        <v>3.5507803469335725E-3</v>
      </c>
      <c r="BZ22" s="75">
        <v>2.1574639207148039</v>
      </c>
      <c r="CB22" s="63" t="s">
        <v>128</v>
      </c>
      <c r="CC22" s="60">
        <v>3.4868822935524659E-3</v>
      </c>
      <c r="CD22" s="75">
        <v>1.2889121578169929</v>
      </c>
      <c r="CL22" s="59">
        <v>19</v>
      </c>
      <c r="CM22" s="60">
        <v>2.3715869585715893E-4</v>
      </c>
      <c r="CN22" s="75">
        <v>0.15873015873015872</v>
      </c>
    </row>
    <row r="23" spans="1:92">
      <c r="I23" s="63" t="s">
        <v>129</v>
      </c>
      <c r="J23" s="60">
        <v>1.8426964294550494E-3</v>
      </c>
      <c r="BN23" s="64">
        <v>120</v>
      </c>
      <c r="BO23" s="59">
        <v>723775.60795798316</v>
      </c>
      <c r="BP23" s="59">
        <v>146.15346907994001</v>
      </c>
      <c r="BQ23" s="59">
        <v>2</v>
      </c>
      <c r="BS23" s="63" t="s">
        <v>129</v>
      </c>
      <c r="BT23" s="59">
        <v>514879.9870349493</v>
      </c>
      <c r="BU23" s="60">
        <v>4.6128117190509244E-3</v>
      </c>
      <c r="BX23" s="63" t="s">
        <v>129</v>
      </c>
      <c r="BY23" s="60">
        <v>4.6128117190509287E-3</v>
      </c>
      <c r="BZ23" s="75">
        <v>0.70268026599609845</v>
      </c>
      <c r="CB23" s="63" t="s">
        <v>129</v>
      </c>
      <c r="CC23" s="60">
        <v>2.2127401523692417E-3</v>
      </c>
      <c r="CD23" s="75">
        <v>0.31300051209573637</v>
      </c>
      <c r="CL23" s="59">
        <v>20</v>
      </c>
      <c r="CM23" s="60">
        <v>8.2483097087447774E-4</v>
      </c>
      <c r="CN23" s="75">
        <v>0.38922783754540369</v>
      </c>
    </row>
    <row r="24" spans="1:92">
      <c r="I24" s="63" t="s">
        <v>130</v>
      </c>
      <c r="J24" s="60">
        <v>0.21456456788745235</v>
      </c>
      <c r="BN24" s="64">
        <v>125</v>
      </c>
      <c r="BO24" s="59">
        <v>372091.53064814961</v>
      </c>
      <c r="BP24" s="59">
        <v>152.24319695827</v>
      </c>
      <c r="BQ24" s="59">
        <v>2</v>
      </c>
      <c r="BS24" s="94" t="s">
        <v>130</v>
      </c>
      <c r="BT24" s="85">
        <v>64976937.005529791</v>
      </c>
      <c r="BU24" s="95">
        <v>0.58212862032797663</v>
      </c>
      <c r="BX24" s="94" t="s">
        <v>130</v>
      </c>
      <c r="BY24" s="98">
        <v>0.58212862032797708</v>
      </c>
      <c r="BZ24" s="99">
        <v>0.45051339655955625</v>
      </c>
      <c r="CB24" s="63" t="s">
        <v>130</v>
      </c>
      <c r="CC24" s="60">
        <v>0.23611262165489783</v>
      </c>
      <c r="CD24" s="75">
        <v>0.34893962445244225</v>
      </c>
      <c r="CL24" s="59">
        <v>21</v>
      </c>
      <c r="CM24" s="60">
        <v>1.1933415584815307E-4</v>
      </c>
      <c r="CN24" s="75">
        <v>4.9636851978519844E-2</v>
      </c>
    </row>
    <row r="25" spans="1:92">
      <c r="I25" s="63" t="s">
        <v>106</v>
      </c>
      <c r="J25" s="60">
        <v>1</v>
      </c>
      <c r="BN25" s="64">
        <v>150</v>
      </c>
      <c r="BO25" s="59">
        <v>15103126.900566988</v>
      </c>
      <c r="BP25" s="59">
        <v>245.17511262983291</v>
      </c>
      <c r="BQ25" s="59">
        <v>73</v>
      </c>
      <c r="BS25" s="63" t="s">
        <v>106</v>
      </c>
      <c r="BT25" s="59">
        <v>111619554.05821</v>
      </c>
      <c r="BU25" s="60">
        <v>1</v>
      </c>
      <c r="BX25" s="63" t="s">
        <v>106</v>
      </c>
      <c r="BY25" s="60">
        <v>1</v>
      </c>
      <c r="BZ25" s="75">
        <v>0.78592032386061383</v>
      </c>
      <c r="CB25" s="94" t="s">
        <v>106</v>
      </c>
      <c r="CC25" s="98">
        <v>1</v>
      </c>
      <c r="CD25" s="99">
        <v>0.52361143706022251</v>
      </c>
      <c r="CL25" s="59">
        <v>22</v>
      </c>
      <c r="CM25" s="60">
        <v>9.2440334562370963E-4</v>
      </c>
      <c r="CN25" s="75">
        <v>9.581332058675672E-2</v>
      </c>
    </row>
    <row r="26" spans="1:92">
      <c r="A26" s="90" t="s">
        <v>64</v>
      </c>
      <c r="B26" s="90" t="s">
        <v>63</v>
      </c>
      <c r="C26" s="100"/>
      <c r="BN26" s="64">
        <v>170</v>
      </c>
      <c r="BO26" s="59">
        <v>13567.245814555101</v>
      </c>
      <c r="BP26" s="59">
        <v>207.05074786324801</v>
      </c>
      <c r="BQ26" s="59">
        <v>1</v>
      </c>
      <c r="CL26" s="59">
        <v>23</v>
      </c>
      <c r="CM26" s="60">
        <v>6.9760981740940361E-3</v>
      </c>
      <c r="CN26" s="75">
        <v>0.97669725507691063</v>
      </c>
    </row>
    <row r="27" spans="1:92">
      <c r="A27" s="91" t="s">
        <v>65</v>
      </c>
      <c r="B27" s="90" t="s">
        <v>66</v>
      </c>
      <c r="C27" s="100"/>
      <c r="BN27" s="64">
        <v>175</v>
      </c>
      <c r="BO27" s="59">
        <v>15213666.515931983</v>
      </c>
      <c r="BP27" s="59">
        <v>247.16703282124837</v>
      </c>
      <c r="BQ27" s="59">
        <v>29</v>
      </c>
      <c r="CL27" s="59">
        <v>24</v>
      </c>
      <c r="CM27" s="60">
        <v>8.9282586829737747E-5</v>
      </c>
      <c r="CN27" s="75">
        <v>4.9923866104191111E-2</v>
      </c>
    </row>
    <row r="28" spans="1:92">
      <c r="A28" s="90"/>
      <c r="B28" s="90"/>
      <c r="C28" s="100"/>
      <c r="BN28" s="64">
        <v>200</v>
      </c>
      <c r="BO28" s="59">
        <v>4938984.5674611712</v>
      </c>
      <c r="BP28" s="59">
        <v>299.88106873062134</v>
      </c>
      <c r="BQ28" s="59">
        <v>16</v>
      </c>
      <c r="CL28" s="59">
        <v>25</v>
      </c>
      <c r="CM28" s="60">
        <v>1.058803953785112E-3</v>
      </c>
      <c r="CN28" s="75">
        <v>2.3423423423423424</v>
      </c>
    </row>
    <row r="29" spans="1:92">
      <c r="A29" s="91"/>
      <c r="B29" s="90" t="s">
        <v>71</v>
      </c>
      <c r="C29" s="91"/>
      <c r="BM29" s="87">
        <f>BP29/BN29</f>
        <v>1.5294919847157002</v>
      </c>
      <c r="BN29" s="84">
        <v>250</v>
      </c>
      <c r="BO29" s="85">
        <v>56954674.699640132</v>
      </c>
      <c r="BP29" s="85">
        <v>382.37299617892506</v>
      </c>
      <c r="BQ29" s="86">
        <v>162</v>
      </c>
      <c r="CL29" s="59">
        <v>26</v>
      </c>
      <c r="CM29" s="60">
        <v>1.7419720198599716E-2</v>
      </c>
      <c r="CN29" s="75">
        <v>0.47297354145960957</v>
      </c>
    </row>
    <row r="30" spans="1:92">
      <c r="A30" s="90" t="s">
        <v>74</v>
      </c>
      <c r="B30" s="90" t="s">
        <v>70</v>
      </c>
      <c r="C30" s="90" t="s">
        <v>75</v>
      </c>
      <c r="BN30" s="64">
        <v>285</v>
      </c>
      <c r="BO30" s="59">
        <v>577039.61299504002</v>
      </c>
      <c r="BP30" s="59">
        <v>1388.4579562594299</v>
      </c>
      <c r="BQ30" s="59">
        <v>1</v>
      </c>
      <c r="CL30" s="59">
        <v>28</v>
      </c>
      <c r="CM30" s="60">
        <v>3.3103044527935902E-4</v>
      </c>
      <c r="CN30" s="75">
        <v>0.4103720191684303</v>
      </c>
    </row>
    <row r="31" spans="1:92">
      <c r="A31" s="63" t="s">
        <v>92</v>
      </c>
      <c r="B31" s="59">
        <v>93909305.427518249</v>
      </c>
      <c r="C31" s="60">
        <v>0.1952859732411015</v>
      </c>
      <c r="BN31" s="64">
        <v>300</v>
      </c>
      <c r="BO31" s="59">
        <v>1531428.6544137038</v>
      </c>
      <c r="BP31" s="59">
        <v>417.5813402283988</v>
      </c>
      <c r="BQ31" s="59">
        <v>7</v>
      </c>
      <c r="CL31" s="59">
        <v>30</v>
      </c>
      <c r="CM31" s="60">
        <v>4.3459138159901703E-3</v>
      </c>
      <c r="CN31" s="75">
        <v>0.22887718945685301</v>
      </c>
    </row>
    <row r="32" spans="1:92">
      <c r="A32" s="63" t="s">
        <v>98</v>
      </c>
      <c r="B32" s="59">
        <v>154614229.6614005</v>
      </c>
      <c r="C32" s="60">
        <v>0.32152287974969979</v>
      </c>
      <c r="BN32" s="64">
        <v>320</v>
      </c>
      <c r="BO32" s="59">
        <v>2592551.1934916889</v>
      </c>
      <c r="BP32" s="59">
        <v>502.74588011842945</v>
      </c>
      <c r="BQ32" s="59">
        <v>9</v>
      </c>
      <c r="CL32" s="59">
        <v>32</v>
      </c>
      <c r="CM32" s="60">
        <v>4.538700776979143E-3</v>
      </c>
      <c r="CN32" s="75">
        <v>0.18472503876263419</v>
      </c>
    </row>
    <row r="33" spans="1:92">
      <c r="A33" s="63" t="s">
        <v>103</v>
      </c>
      <c r="B33" s="59">
        <v>25731297.430350047</v>
      </c>
      <c r="C33" s="60">
        <v>5.3508663902541213E-2</v>
      </c>
      <c r="BM33" s="87">
        <f>BP33/BN33</f>
        <v>1.630167792042279</v>
      </c>
      <c r="BN33" s="84">
        <v>400</v>
      </c>
      <c r="BO33" s="85">
        <v>46233930.944578223</v>
      </c>
      <c r="BP33" s="85">
        <v>652.06711681691161</v>
      </c>
      <c r="BQ33" s="86">
        <v>86</v>
      </c>
      <c r="CL33" s="59">
        <v>35</v>
      </c>
      <c r="CM33" s="60">
        <v>3.3476281949050392E-3</v>
      </c>
      <c r="CN33" s="75">
        <v>0.74250454463988536</v>
      </c>
    </row>
    <row r="34" spans="1:92">
      <c r="A34" s="63" t="s">
        <v>108</v>
      </c>
      <c r="B34" s="59">
        <v>36744983.799402706</v>
      </c>
      <c r="C34" s="60">
        <v>7.6411809142101758E-2</v>
      </c>
      <c r="BN34" s="64">
        <v>450</v>
      </c>
      <c r="BO34" s="59">
        <v>2245774.5052214628</v>
      </c>
      <c r="BP34" s="59">
        <v>1074.6132635746599</v>
      </c>
      <c r="BQ34" s="59">
        <v>2</v>
      </c>
      <c r="CL34" s="59">
        <v>36</v>
      </c>
      <c r="CM34" s="60">
        <v>1.525929587194022E-3</v>
      </c>
      <c r="CN34" s="75">
        <v>0.19066513408252572</v>
      </c>
    </row>
    <row r="35" spans="1:92">
      <c r="A35" s="63" t="s">
        <v>113</v>
      </c>
      <c r="B35" s="59">
        <v>20045784.229145005</v>
      </c>
      <c r="C35" s="60">
        <v>4.1685543991070696E-2</v>
      </c>
      <c r="BN35" s="64">
        <v>500</v>
      </c>
      <c r="BO35" s="59">
        <v>1615787.6861005127</v>
      </c>
      <c r="BP35" s="59">
        <v>605.32812959168893</v>
      </c>
      <c r="BQ35" s="59">
        <v>3</v>
      </c>
      <c r="CL35" s="59">
        <v>40</v>
      </c>
      <c r="CM35" s="60">
        <v>3.2075297927852279E-3</v>
      </c>
      <c r="CN35" s="75">
        <v>1.0214121274186909</v>
      </c>
    </row>
    <row r="36" spans="1:92">
      <c r="A36" s="63" t="s">
        <v>118</v>
      </c>
      <c r="B36" s="59">
        <v>23040088.392245047</v>
      </c>
      <c r="C36" s="60">
        <v>4.791224964083398E-2</v>
      </c>
      <c r="BN36" s="64">
        <v>640</v>
      </c>
      <c r="BO36" s="59">
        <v>144846.71322507193</v>
      </c>
      <c r="BP36" s="59">
        <v>804.78306878306898</v>
      </c>
      <c r="BQ36" s="59">
        <v>1</v>
      </c>
      <c r="CL36" s="59">
        <v>42</v>
      </c>
      <c r="CM36" s="60">
        <v>1.4114838301859887E-2</v>
      </c>
      <c r="CN36" s="75">
        <v>0.89534208230312973</v>
      </c>
    </row>
    <row r="37" spans="1:92">
      <c r="A37" s="63" t="s">
        <v>122</v>
      </c>
      <c r="B37" s="59">
        <v>16397733.958544364</v>
      </c>
      <c r="C37" s="60">
        <v>3.4099362363132137E-2</v>
      </c>
      <c r="BN37" s="64">
        <v>750</v>
      </c>
      <c r="BO37" s="59">
        <v>7038924.641309524</v>
      </c>
      <c r="BP37" s="59">
        <v>873.27628968253975</v>
      </c>
      <c r="BQ37" s="59">
        <v>4</v>
      </c>
      <c r="CL37" s="59">
        <v>45</v>
      </c>
      <c r="CM37" s="60">
        <v>1.4544467967707019E-4</v>
      </c>
      <c r="CN37" s="75">
        <v>0.86655112651646438</v>
      </c>
    </row>
    <row r="38" spans="1:92">
      <c r="A38" s="63" t="s">
        <v>125</v>
      </c>
      <c r="B38" s="59">
        <v>7780990.0182357086</v>
      </c>
      <c r="C38" s="60">
        <v>1.618069904332603E-2</v>
      </c>
      <c r="BM38" s="87">
        <f>BP38/BN38</f>
        <v>3.4746782931121132</v>
      </c>
      <c r="BN38" s="84">
        <v>1000</v>
      </c>
      <c r="BO38" s="85">
        <v>39448861.170285553</v>
      </c>
      <c r="BP38" s="85">
        <v>3474.6782931121134</v>
      </c>
      <c r="BQ38" s="86">
        <v>16</v>
      </c>
      <c r="CL38" s="59">
        <v>47</v>
      </c>
      <c r="CM38" s="60">
        <v>2.0981407904988375E-3</v>
      </c>
      <c r="CN38" s="75">
        <v>0.30680728667305845</v>
      </c>
    </row>
    <row r="39" spans="1:92">
      <c r="A39" s="63" t="s">
        <v>127</v>
      </c>
      <c r="B39" s="59">
        <v>55241246.886340201</v>
      </c>
      <c r="C39" s="60">
        <v>0.11487509796968164</v>
      </c>
      <c r="BN39" s="64" t="s">
        <v>119</v>
      </c>
      <c r="BO39" s="59">
        <v>0</v>
      </c>
      <c r="BP39" s="59" t="e">
        <v>#DIV/0!</v>
      </c>
      <c r="BQ39" s="59">
        <v>24</v>
      </c>
      <c r="CL39" s="59">
        <v>50</v>
      </c>
      <c r="CM39" s="60">
        <v>2.1307687042888594E-2</v>
      </c>
      <c r="CN39" s="75">
        <v>0.38532337123155536</v>
      </c>
    </row>
    <row r="40" spans="1:92">
      <c r="A40" s="63" t="s">
        <v>100</v>
      </c>
      <c r="B40" s="59">
        <v>47375295.797132172</v>
      </c>
      <c r="C40" s="60">
        <v>9.8517720956511165E-2</v>
      </c>
      <c r="BN40" s="63" t="s">
        <v>106</v>
      </c>
      <c r="BO40" s="59">
        <v>200294031.58237338</v>
      </c>
      <c r="BP40" s="59">
        <v>491.20504946798337</v>
      </c>
      <c r="BQ40" s="59">
        <v>486</v>
      </c>
      <c r="CL40" s="59">
        <v>59</v>
      </c>
      <c r="CM40" s="60">
        <v>1.2533413378917055E-3</v>
      </c>
      <c r="CN40" s="75">
        <v>0.53806833467850412</v>
      </c>
    </row>
    <row r="41" spans="1:92">
      <c r="A41" s="63" t="s">
        <v>106</v>
      </c>
      <c r="B41" s="59">
        <v>480880955.60031402</v>
      </c>
      <c r="C41" s="60">
        <v>1</v>
      </c>
      <c r="CL41" s="59">
        <v>60</v>
      </c>
      <c r="CM41" s="60">
        <v>9.116113455957555E-3</v>
      </c>
      <c r="CN41" s="75">
        <v>1.0218010678015523</v>
      </c>
    </row>
    <row r="42" spans="1:92" ht="15">
      <c r="A42" s="67"/>
      <c r="B42" s="67"/>
      <c r="C42" s="67"/>
      <c r="D42" s="67"/>
      <c r="E42" s="67"/>
      <c r="F42" s="67"/>
      <c r="G42" s="67"/>
      <c r="H42" s="67"/>
      <c r="I42" s="67"/>
      <c r="J42" s="67"/>
      <c r="K42" s="67"/>
      <c r="L42" s="67"/>
      <c r="M42" s="67"/>
      <c r="N42" s="67"/>
      <c r="O42" s="67"/>
      <c r="P42" s="67"/>
      <c r="Q42" s="67"/>
      <c r="R42" s="67"/>
      <c r="S42" s="67"/>
      <c r="T42" s="67"/>
      <c r="U42" s="67"/>
      <c r="V42" s="67"/>
      <c r="W42" s="67"/>
      <c r="X42" s="67"/>
      <c r="Y42" s="67"/>
      <c r="Z42" s="67"/>
      <c r="AA42" s="67"/>
      <c r="AB42" s="67"/>
      <c r="AC42" s="67"/>
      <c r="AD42" s="67"/>
      <c r="AE42" s="67"/>
      <c r="AF42" s="67"/>
      <c r="AG42" s="67"/>
      <c r="AH42" s="67"/>
      <c r="AI42" s="67"/>
      <c r="AJ42" s="67"/>
      <c r="AK42" s="67"/>
      <c r="AL42" s="67"/>
      <c r="AM42" s="67"/>
      <c r="AN42" s="67"/>
      <c r="AO42" s="67"/>
      <c r="AP42" s="67"/>
      <c r="AQ42" s="67"/>
      <c r="AR42" s="67"/>
      <c r="AS42" s="67"/>
      <c r="AT42" s="67"/>
      <c r="AU42" s="67"/>
      <c r="AV42" s="67"/>
      <c r="AW42" s="67"/>
      <c r="AX42" s="67"/>
      <c r="AY42" s="67"/>
      <c r="AZ42" s="67"/>
      <c r="BA42" s="67"/>
      <c r="BB42" s="67"/>
      <c r="BC42" s="67"/>
      <c r="BD42" s="67"/>
      <c r="CL42" s="59">
        <v>65</v>
      </c>
      <c r="CM42" s="60">
        <v>8.4003906511291408E-3</v>
      </c>
      <c r="CN42" s="75">
        <v>0.44766007427353521</v>
      </c>
    </row>
    <row r="43" spans="1:92">
      <c r="CL43" s="59">
        <v>70</v>
      </c>
      <c r="CM43" s="60">
        <v>4.6798765617227837E-2</v>
      </c>
      <c r="CN43" s="75">
        <v>0.34244152335208483</v>
      </c>
    </row>
    <row r="44" spans="1:92">
      <c r="CL44" s="59">
        <v>75</v>
      </c>
      <c r="CM44" s="60">
        <v>2.0120900889817744E-2</v>
      </c>
      <c r="CN44" s="75">
        <v>0.56559553818417918</v>
      </c>
    </row>
    <row r="45" spans="1:92">
      <c r="CL45" s="59">
        <v>90</v>
      </c>
      <c r="CM45" s="60">
        <v>4.5568479384024956E-3</v>
      </c>
      <c r="CN45" s="75">
        <v>1.7241379310344827</v>
      </c>
    </row>
    <row r="46" spans="1:92">
      <c r="CL46" s="59">
        <v>100</v>
      </c>
      <c r="CM46" s="60">
        <v>8.725921458362712E-2</v>
      </c>
      <c r="CN46" s="75">
        <v>0.39479339458423884</v>
      </c>
    </row>
    <row r="47" spans="1:92" ht="23.25" customHeight="1">
      <c r="A47" s="72" t="s">
        <v>134</v>
      </c>
      <c r="B47" s="73" t="s">
        <v>138</v>
      </c>
      <c r="C47" s="74"/>
      <c r="D47" s="74"/>
      <c r="E47" s="74"/>
      <c r="F47" s="74"/>
      <c r="G47" s="74"/>
      <c r="H47" s="74"/>
      <c r="I47" s="74"/>
      <c r="CL47" s="59">
        <v>110</v>
      </c>
      <c r="CM47" s="60">
        <v>7.1106287842123196E-4</v>
      </c>
      <c r="CN47" s="75">
        <v>1.1904761904761907</v>
      </c>
    </row>
    <row r="48" spans="1:92">
      <c r="CL48" s="59">
        <v>125</v>
      </c>
      <c r="CM48" s="60">
        <v>2.8390438559942159E-3</v>
      </c>
      <c r="CN48" s="75">
        <v>0.10226939067849336</v>
      </c>
    </row>
    <row r="49" spans="1:92" ht="45">
      <c r="A49" s="81" t="s">
        <v>74</v>
      </c>
      <c r="B49" s="81" t="s">
        <v>135</v>
      </c>
      <c r="C49" s="81" t="s">
        <v>136</v>
      </c>
      <c r="D49" s="81" t="s">
        <v>137</v>
      </c>
      <c r="E49" s="81" t="s">
        <v>140</v>
      </c>
      <c r="CL49" s="102">
        <v>150</v>
      </c>
      <c r="CM49" s="96">
        <v>0.26581385360207088</v>
      </c>
      <c r="CN49" s="97">
        <v>0.3624192663431518</v>
      </c>
    </row>
    <row r="50" spans="1:92" ht="15">
      <c r="A50" s="67" t="s">
        <v>127</v>
      </c>
      <c r="B50" s="67">
        <v>368872051.99999982</v>
      </c>
      <c r="C50" s="67">
        <v>105</v>
      </c>
      <c r="D50" s="76">
        <v>55929864.126749299</v>
      </c>
      <c r="E50" s="77">
        <f>D50/B50</f>
        <v>0.151624021997604</v>
      </c>
      <c r="CL50" s="59">
        <v>175</v>
      </c>
      <c r="CM50" s="60">
        <v>0.10858451982073417</v>
      </c>
      <c r="CN50" s="75">
        <v>0.33856611432239153</v>
      </c>
    </row>
    <row r="51" spans="1:92" ht="15">
      <c r="A51" s="67" t="s">
        <v>113</v>
      </c>
      <c r="B51" s="67">
        <v>77120838</v>
      </c>
      <c r="C51" s="67">
        <v>74</v>
      </c>
      <c r="D51" s="76">
        <v>20076252.485161494</v>
      </c>
      <c r="E51" s="77">
        <f t="shared" ref="E51:E60" si="0">D51/B51</f>
        <v>0.2603220219827162</v>
      </c>
      <c r="CL51" s="59">
        <v>200</v>
      </c>
      <c r="CM51" s="60">
        <v>5.0894728546806996E-2</v>
      </c>
      <c r="CN51" s="75">
        <v>0.2422548452415656</v>
      </c>
    </row>
    <row r="52" spans="1:92" ht="15">
      <c r="A52" s="67" t="s">
        <v>122</v>
      </c>
      <c r="B52" s="67">
        <v>171040928</v>
      </c>
      <c r="C52" s="67">
        <v>72</v>
      </c>
      <c r="D52" s="76">
        <v>16900090.635764375</v>
      </c>
      <c r="E52" s="77">
        <f t="shared" si="0"/>
        <v>9.8807290356635435E-2</v>
      </c>
      <c r="CL52" s="59">
        <v>250</v>
      </c>
      <c r="CM52" s="60">
        <v>7.9775385117256153E-2</v>
      </c>
      <c r="CN52" s="75">
        <v>0.18005096510406046</v>
      </c>
    </row>
    <row r="53" spans="1:92" ht="15">
      <c r="A53" s="67" t="s">
        <v>92</v>
      </c>
      <c r="B53" s="67">
        <v>734358126.00000012</v>
      </c>
      <c r="C53" s="67">
        <v>117</v>
      </c>
      <c r="D53" s="76">
        <v>96623488.508893251</v>
      </c>
      <c r="E53" s="77">
        <f t="shared" si="0"/>
        <v>0.13157543314076875</v>
      </c>
      <c r="CL53" s="59">
        <v>300</v>
      </c>
      <c r="CM53" s="60">
        <v>6.5712355690696793E-3</v>
      </c>
      <c r="CN53" s="75">
        <v>0.18499676255665526</v>
      </c>
    </row>
    <row r="54" spans="1:92" ht="15">
      <c r="A54" s="67" t="s">
        <v>100</v>
      </c>
      <c r="B54" s="67">
        <v>333434465.00000012</v>
      </c>
      <c r="C54" s="67">
        <v>81</v>
      </c>
      <c r="D54" s="76">
        <v>47729533.504659541</v>
      </c>
      <c r="E54" s="77">
        <f t="shared" si="0"/>
        <v>0.14314517098482762</v>
      </c>
      <c r="CL54" s="102">
        <v>400</v>
      </c>
      <c r="CM54" s="96">
        <v>0.13111965365506661</v>
      </c>
      <c r="CN54" s="97">
        <v>0.24145242020150126</v>
      </c>
    </row>
    <row r="55" spans="1:92" ht="15">
      <c r="A55" s="67" t="s">
        <v>125</v>
      </c>
      <c r="B55" s="67">
        <v>125160635.99999996</v>
      </c>
      <c r="C55" s="67">
        <v>70</v>
      </c>
      <c r="D55" s="76">
        <v>8134732.1882276628</v>
      </c>
      <c r="E55" s="77">
        <f t="shared" si="0"/>
        <v>6.4994334067043774E-2</v>
      </c>
      <c r="CL55" s="59">
        <v>450</v>
      </c>
      <c r="CM55" s="60">
        <v>3.3827105706800635E-2</v>
      </c>
      <c r="CN55" s="75">
        <v>0.34948797332698256</v>
      </c>
    </row>
    <row r="56" spans="1:92" ht="15">
      <c r="A56" s="67" t="s">
        <v>118</v>
      </c>
      <c r="B56" s="67">
        <v>53036739.000000015</v>
      </c>
      <c r="C56" s="67">
        <v>43</v>
      </c>
      <c r="D56" s="76">
        <v>23158052.34060007</v>
      </c>
      <c r="E56" s="77">
        <f t="shared" si="0"/>
        <v>0.4366417086955528</v>
      </c>
      <c r="CL56" s="59">
        <v>500</v>
      </c>
      <c r="CM56" s="60">
        <v>2.9955775368865748E-3</v>
      </c>
      <c r="CN56" s="75">
        <v>0.15869599454039585</v>
      </c>
    </row>
    <row r="57" spans="1:92" ht="15">
      <c r="A57" s="67" t="s">
        <v>98</v>
      </c>
      <c r="B57" s="67">
        <v>570929487.99999964</v>
      </c>
      <c r="C57" s="67">
        <v>132</v>
      </c>
      <c r="D57" s="76">
        <v>159620648.45577848</v>
      </c>
      <c r="E57" s="77">
        <f t="shared" si="0"/>
        <v>0.27958031913001941</v>
      </c>
      <c r="CL57" s="59">
        <v>750</v>
      </c>
      <c r="CM57" s="60">
        <v>4.195726623390887E-3</v>
      </c>
      <c r="CN57" s="75">
        <v>0.36036036036036034</v>
      </c>
    </row>
    <row r="58" spans="1:92" ht="15">
      <c r="A58" s="67" t="s">
        <v>103</v>
      </c>
      <c r="B58" s="67">
        <v>245353160.99999994</v>
      </c>
      <c r="C58" s="67">
        <v>75</v>
      </c>
      <c r="D58" s="76">
        <v>25898612.208026387</v>
      </c>
      <c r="E58" s="77">
        <f t="shared" si="0"/>
        <v>0.10555646441427503</v>
      </c>
      <c r="CL58" s="59">
        <v>1000</v>
      </c>
      <c r="CM58" s="60">
        <v>4.06791249619462E-2</v>
      </c>
      <c r="CN58" s="75">
        <v>5.5750607143801131E-2</v>
      </c>
    </row>
    <row r="59" spans="1:92" ht="15">
      <c r="A59" s="67" t="s">
        <v>108</v>
      </c>
      <c r="B59" s="67">
        <v>442224054.00000012</v>
      </c>
      <c r="C59" s="67">
        <v>43</v>
      </c>
      <c r="D59" s="76">
        <v>36940140.293881215</v>
      </c>
      <c r="E59" s="77">
        <f t="shared" si="0"/>
        <v>8.3532634554250654E-2</v>
      </c>
      <c r="CL59" s="59" t="s">
        <v>119</v>
      </c>
      <c r="CM59" s="60">
        <v>0</v>
      </c>
      <c r="CN59" s="75">
        <v>0.11557469069826705</v>
      </c>
    </row>
    <row r="60" spans="1:92" ht="15">
      <c r="A60" s="67" t="s">
        <v>106</v>
      </c>
      <c r="B60" s="67">
        <v>3121530486.9999986</v>
      </c>
      <c r="C60" s="67">
        <v>812</v>
      </c>
      <c r="D60" s="76">
        <v>491011414.7477417</v>
      </c>
      <c r="E60" s="77">
        <f t="shared" si="0"/>
        <v>0.15729829222960331</v>
      </c>
      <c r="CL60" s="59" t="s">
        <v>106</v>
      </c>
      <c r="CM60" s="60">
        <v>1</v>
      </c>
      <c r="CN60" s="75">
        <v>0.45051339655955608</v>
      </c>
    </row>
    <row r="61" spans="1:92">
      <c r="E61" s="78"/>
    </row>
  </sheetData>
  <hyperlinks>
    <hyperlink ref="B4" r:id="rId1"/>
    <hyperlink ref="B47" r:id="rId2"/>
  </hyperlinks>
  <pageMargins left="0.7" right="0.7" top="0.75" bottom="0.75" header="0.3" footer="0.3"/>
  <pageSetup orientation="portrait" r:id="rId3"/>
  <drawing r:id="rId4"/>
</worksheet>
</file>

<file path=xl/worksheets/sheet17.xml><?xml version="1.0" encoding="utf-8"?>
<worksheet xmlns="http://schemas.openxmlformats.org/spreadsheetml/2006/main" xmlns:r="http://schemas.openxmlformats.org/officeDocument/2006/relationships">
  <sheetPr>
    <tabColor rgb="FFFFFF00"/>
  </sheetPr>
  <dimension ref="A1"/>
  <sheetViews>
    <sheetView topLeftCell="A19" workbookViewId="0">
      <selection activeCell="A40" sqref="A40"/>
    </sheetView>
  </sheetViews>
  <sheetFormatPr defaultRowHeight="12.75"/>
  <sheetData/>
  <pageMargins left="0.7" right="0.7" top="0.75" bottom="0.75" header="0.3" footer="0.3"/>
  <pageSetup orientation="portrait" r:id="rId1"/>
  <legacyDrawing r:id="rId2"/>
  <oleObjects>
    <oleObject progId="Word.Document.12" shapeId="6145" r:id="rId3"/>
  </oleObjects>
</worksheet>
</file>

<file path=xl/worksheets/sheet18.xml><?xml version="1.0" encoding="utf-8"?>
<worksheet xmlns="http://schemas.openxmlformats.org/spreadsheetml/2006/main" xmlns:r="http://schemas.openxmlformats.org/officeDocument/2006/relationships">
  <sheetPr>
    <tabColor rgb="FFFFFF00"/>
  </sheetPr>
  <dimension ref="A1:V1194"/>
  <sheetViews>
    <sheetView topLeftCell="E1" workbookViewId="0">
      <selection activeCell="N26" sqref="N26"/>
    </sheetView>
  </sheetViews>
  <sheetFormatPr defaultRowHeight="12.75"/>
  <cols>
    <col min="1" max="1" width="16" bestFit="1" customWidth="1"/>
    <col min="2" max="2" width="15.42578125" bestFit="1" customWidth="1"/>
    <col min="3" max="3" width="15.7109375" bestFit="1" customWidth="1"/>
    <col min="4" max="4" width="31.28515625" bestFit="1" customWidth="1"/>
    <col min="5" max="5" width="4.7109375" bestFit="1" customWidth="1"/>
    <col min="6" max="6" width="17.5703125" bestFit="1" customWidth="1"/>
    <col min="7" max="7" width="19.28515625" bestFit="1" customWidth="1"/>
    <col min="8" max="8" width="19.28515625" customWidth="1"/>
    <col min="9" max="9" width="5.28515625" customWidth="1"/>
    <col min="10" max="10" width="31.5703125" customWidth="1"/>
    <col min="11" max="11" width="17.5703125" customWidth="1"/>
    <col min="12" max="12" width="13.7109375" customWidth="1"/>
    <col min="13" max="14" width="12.85546875" customWidth="1"/>
  </cols>
  <sheetData>
    <row r="1" spans="1:22">
      <c r="A1" s="146" t="s">
        <v>372</v>
      </c>
    </row>
    <row r="2" spans="1:22" ht="38.25">
      <c r="A2" t="s">
        <v>342</v>
      </c>
      <c r="B2" s="165" t="s">
        <v>343</v>
      </c>
      <c r="C2" t="s">
        <v>344</v>
      </c>
      <c r="D2" t="s">
        <v>345</v>
      </c>
      <c r="E2" t="s">
        <v>346</v>
      </c>
      <c r="F2" s="166" t="s">
        <v>347</v>
      </c>
      <c r="G2" t="s">
        <v>348</v>
      </c>
      <c r="K2" s="62" t="s">
        <v>376</v>
      </c>
      <c r="L2" s="62" t="s">
        <v>377</v>
      </c>
      <c r="M2" s="62" t="s">
        <v>378</v>
      </c>
      <c r="N2" s="62" t="s">
        <v>682</v>
      </c>
    </row>
    <row r="3" spans="1:22">
      <c r="A3" t="s">
        <v>349</v>
      </c>
      <c r="B3" s="165">
        <v>41683</v>
      </c>
      <c r="C3" t="s">
        <v>350</v>
      </c>
      <c r="D3" t="s">
        <v>351</v>
      </c>
      <c r="E3">
        <v>3</v>
      </c>
      <c r="F3" s="166">
        <v>695</v>
      </c>
      <c r="G3">
        <v>2085</v>
      </c>
      <c r="J3" t="s">
        <v>357</v>
      </c>
      <c r="K3" s="131">
        <f>AVERAGEIF($D$3:$D$577,J3,$F$3:$F$577)</f>
        <v>304.90063755887883</v>
      </c>
      <c r="L3" s="172">
        <f>F708</f>
        <v>287</v>
      </c>
      <c r="M3" s="172">
        <f>F709</f>
        <v>235.83333333333334</v>
      </c>
      <c r="N3" s="106">
        <f>COUNTIF($D$3:$D$577,J3)</f>
        <v>125</v>
      </c>
    </row>
    <row r="4" spans="1:22">
      <c r="A4" t="s">
        <v>349</v>
      </c>
      <c r="B4" s="165">
        <v>41690</v>
      </c>
      <c r="C4" t="s">
        <v>350</v>
      </c>
      <c r="D4" t="s">
        <v>351</v>
      </c>
      <c r="E4">
        <v>4</v>
      </c>
      <c r="F4" s="166">
        <v>348.25</v>
      </c>
      <c r="G4">
        <v>1393</v>
      </c>
      <c r="J4" t="s">
        <v>351</v>
      </c>
      <c r="K4" s="131">
        <f t="shared" ref="K4:K8" si="0">AVERAGEIF($D$3:$D$577,J4,$F$3:$F$577)</f>
        <v>526.88742017410289</v>
      </c>
      <c r="L4" s="172">
        <f>F906</f>
        <v>485.41666666666669</v>
      </c>
      <c r="M4" s="172">
        <f>F907</f>
        <v>368.34615384615381</v>
      </c>
      <c r="N4" s="106">
        <f t="shared" ref="N4:N8" si="1">COUNTIF($D$3:$D$577,J4)</f>
        <v>191</v>
      </c>
      <c r="U4" t="s">
        <v>670</v>
      </c>
      <c r="V4">
        <v>1.9353</v>
      </c>
    </row>
    <row r="5" spans="1:22">
      <c r="A5" t="s">
        <v>349</v>
      </c>
      <c r="B5" s="165">
        <v>41697</v>
      </c>
      <c r="C5" t="s">
        <v>352</v>
      </c>
      <c r="D5" t="s">
        <v>353</v>
      </c>
      <c r="E5">
        <v>2</v>
      </c>
      <c r="F5" s="166">
        <v>775</v>
      </c>
      <c r="G5">
        <v>1550</v>
      </c>
      <c r="J5" t="s">
        <v>359</v>
      </c>
      <c r="K5" s="131">
        <f t="shared" si="0"/>
        <v>629.50659329239716</v>
      </c>
      <c r="L5" s="172">
        <f>F981</f>
        <v>580</v>
      </c>
      <c r="M5" s="172">
        <f>F982</f>
        <v>468.75</v>
      </c>
      <c r="N5" s="106">
        <f t="shared" si="1"/>
        <v>68</v>
      </c>
      <c r="U5" t="s">
        <v>671</v>
      </c>
      <c r="V5">
        <v>321.63</v>
      </c>
    </row>
    <row r="6" spans="1:22">
      <c r="A6" t="s">
        <v>349</v>
      </c>
      <c r="B6" s="165">
        <v>41697</v>
      </c>
      <c r="C6" t="s">
        <v>352</v>
      </c>
      <c r="D6" t="s">
        <v>353</v>
      </c>
      <c r="E6">
        <v>4</v>
      </c>
      <c r="F6" s="166">
        <v>850</v>
      </c>
      <c r="G6">
        <v>3400</v>
      </c>
      <c r="J6" t="s">
        <v>355</v>
      </c>
      <c r="K6" s="131">
        <f t="shared" si="0"/>
        <v>675.6713070526647</v>
      </c>
      <c r="L6" s="172">
        <f>F1119</f>
        <v>575</v>
      </c>
      <c r="M6" s="172">
        <f>F1120</f>
        <v>486.38235294117646</v>
      </c>
      <c r="N6" s="106">
        <f t="shared" si="1"/>
        <v>131</v>
      </c>
    </row>
    <row r="7" spans="1:22">
      <c r="A7" t="s">
        <v>349</v>
      </c>
      <c r="B7" s="165">
        <v>41697</v>
      </c>
      <c r="C7" t="s">
        <v>350</v>
      </c>
      <c r="D7" t="s">
        <v>351</v>
      </c>
      <c r="E7">
        <v>2</v>
      </c>
      <c r="F7" s="166">
        <v>425</v>
      </c>
      <c r="G7">
        <v>850</v>
      </c>
      <c r="J7" t="s">
        <v>353</v>
      </c>
      <c r="K7" s="131">
        <f t="shared" si="0"/>
        <v>964.23369160234267</v>
      </c>
      <c r="L7" s="172">
        <f>F1180</f>
        <v>850</v>
      </c>
      <c r="M7" s="172">
        <f>F1181</f>
        <v>794.55555555555554</v>
      </c>
      <c r="N7" s="106">
        <f t="shared" si="1"/>
        <v>54</v>
      </c>
    </row>
    <row r="8" spans="1:22">
      <c r="A8" t="s">
        <v>349</v>
      </c>
      <c r="B8" s="165">
        <v>41697</v>
      </c>
      <c r="C8" t="s">
        <v>350</v>
      </c>
      <c r="D8" t="s">
        <v>351</v>
      </c>
      <c r="E8">
        <v>3</v>
      </c>
      <c r="F8" s="166">
        <v>625</v>
      </c>
      <c r="G8">
        <v>1875</v>
      </c>
      <c r="J8" t="s">
        <v>361</v>
      </c>
      <c r="K8" s="131">
        <f t="shared" si="0"/>
        <v>1145.2272727272727</v>
      </c>
      <c r="L8" s="172">
        <f>F1193</f>
        <v>1000.7272727272727</v>
      </c>
      <c r="M8" s="172">
        <f>F1194</f>
        <v>976.25</v>
      </c>
      <c r="N8" s="106">
        <f t="shared" si="1"/>
        <v>6</v>
      </c>
    </row>
    <row r="9" spans="1:22">
      <c r="A9" t="s">
        <v>349</v>
      </c>
      <c r="B9" s="165">
        <v>41704</v>
      </c>
      <c r="C9" t="s">
        <v>354</v>
      </c>
      <c r="D9" t="s">
        <v>355</v>
      </c>
      <c r="E9">
        <v>4</v>
      </c>
      <c r="F9" s="166">
        <v>1150</v>
      </c>
      <c r="G9">
        <v>4600</v>
      </c>
    </row>
    <row r="10" spans="1:22">
      <c r="A10" t="s">
        <v>349</v>
      </c>
      <c r="B10" s="165">
        <v>41704</v>
      </c>
      <c r="C10" t="s">
        <v>350</v>
      </c>
      <c r="D10" t="s">
        <v>351</v>
      </c>
      <c r="E10">
        <v>8</v>
      </c>
      <c r="F10" s="166">
        <v>725</v>
      </c>
      <c r="G10">
        <v>5800</v>
      </c>
    </row>
    <row r="11" spans="1:22">
      <c r="A11" t="s">
        <v>349</v>
      </c>
      <c r="B11" s="165">
        <v>41711</v>
      </c>
      <c r="C11" t="s">
        <v>356</v>
      </c>
      <c r="D11" t="s">
        <v>357</v>
      </c>
      <c r="E11">
        <v>15</v>
      </c>
      <c r="F11" s="166">
        <v>245</v>
      </c>
      <c r="G11">
        <v>3675</v>
      </c>
    </row>
    <row r="12" spans="1:22">
      <c r="A12" t="s">
        <v>349</v>
      </c>
      <c r="B12" s="165">
        <v>41711</v>
      </c>
      <c r="C12" t="s">
        <v>350</v>
      </c>
      <c r="D12" t="s">
        <v>351</v>
      </c>
      <c r="E12">
        <v>2</v>
      </c>
      <c r="F12" s="166">
        <v>450</v>
      </c>
      <c r="G12">
        <v>900</v>
      </c>
      <c r="J12" s="146" t="s">
        <v>663</v>
      </c>
    </row>
    <row r="13" spans="1:22" ht="38.25">
      <c r="A13" t="s">
        <v>349</v>
      </c>
      <c r="B13" s="165">
        <v>41711</v>
      </c>
      <c r="C13" t="s">
        <v>350</v>
      </c>
      <c r="D13" t="s">
        <v>351</v>
      </c>
      <c r="E13">
        <v>5</v>
      </c>
      <c r="F13" s="166">
        <v>342</v>
      </c>
      <c r="G13">
        <v>1710</v>
      </c>
      <c r="J13" t="s">
        <v>683</v>
      </c>
      <c r="K13" s="62" t="s">
        <v>664</v>
      </c>
      <c r="L13" s="62" t="s">
        <v>665</v>
      </c>
      <c r="M13" s="62" t="s">
        <v>666</v>
      </c>
      <c r="N13" s="62"/>
    </row>
    <row r="14" spans="1:22">
      <c r="A14" t="s">
        <v>349</v>
      </c>
      <c r="B14" s="165">
        <v>41711</v>
      </c>
      <c r="C14" t="s">
        <v>350</v>
      </c>
      <c r="D14" t="s">
        <v>351</v>
      </c>
      <c r="E14">
        <v>10</v>
      </c>
      <c r="F14" s="166">
        <v>475</v>
      </c>
      <c r="G14">
        <v>4750</v>
      </c>
      <c r="J14">
        <v>40</v>
      </c>
      <c r="K14" s="162">
        <f>K3*'Savings and Cost Analysis'!$Q$8</f>
        <v>296.97322098234798</v>
      </c>
      <c r="L14" s="162">
        <f>L3*'Savings and Cost Analysis'!$Q$8</f>
        <v>279.53800000000001</v>
      </c>
      <c r="M14" s="162">
        <f>M3*'Savings and Cost Analysis'!$Q$8</f>
        <v>229.70166666666668</v>
      </c>
      <c r="N14" s="162"/>
      <c r="U14" t="s">
        <v>670</v>
      </c>
      <c r="V14">
        <v>1.6365000000000001</v>
      </c>
    </row>
    <row r="15" spans="1:22">
      <c r="A15" t="s">
        <v>349</v>
      </c>
      <c r="B15" s="165">
        <v>41718</v>
      </c>
      <c r="C15" t="s">
        <v>358</v>
      </c>
      <c r="D15" t="s">
        <v>359</v>
      </c>
      <c r="E15">
        <v>8</v>
      </c>
      <c r="F15" s="166">
        <v>555.5</v>
      </c>
      <c r="G15">
        <v>4444</v>
      </c>
      <c r="J15">
        <v>90</v>
      </c>
      <c r="K15" s="162">
        <f>K4*'Savings and Cost Analysis'!$Q$8</f>
        <v>513.18834724957617</v>
      </c>
      <c r="L15" s="162">
        <f>L4*'Savings and Cost Analysis'!$Q$8</f>
        <v>472.79583333333335</v>
      </c>
      <c r="M15" s="162">
        <f>M4*'Savings and Cost Analysis'!$Q$8</f>
        <v>358.76915384615381</v>
      </c>
      <c r="N15" s="162"/>
      <c r="U15" t="s">
        <v>671</v>
      </c>
      <c r="V15">
        <v>302.38</v>
      </c>
    </row>
    <row r="16" spans="1:22">
      <c r="A16" t="s">
        <v>349</v>
      </c>
      <c r="B16" s="165">
        <v>41718</v>
      </c>
      <c r="C16" t="s">
        <v>354</v>
      </c>
      <c r="D16" t="s">
        <v>355</v>
      </c>
      <c r="E16">
        <v>7</v>
      </c>
      <c r="F16" s="166">
        <v>735</v>
      </c>
      <c r="G16">
        <v>5145</v>
      </c>
      <c r="J16">
        <v>110</v>
      </c>
      <c r="K16" s="162">
        <f>K5*'Savings and Cost Analysis'!$Q$8</f>
        <v>613.13942186679481</v>
      </c>
      <c r="L16" s="162">
        <f>L5*'Savings and Cost Analysis'!$Q$8</f>
        <v>564.91999999999996</v>
      </c>
      <c r="M16" s="162">
        <f>M5*'Savings and Cost Analysis'!$Q$8</f>
        <v>456.5625</v>
      </c>
      <c r="N16" s="162"/>
    </row>
    <row r="17" spans="1:22">
      <c r="A17" t="s">
        <v>349</v>
      </c>
      <c r="B17" s="165">
        <v>41718</v>
      </c>
      <c r="C17" t="s">
        <v>352</v>
      </c>
      <c r="D17" t="s">
        <v>353</v>
      </c>
      <c r="E17">
        <v>11</v>
      </c>
      <c r="F17" s="166">
        <v>850</v>
      </c>
      <c r="G17">
        <v>9350</v>
      </c>
      <c r="J17">
        <v>150</v>
      </c>
      <c r="K17" s="162">
        <f>K6*'Savings and Cost Analysis'!$Q$8</f>
        <v>658.10385306929538</v>
      </c>
      <c r="L17" s="162">
        <f>L6*'Savings and Cost Analysis'!$Q$8</f>
        <v>560.04999999999995</v>
      </c>
      <c r="M17" s="162">
        <f>M6*'Savings and Cost Analysis'!$Q$8</f>
        <v>473.73641176470585</v>
      </c>
      <c r="N17" s="162"/>
    </row>
    <row r="18" spans="1:22">
      <c r="A18" t="s">
        <v>349</v>
      </c>
      <c r="B18" s="165">
        <v>41718</v>
      </c>
      <c r="C18" t="s">
        <v>350</v>
      </c>
      <c r="D18" t="s">
        <v>351</v>
      </c>
      <c r="E18">
        <v>8</v>
      </c>
      <c r="F18" s="166">
        <v>489</v>
      </c>
      <c r="G18">
        <v>3912</v>
      </c>
      <c r="J18">
        <v>350</v>
      </c>
      <c r="K18" s="162">
        <f>K7*'Savings and Cost Analysis'!$Q$8</f>
        <v>939.16361562068175</v>
      </c>
      <c r="L18" s="162">
        <f>L7*'Savings and Cost Analysis'!$Q$8</f>
        <v>827.9</v>
      </c>
      <c r="M18" s="162">
        <f>M7*'Savings and Cost Analysis'!$Q$8</f>
        <v>773.89711111111103</v>
      </c>
      <c r="N18" s="162"/>
    </row>
    <row r="19" spans="1:22">
      <c r="A19" t="s">
        <v>349</v>
      </c>
      <c r="B19" s="165">
        <v>41718</v>
      </c>
      <c r="C19" t="s">
        <v>350</v>
      </c>
      <c r="D19" t="s">
        <v>351</v>
      </c>
      <c r="E19">
        <v>10</v>
      </c>
      <c r="F19" s="166">
        <v>494.4</v>
      </c>
      <c r="G19">
        <v>4944</v>
      </c>
      <c r="J19">
        <v>400</v>
      </c>
      <c r="K19" s="162">
        <f>K8*'Savings and Cost Analysis'!$Q$8</f>
        <v>1115.4513636363636</v>
      </c>
      <c r="L19" s="162">
        <f>L8*'Savings and Cost Analysis'!$Q$8</f>
        <v>974.70836363636363</v>
      </c>
      <c r="M19" s="162">
        <f>M8*'Savings and Cost Analysis'!$Q$8</f>
        <v>950.86749999999995</v>
      </c>
      <c r="N19" s="162"/>
    </row>
    <row r="20" spans="1:22">
      <c r="A20" t="s">
        <v>349</v>
      </c>
      <c r="B20" s="165">
        <v>41739</v>
      </c>
      <c r="C20" t="s">
        <v>354</v>
      </c>
      <c r="D20" t="s">
        <v>355</v>
      </c>
      <c r="E20">
        <v>3</v>
      </c>
      <c r="F20" s="166">
        <v>850</v>
      </c>
      <c r="G20">
        <v>2550</v>
      </c>
    </row>
    <row r="21" spans="1:22">
      <c r="A21" t="s">
        <v>349</v>
      </c>
      <c r="B21" s="165">
        <v>41739</v>
      </c>
      <c r="C21" t="s">
        <v>354</v>
      </c>
      <c r="D21" t="s">
        <v>355</v>
      </c>
      <c r="E21">
        <v>8</v>
      </c>
      <c r="F21" s="166">
        <v>492.5</v>
      </c>
      <c r="G21">
        <v>3940</v>
      </c>
      <c r="J21" s="146" t="s">
        <v>674</v>
      </c>
    </row>
    <row r="22" spans="1:22">
      <c r="A22" t="s">
        <v>349</v>
      </c>
      <c r="B22" s="165">
        <v>41739</v>
      </c>
      <c r="C22" t="s">
        <v>354</v>
      </c>
      <c r="D22" t="s">
        <v>355</v>
      </c>
      <c r="E22">
        <v>10</v>
      </c>
      <c r="F22" s="166">
        <v>492.5</v>
      </c>
      <c r="G22">
        <v>4925</v>
      </c>
    </row>
    <row r="23" spans="1:22" ht="51">
      <c r="A23" t="s">
        <v>349</v>
      </c>
      <c r="B23" s="165">
        <v>41739</v>
      </c>
      <c r="C23" t="s">
        <v>354</v>
      </c>
      <c r="D23" t="s">
        <v>355</v>
      </c>
      <c r="E23">
        <v>12</v>
      </c>
      <c r="F23" s="166">
        <v>492.5</v>
      </c>
      <c r="G23">
        <v>5910</v>
      </c>
      <c r="I23" s="62" t="s">
        <v>672</v>
      </c>
      <c r="J23" t="s">
        <v>678</v>
      </c>
      <c r="K23" s="62" t="s">
        <v>675</v>
      </c>
      <c r="L23" s="62" t="s">
        <v>676</v>
      </c>
      <c r="M23" s="62" t="s">
        <v>677</v>
      </c>
      <c r="N23" s="62" t="s">
        <v>673</v>
      </c>
    </row>
    <row r="24" spans="1:22">
      <c r="A24" t="s">
        <v>349</v>
      </c>
      <c r="B24" s="165">
        <v>41739</v>
      </c>
      <c r="C24" t="s">
        <v>354</v>
      </c>
      <c r="D24" t="s">
        <v>355</v>
      </c>
      <c r="E24">
        <v>12</v>
      </c>
      <c r="F24" s="166">
        <v>492.5</v>
      </c>
      <c r="G24">
        <v>5910</v>
      </c>
      <c r="I24" s="153" t="str">
        <f>CONCATENATE("LED ",J24,"W")</f>
        <v>LED 31W</v>
      </c>
      <c r="J24" s="106">
        <v>31</v>
      </c>
      <c r="K24" s="131">
        <f>$V$4*J24+$V$5</f>
        <v>381.62430000000001</v>
      </c>
      <c r="L24" s="131">
        <f>$V$14*J24+$V$15</f>
        <v>353.11149999999998</v>
      </c>
      <c r="M24" s="131">
        <f>$V$24*J24+$V$25</f>
        <v>255.34399999999999</v>
      </c>
      <c r="N24" s="162">
        <f>'Savings and Cost Analysis'!R30+'Savings and Cost Analysis'!$BO$13</f>
        <v>272.37829599999998</v>
      </c>
      <c r="U24" t="s">
        <v>670</v>
      </c>
      <c r="V24">
        <v>1.794</v>
      </c>
    </row>
    <row r="25" spans="1:22">
      <c r="A25" t="s">
        <v>349</v>
      </c>
      <c r="B25" s="165">
        <v>41739</v>
      </c>
      <c r="C25" t="s">
        <v>354</v>
      </c>
      <c r="D25" t="s">
        <v>355</v>
      </c>
      <c r="E25">
        <v>16</v>
      </c>
      <c r="F25" s="166">
        <v>492.5</v>
      </c>
      <c r="G25">
        <v>7880</v>
      </c>
      <c r="I25" s="153" t="str">
        <f t="shared" ref="I25:I27" si="2">CONCATENATE("LED ",J25,"W")</f>
        <v>LED 95W</v>
      </c>
      <c r="J25" s="106">
        <v>95</v>
      </c>
      <c r="K25" s="131">
        <f>$V$4*J25+$V$5</f>
        <v>505.48349999999999</v>
      </c>
      <c r="L25" s="131">
        <f>$V$14*J25+$V$15</f>
        <v>457.84749999999997</v>
      </c>
      <c r="M25" s="131">
        <f>$V$24*J25+$V$25</f>
        <v>370.15999999999997</v>
      </c>
      <c r="N25" s="162">
        <f>'Savings and Cost Analysis'!R42</f>
        <v>405.70752500000003</v>
      </c>
      <c r="U25" t="s">
        <v>671</v>
      </c>
      <c r="V25">
        <v>199.73</v>
      </c>
    </row>
    <row r="26" spans="1:22">
      <c r="A26" t="s">
        <v>349</v>
      </c>
      <c r="B26" s="165">
        <v>41739</v>
      </c>
      <c r="C26" t="s">
        <v>352</v>
      </c>
      <c r="D26" t="s">
        <v>353</v>
      </c>
      <c r="E26">
        <v>4</v>
      </c>
      <c r="F26" s="166">
        <v>540</v>
      </c>
      <c r="G26">
        <v>2160</v>
      </c>
      <c r="I26" s="153" t="str">
        <f t="shared" si="2"/>
        <v>LED 135W</v>
      </c>
      <c r="J26">
        <v>135</v>
      </c>
      <c r="K26" s="131">
        <f>$V$4*J26+$V$5</f>
        <v>582.89549999999997</v>
      </c>
      <c r="L26" s="131">
        <f>$V$14*J26+$V$15</f>
        <v>523.3075</v>
      </c>
      <c r="M26" s="131">
        <f>$V$24*J26+$V$25</f>
        <v>441.91999999999996</v>
      </c>
      <c r="N26" s="162">
        <f>'Savings and Cost Analysis'!R14+'Savings and Cost Analysis'!$BO$13</f>
        <v>342.9</v>
      </c>
    </row>
    <row r="27" spans="1:22">
      <c r="A27" t="s">
        <v>349</v>
      </c>
      <c r="B27" s="165">
        <v>41739</v>
      </c>
      <c r="C27" t="s">
        <v>350</v>
      </c>
      <c r="D27" t="s">
        <v>351</v>
      </c>
      <c r="E27">
        <v>4</v>
      </c>
      <c r="F27" s="166">
        <v>306</v>
      </c>
      <c r="G27">
        <v>1224</v>
      </c>
      <c r="I27" s="153" t="str">
        <f t="shared" si="2"/>
        <v>LED 180W</v>
      </c>
      <c r="J27">
        <v>180</v>
      </c>
      <c r="K27" s="131">
        <f>$V$4*J27+$V$5</f>
        <v>669.98399999999992</v>
      </c>
      <c r="L27" s="131">
        <f>$V$14*J27+$V$15</f>
        <v>596.95000000000005</v>
      </c>
      <c r="M27" s="131">
        <f>$V$24*J27+$V$25</f>
        <v>522.65</v>
      </c>
      <c r="N27" s="162">
        <f>'Savings and Cost Analysis'!R15+'Savings and Cost Analysis'!$BO$13</f>
        <v>442.9</v>
      </c>
    </row>
    <row r="28" spans="1:22">
      <c r="A28" t="s">
        <v>349</v>
      </c>
      <c r="B28" s="165">
        <v>41739</v>
      </c>
      <c r="C28" t="s">
        <v>350</v>
      </c>
      <c r="D28" t="s">
        <v>351</v>
      </c>
      <c r="E28">
        <v>3</v>
      </c>
      <c r="F28" s="166">
        <v>625</v>
      </c>
      <c r="G28">
        <v>1875</v>
      </c>
      <c r="I28" s="153" t="str">
        <f>CONCATENATE("LED ",J28,"W*")</f>
        <v>LED 421W*</v>
      </c>
      <c r="J28">
        <v>421</v>
      </c>
      <c r="K28" s="131">
        <f>$V$4*J28+$V$5</f>
        <v>1136.3913</v>
      </c>
      <c r="L28" s="131">
        <f>$V$14*J28+$V$15</f>
        <v>991.34649999999999</v>
      </c>
      <c r="M28" s="131">
        <f>$V$24*J28+$V$25</f>
        <v>955.00400000000002</v>
      </c>
      <c r="N28" s="162">
        <f>'Savings and Cost Analysis'!R16+'Savings and Cost Analysis'!$BO$13</f>
        <v>1242.9000000000001</v>
      </c>
    </row>
    <row r="29" spans="1:22">
      <c r="A29" t="s">
        <v>349</v>
      </c>
      <c r="B29" s="165">
        <v>41739</v>
      </c>
      <c r="C29" t="s">
        <v>350</v>
      </c>
      <c r="D29" t="s">
        <v>351</v>
      </c>
      <c r="E29">
        <v>4</v>
      </c>
      <c r="F29" s="166">
        <v>1034.75</v>
      </c>
      <c r="G29">
        <v>4139</v>
      </c>
      <c r="J29" s="106"/>
    </row>
    <row r="30" spans="1:22">
      <c r="A30" t="s">
        <v>349</v>
      </c>
      <c r="B30" s="165">
        <v>41746</v>
      </c>
      <c r="C30" t="s">
        <v>352</v>
      </c>
      <c r="D30" t="s">
        <v>353</v>
      </c>
      <c r="E30">
        <v>1</v>
      </c>
      <c r="F30" s="166">
        <v>998</v>
      </c>
      <c r="G30">
        <v>998</v>
      </c>
    </row>
    <row r="31" spans="1:22">
      <c r="A31" t="s">
        <v>349</v>
      </c>
      <c r="B31" s="165">
        <v>41746</v>
      </c>
      <c r="C31" t="s">
        <v>350</v>
      </c>
      <c r="D31" t="s">
        <v>351</v>
      </c>
      <c r="E31">
        <v>10</v>
      </c>
      <c r="F31" s="166">
        <v>480</v>
      </c>
      <c r="G31">
        <v>4800</v>
      </c>
    </row>
    <row r="32" spans="1:22">
      <c r="A32" t="s">
        <v>349</v>
      </c>
      <c r="B32" s="165">
        <v>41753</v>
      </c>
      <c r="C32" t="s">
        <v>354</v>
      </c>
      <c r="D32" t="s">
        <v>355</v>
      </c>
      <c r="E32">
        <v>2</v>
      </c>
      <c r="F32" s="166">
        <v>780</v>
      </c>
      <c r="G32">
        <v>1560</v>
      </c>
    </row>
    <row r="33" spans="1:7">
      <c r="A33" t="s">
        <v>349</v>
      </c>
      <c r="B33" s="165">
        <v>41753</v>
      </c>
      <c r="C33" t="s">
        <v>354</v>
      </c>
      <c r="D33" t="s">
        <v>355</v>
      </c>
      <c r="E33">
        <v>6</v>
      </c>
      <c r="F33" s="166">
        <v>525</v>
      </c>
      <c r="G33">
        <v>3150</v>
      </c>
    </row>
    <row r="34" spans="1:7">
      <c r="A34" t="s">
        <v>349</v>
      </c>
      <c r="B34" s="165">
        <v>41753</v>
      </c>
      <c r="C34" t="s">
        <v>354</v>
      </c>
      <c r="D34" t="s">
        <v>355</v>
      </c>
      <c r="E34">
        <v>9</v>
      </c>
      <c r="F34" s="166">
        <v>492.55555555555554</v>
      </c>
      <c r="G34">
        <v>4433</v>
      </c>
    </row>
    <row r="35" spans="1:7">
      <c r="A35" t="s">
        <v>349</v>
      </c>
      <c r="B35" s="165">
        <v>41753</v>
      </c>
      <c r="C35" t="s">
        <v>354</v>
      </c>
      <c r="D35" t="s">
        <v>355</v>
      </c>
      <c r="E35">
        <v>10</v>
      </c>
      <c r="F35" s="166">
        <v>492.5</v>
      </c>
      <c r="G35">
        <v>4925</v>
      </c>
    </row>
    <row r="36" spans="1:7">
      <c r="A36" t="s">
        <v>349</v>
      </c>
      <c r="B36" s="165">
        <v>41753</v>
      </c>
      <c r="C36" t="s">
        <v>356</v>
      </c>
      <c r="D36" t="s">
        <v>357</v>
      </c>
      <c r="E36">
        <v>2</v>
      </c>
      <c r="F36" s="166">
        <v>349</v>
      </c>
      <c r="G36">
        <v>698</v>
      </c>
    </row>
    <row r="37" spans="1:7">
      <c r="A37" t="s">
        <v>349</v>
      </c>
      <c r="B37" s="165">
        <v>41753</v>
      </c>
      <c r="C37" t="s">
        <v>356</v>
      </c>
      <c r="D37" t="s">
        <v>357</v>
      </c>
      <c r="E37">
        <v>3</v>
      </c>
      <c r="F37" s="166">
        <v>400</v>
      </c>
      <c r="G37">
        <v>1200</v>
      </c>
    </row>
    <row r="38" spans="1:7">
      <c r="A38" t="s">
        <v>349</v>
      </c>
      <c r="B38" s="165">
        <v>41753</v>
      </c>
      <c r="C38" t="s">
        <v>350</v>
      </c>
      <c r="D38" t="s">
        <v>351</v>
      </c>
      <c r="E38">
        <v>8</v>
      </c>
      <c r="F38" s="166">
        <v>387.75</v>
      </c>
      <c r="G38">
        <v>3102</v>
      </c>
    </row>
    <row r="39" spans="1:7">
      <c r="A39" t="s">
        <v>349</v>
      </c>
      <c r="B39" s="165">
        <v>41753</v>
      </c>
      <c r="C39" t="s">
        <v>350</v>
      </c>
      <c r="D39" t="s">
        <v>351</v>
      </c>
      <c r="E39">
        <v>8</v>
      </c>
      <c r="F39" s="166">
        <v>603.125</v>
      </c>
      <c r="G39">
        <v>4825</v>
      </c>
    </row>
    <row r="40" spans="1:7">
      <c r="A40" t="s">
        <v>349</v>
      </c>
      <c r="B40" s="165">
        <v>41760</v>
      </c>
      <c r="C40" t="s">
        <v>354</v>
      </c>
      <c r="D40" t="s">
        <v>355</v>
      </c>
      <c r="E40">
        <v>2</v>
      </c>
      <c r="F40" s="166">
        <v>409</v>
      </c>
      <c r="G40">
        <v>818</v>
      </c>
    </row>
    <row r="41" spans="1:7">
      <c r="A41" t="s">
        <v>349</v>
      </c>
      <c r="B41" s="165">
        <v>41760</v>
      </c>
      <c r="C41" t="s">
        <v>354</v>
      </c>
      <c r="D41" t="s">
        <v>355</v>
      </c>
      <c r="E41">
        <v>2</v>
      </c>
      <c r="F41" s="166">
        <v>675</v>
      </c>
      <c r="G41">
        <v>1350</v>
      </c>
    </row>
    <row r="42" spans="1:7">
      <c r="A42" t="s">
        <v>349</v>
      </c>
      <c r="B42" s="165">
        <v>41760</v>
      </c>
      <c r="C42" t="s">
        <v>356</v>
      </c>
      <c r="D42" t="s">
        <v>357</v>
      </c>
      <c r="E42">
        <v>4</v>
      </c>
      <c r="F42" s="166">
        <v>226</v>
      </c>
      <c r="G42">
        <v>904</v>
      </c>
    </row>
    <row r="43" spans="1:7">
      <c r="A43" t="s">
        <v>349</v>
      </c>
      <c r="B43" s="165">
        <v>41760</v>
      </c>
      <c r="C43" t="s">
        <v>356</v>
      </c>
      <c r="D43" t="s">
        <v>357</v>
      </c>
      <c r="E43">
        <v>18</v>
      </c>
      <c r="F43" s="166">
        <v>230.33333333333334</v>
      </c>
      <c r="G43">
        <v>4146</v>
      </c>
    </row>
    <row r="44" spans="1:7">
      <c r="A44" t="s">
        <v>349</v>
      </c>
      <c r="B44" s="165">
        <v>41760</v>
      </c>
      <c r="C44" t="s">
        <v>350</v>
      </c>
      <c r="D44" t="s">
        <v>351</v>
      </c>
      <c r="E44">
        <v>8</v>
      </c>
      <c r="F44" s="166">
        <v>350</v>
      </c>
      <c r="G44">
        <v>2800</v>
      </c>
    </row>
    <row r="45" spans="1:7">
      <c r="A45" t="s">
        <v>349</v>
      </c>
      <c r="B45" s="165">
        <v>41760</v>
      </c>
      <c r="C45" t="s">
        <v>350</v>
      </c>
      <c r="D45" t="s">
        <v>351</v>
      </c>
      <c r="E45">
        <v>11</v>
      </c>
      <c r="F45" s="166">
        <v>500</v>
      </c>
      <c r="G45">
        <v>5500</v>
      </c>
    </row>
    <row r="46" spans="1:7">
      <c r="A46" t="s">
        <v>349</v>
      </c>
      <c r="B46" s="165">
        <v>41767</v>
      </c>
      <c r="C46" t="s">
        <v>358</v>
      </c>
      <c r="D46" t="s">
        <v>359</v>
      </c>
      <c r="E46">
        <v>3</v>
      </c>
      <c r="F46" s="166">
        <v>625</v>
      </c>
      <c r="G46">
        <v>1875</v>
      </c>
    </row>
    <row r="47" spans="1:7">
      <c r="A47" t="s">
        <v>349</v>
      </c>
      <c r="B47" s="165">
        <v>41767</v>
      </c>
      <c r="C47" t="s">
        <v>354</v>
      </c>
      <c r="D47" t="s">
        <v>355</v>
      </c>
      <c r="E47">
        <v>20</v>
      </c>
      <c r="F47" s="166">
        <v>492.5</v>
      </c>
      <c r="G47">
        <v>9850</v>
      </c>
    </row>
    <row r="48" spans="1:7">
      <c r="A48" t="s">
        <v>349</v>
      </c>
      <c r="B48" s="165">
        <v>41767</v>
      </c>
      <c r="C48" t="s">
        <v>354</v>
      </c>
      <c r="D48" t="s">
        <v>355</v>
      </c>
      <c r="E48">
        <v>18</v>
      </c>
      <c r="F48" s="166">
        <v>550</v>
      </c>
      <c r="G48">
        <v>9900</v>
      </c>
    </row>
    <row r="49" spans="1:15">
      <c r="A49" t="s">
        <v>349</v>
      </c>
      <c r="B49" s="165">
        <v>41767</v>
      </c>
      <c r="C49" t="s">
        <v>354</v>
      </c>
      <c r="D49" t="s">
        <v>355</v>
      </c>
      <c r="E49">
        <v>11</v>
      </c>
      <c r="F49" s="166">
        <v>1048.5454545454545</v>
      </c>
      <c r="G49">
        <v>11534</v>
      </c>
    </row>
    <row r="50" spans="1:15">
      <c r="A50" t="s">
        <v>349</v>
      </c>
      <c r="B50" s="165">
        <v>41767</v>
      </c>
      <c r="C50" t="s">
        <v>356</v>
      </c>
      <c r="D50" t="s">
        <v>357</v>
      </c>
      <c r="E50">
        <v>4</v>
      </c>
      <c r="F50" s="166">
        <v>273.75</v>
      </c>
      <c r="G50">
        <v>1095</v>
      </c>
    </row>
    <row r="51" spans="1:15">
      <c r="A51" t="s">
        <v>349</v>
      </c>
      <c r="B51" s="165">
        <v>41767</v>
      </c>
      <c r="C51" t="s">
        <v>356</v>
      </c>
      <c r="D51" t="s">
        <v>357</v>
      </c>
      <c r="E51">
        <v>5</v>
      </c>
      <c r="F51" s="166">
        <v>280</v>
      </c>
      <c r="G51">
        <v>1400</v>
      </c>
    </row>
    <row r="52" spans="1:15">
      <c r="A52" t="s">
        <v>349</v>
      </c>
      <c r="B52" s="165">
        <v>41767</v>
      </c>
      <c r="C52" t="s">
        <v>350</v>
      </c>
      <c r="D52" t="s">
        <v>351</v>
      </c>
      <c r="E52">
        <v>12</v>
      </c>
      <c r="F52" s="166">
        <v>485.41666666666669</v>
      </c>
      <c r="G52">
        <v>5825</v>
      </c>
    </row>
    <row r="53" spans="1:15">
      <c r="A53" t="s">
        <v>349</v>
      </c>
      <c r="B53" s="165">
        <v>41774</v>
      </c>
      <c r="C53" t="s">
        <v>354</v>
      </c>
      <c r="D53" t="s">
        <v>355</v>
      </c>
      <c r="E53">
        <v>6</v>
      </c>
      <c r="F53" s="166">
        <v>695</v>
      </c>
      <c r="G53">
        <v>4170</v>
      </c>
    </row>
    <row r="54" spans="1:15">
      <c r="A54" t="s">
        <v>349</v>
      </c>
      <c r="B54" s="165">
        <v>41774</v>
      </c>
      <c r="C54" t="s">
        <v>354</v>
      </c>
      <c r="D54" t="s">
        <v>355</v>
      </c>
      <c r="E54">
        <v>20</v>
      </c>
      <c r="F54" s="166">
        <v>575</v>
      </c>
      <c r="G54">
        <v>11500</v>
      </c>
      <c r="O54" t="s">
        <v>680</v>
      </c>
    </row>
    <row r="55" spans="1:15">
      <c r="A55" t="s">
        <v>349</v>
      </c>
      <c r="B55" s="165">
        <v>41774</v>
      </c>
      <c r="C55" t="s">
        <v>352</v>
      </c>
      <c r="D55" t="s">
        <v>353</v>
      </c>
      <c r="E55">
        <v>2</v>
      </c>
      <c r="F55" s="166">
        <v>807</v>
      </c>
      <c r="G55">
        <v>1614</v>
      </c>
      <c r="O55" t="s">
        <v>681</v>
      </c>
    </row>
    <row r="56" spans="1:15">
      <c r="A56" t="s">
        <v>349</v>
      </c>
      <c r="B56" s="165">
        <v>41774</v>
      </c>
      <c r="C56" t="s">
        <v>356</v>
      </c>
      <c r="D56" t="s">
        <v>357</v>
      </c>
      <c r="E56">
        <v>2</v>
      </c>
      <c r="F56" s="166">
        <v>164.5</v>
      </c>
      <c r="G56">
        <v>329</v>
      </c>
      <c r="O56" t="s">
        <v>679</v>
      </c>
    </row>
    <row r="57" spans="1:15">
      <c r="A57" t="s">
        <v>349</v>
      </c>
      <c r="B57" s="165">
        <v>41774</v>
      </c>
      <c r="C57" t="s">
        <v>356</v>
      </c>
      <c r="D57" t="s">
        <v>357</v>
      </c>
      <c r="E57">
        <v>28</v>
      </c>
      <c r="F57" s="166">
        <v>325</v>
      </c>
      <c r="G57">
        <v>9100</v>
      </c>
    </row>
    <row r="58" spans="1:15">
      <c r="A58" t="s">
        <v>349</v>
      </c>
      <c r="B58" s="165">
        <v>41774</v>
      </c>
      <c r="C58" t="s">
        <v>350</v>
      </c>
      <c r="D58" t="s">
        <v>351</v>
      </c>
      <c r="E58">
        <v>1</v>
      </c>
      <c r="F58" s="166">
        <v>365</v>
      </c>
      <c r="G58">
        <v>365</v>
      </c>
    </row>
    <row r="59" spans="1:15">
      <c r="A59" t="s">
        <v>349</v>
      </c>
      <c r="B59" s="165">
        <v>41774</v>
      </c>
      <c r="C59" t="s">
        <v>350</v>
      </c>
      <c r="D59" t="s">
        <v>351</v>
      </c>
      <c r="E59">
        <v>1</v>
      </c>
      <c r="F59" s="166">
        <v>471</v>
      </c>
      <c r="G59">
        <v>471</v>
      </c>
    </row>
    <row r="60" spans="1:15">
      <c r="A60" t="s">
        <v>349</v>
      </c>
      <c r="B60" s="165">
        <v>41774</v>
      </c>
      <c r="C60" t="s">
        <v>350</v>
      </c>
      <c r="D60" t="s">
        <v>351</v>
      </c>
      <c r="E60">
        <v>7</v>
      </c>
      <c r="F60" s="166">
        <v>575</v>
      </c>
      <c r="G60">
        <v>4025</v>
      </c>
    </row>
    <row r="61" spans="1:15">
      <c r="A61" t="s">
        <v>349</v>
      </c>
      <c r="B61" s="165">
        <v>41774</v>
      </c>
      <c r="C61" t="s">
        <v>350</v>
      </c>
      <c r="D61" t="s">
        <v>351</v>
      </c>
      <c r="E61">
        <v>12</v>
      </c>
      <c r="F61" s="166">
        <v>525</v>
      </c>
      <c r="G61">
        <v>6300</v>
      </c>
    </row>
    <row r="62" spans="1:15">
      <c r="A62" t="s">
        <v>349</v>
      </c>
      <c r="B62" s="165">
        <v>41781</v>
      </c>
      <c r="C62" t="s">
        <v>356</v>
      </c>
      <c r="D62" t="s">
        <v>357</v>
      </c>
      <c r="E62">
        <v>18</v>
      </c>
      <c r="F62" s="166">
        <v>253.11111111111111</v>
      </c>
      <c r="G62">
        <v>4556</v>
      </c>
    </row>
    <row r="63" spans="1:15">
      <c r="A63" t="s">
        <v>349</v>
      </c>
      <c r="B63" s="165">
        <v>41781</v>
      </c>
      <c r="C63" t="s">
        <v>356</v>
      </c>
      <c r="D63" t="s">
        <v>357</v>
      </c>
      <c r="E63">
        <v>62</v>
      </c>
      <c r="F63" s="166">
        <v>303.22580645161293</v>
      </c>
      <c r="G63">
        <v>18800</v>
      </c>
    </row>
    <row r="64" spans="1:15">
      <c r="A64" t="s">
        <v>349</v>
      </c>
      <c r="B64" s="165">
        <v>41781</v>
      </c>
      <c r="C64" t="s">
        <v>350</v>
      </c>
      <c r="D64" t="s">
        <v>351</v>
      </c>
      <c r="E64">
        <v>7</v>
      </c>
      <c r="F64" s="166">
        <v>475</v>
      </c>
      <c r="G64">
        <v>3325</v>
      </c>
    </row>
    <row r="65" spans="1:7">
      <c r="A65" t="s">
        <v>349</v>
      </c>
      <c r="B65" s="165">
        <v>41788</v>
      </c>
      <c r="C65" t="s">
        <v>356</v>
      </c>
      <c r="D65" t="s">
        <v>357</v>
      </c>
      <c r="E65">
        <v>1</v>
      </c>
      <c r="F65" s="166">
        <v>150</v>
      </c>
      <c r="G65">
        <v>150</v>
      </c>
    </row>
    <row r="66" spans="1:7">
      <c r="A66" t="s">
        <v>349</v>
      </c>
      <c r="B66" s="165">
        <v>41788</v>
      </c>
      <c r="C66" t="s">
        <v>356</v>
      </c>
      <c r="D66" t="s">
        <v>357</v>
      </c>
      <c r="E66">
        <v>2</v>
      </c>
      <c r="F66" s="166">
        <v>150</v>
      </c>
      <c r="G66">
        <v>300</v>
      </c>
    </row>
    <row r="67" spans="1:7">
      <c r="A67" t="s">
        <v>349</v>
      </c>
      <c r="B67" s="165">
        <v>41788</v>
      </c>
      <c r="C67" t="s">
        <v>350</v>
      </c>
      <c r="D67" t="s">
        <v>351</v>
      </c>
      <c r="E67">
        <v>2</v>
      </c>
      <c r="F67" s="166">
        <v>360</v>
      </c>
      <c r="G67">
        <v>720</v>
      </c>
    </row>
    <row r="68" spans="1:7">
      <c r="A68" t="s">
        <v>349</v>
      </c>
      <c r="B68" s="165">
        <v>41788</v>
      </c>
      <c r="C68" t="s">
        <v>350</v>
      </c>
      <c r="D68" t="s">
        <v>351</v>
      </c>
      <c r="E68">
        <v>17</v>
      </c>
      <c r="F68" s="166">
        <v>795</v>
      </c>
      <c r="G68">
        <v>13515</v>
      </c>
    </row>
    <row r="69" spans="1:7">
      <c r="A69" t="s">
        <v>349</v>
      </c>
      <c r="B69" s="165">
        <v>41795</v>
      </c>
      <c r="C69" t="s">
        <v>358</v>
      </c>
      <c r="D69" t="s">
        <v>359</v>
      </c>
      <c r="E69">
        <v>11</v>
      </c>
      <c r="F69" s="166">
        <v>418.72727272727275</v>
      </c>
      <c r="G69">
        <v>4606</v>
      </c>
    </row>
    <row r="70" spans="1:7">
      <c r="A70" t="s">
        <v>349</v>
      </c>
      <c r="B70" s="165">
        <v>41795</v>
      </c>
      <c r="C70" t="s">
        <v>358</v>
      </c>
      <c r="D70" t="s">
        <v>359</v>
      </c>
      <c r="E70">
        <v>8</v>
      </c>
      <c r="F70" s="166">
        <v>620.125</v>
      </c>
      <c r="G70">
        <v>4961</v>
      </c>
    </row>
    <row r="71" spans="1:7">
      <c r="A71" t="s">
        <v>349</v>
      </c>
      <c r="B71" s="165">
        <v>41795</v>
      </c>
      <c r="C71" t="s">
        <v>354</v>
      </c>
      <c r="D71" t="s">
        <v>355</v>
      </c>
      <c r="E71">
        <v>36</v>
      </c>
      <c r="F71" s="166">
        <v>359</v>
      </c>
      <c r="G71">
        <v>12924</v>
      </c>
    </row>
    <row r="72" spans="1:7">
      <c r="A72" t="s">
        <v>349</v>
      </c>
      <c r="B72" s="165">
        <v>41795</v>
      </c>
      <c r="C72" t="s">
        <v>356</v>
      </c>
      <c r="D72" t="s">
        <v>357</v>
      </c>
      <c r="E72">
        <v>2</v>
      </c>
      <c r="F72" s="166">
        <v>247</v>
      </c>
      <c r="G72">
        <v>494</v>
      </c>
    </row>
    <row r="73" spans="1:7">
      <c r="A73" t="s">
        <v>349</v>
      </c>
      <c r="B73" s="165">
        <v>41795</v>
      </c>
      <c r="C73" t="s">
        <v>356</v>
      </c>
      <c r="D73" t="s">
        <v>357</v>
      </c>
      <c r="E73">
        <v>38</v>
      </c>
      <c r="F73" s="166">
        <v>185</v>
      </c>
      <c r="G73">
        <v>7030</v>
      </c>
    </row>
    <row r="74" spans="1:7">
      <c r="A74" t="s">
        <v>349</v>
      </c>
      <c r="B74" s="165">
        <v>41795</v>
      </c>
      <c r="C74" t="s">
        <v>350</v>
      </c>
      <c r="D74" t="s">
        <v>351</v>
      </c>
      <c r="E74">
        <v>2</v>
      </c>
      <c r="F74" s="166">
        <v>675</v>
      </c>
      <c r="G74">
        <v>1350</v>
      </c>
    </row>
    <row r="75" spans="1:7">
      <c r="A75" t="s">
        <v>349</v>
      </c>
      <c r="B75" s="165">
        <v>41795</v>
      </c>
      <c r="C75" t="s">
        <v>350</v>
      </c>
      <c r="D75" t="s">
        <v>351</v>
      </c>
      <c r="E75">
        <v>11</v>
      </c>
      <c r="F75" s="166">
        <v>499</v>
      </c>
      <c r="G75">
        <v>5489</v>
      </c>
    </row>
    <row r="76" spans="1:7">
      <c r="A76" t="s">
        <v>349</v>
      </c>
      <c r="B76" s="165">
        <v>41795</v>
      </c>
      <c r="C76" t="s">
        <v>350</v>
      </c>
      <c r="D76" t="s">
        <v>351</v>
      </c>
      <c r="E76">
        <v>20</v>
      </c>
      <c r="F76" s="166">
        <v>517</v>
      </c>
      <c r="G76">
        <v>10340</v>
      </c>
    </row>
    <row r="77" spans="1:7">
      <c r="A77" t="s">
        <v>349</v>
      </c>
      <c r="B77" s="165">
        <v>41802</v>
      </c>
      <c r="C77" t="s">
        <v>358</v>
      </c>
      <c r="D77" t="s">
        <v>359</v>
      </c>
      <c r="E77">
        <v>8</v>
      </c>
      <c r="F77" s="166">
        <v>650</v>
      </c>
      <c r="G77">
        <v>5200</v>
      </c>
    </row>
    <row r="78" spans="1:7">
      <c r="A78" t="s">
        <v>349</v>
      </c>
      <c r="B78" s="165">
        <v>41802</v>
      </c>
      <c r="C78" t="s">
        <v>358</v>
      </c>
      <c r="D78" t="s">
        <v>359</v>
      </c>
      <c r="E78">
        <v>12</v>
      </c>
      <c r="F78" s="166">
        <v>650</v>
      </c>
      <c r="G78">
        <v>7800</v>
      </c>
    </row>
    <row r="79" spans="1:7">
      <c r="A79" t="s">
        <v>349</v>
      </c>
      <c r="B79" s="165">
        <v>41802</v>
      </c>
      <c r="C79" t="s">
        <v>352</v>
      </c>
      <c r="D79" t="s">
        <v>353</v>
      </c>
      <c r="E79">
        <v>5</v>
      </c>
      <c r="F79" s="166">
        <v>962</v>
      </c>
      <c r="G79">
        <v>4810</v>
      </c>
    </row>
    <row r="80" spans="1:7">
      <c r="A80" t="s">
        <v>349</v>
      </c>
      <c r="B80" s="165">
        <v>41802</v>
      </c>
      <c r="C80" t="s">
        <v>350</v>
      </c>
      <c r="D80" t="s">
        <v>351</v>
      </c>
      <c r="E80">
        <v>4</v>
      </c>
      <c r="F80" s="166">
        <v>525</v>
      </c>
      <c r="G80">
        <v>2100</v>
      </c>
    </row>
    <row r="81" spans="1:7">
      <c r="A81" t="s">
        <v>349</v>
      </c>
      <c r="B81" s="165">
        <v>41810</v>
      </c>
      <c r="C81" t="s">
        <v>354</v>
      </c>
      <c r="D81" t="s">
        <v>355</v>
      </c>
      <c r="E81">
        <v>21</v>
      </c>
      <c r="F81" s="166">
        <v>1062.3809523809523</v>
      </c>
      <c r="G81">
        <v>22310</v>
      </c>
    </row>
    <row r="82" spans="1:7">
      <c r="A82" t="s">
        <v>349</v>
      </c>
      <c r="B82" s="165">
        <v>41810</v>
      </c>
      <c r="C82" t="s">
        <v>350</v>
      </c>
      <c r="D82" t="s">
        <v>351</v>
      </c>
      <c r="E82">
        <v>1</v>
      </c>
      <c r="F82" s="166">
        <v>355</v>
      </c>
      <c r="G82">
        <v>355</v>
      </c>
    </row>
    <row r="83" spans="1:7">
      <c r="A83" t="s">
        <v>349</v>
      </c>
      <c r="B83" s="165">
        <v>41816</v>
      </c>
      <c r="C83" t="s">
        <v>358</v>
      </c>
      <c r="D83" t="s">
        <v>359</v>
      </c>
      <c r="E83">
        <v>10</v>
      </c>
      <c r="F83" s="166">
        <v>560</v>
      </c>
      <c r="G83">
        <v>5600</v>
      </c>
    </row>
    <row r="84" spans="1:7">
      <c r="A84" t="s">
        <v>349</v>
      </c>
      <c r="B84" s="165">
        <v>41816</v>
      </c>
      <c r="C84" t="s">
        <v>354</v>
      </c>
      <c r="D84" t="s">
        <v>355</v>
      </c>
      <c r="E84">
        <v>12</v>
      </c>
      <c r="F84" s="166">
        <v>320.25</v>
      </c>
      <c r="G84">
        <v>3843</v>
      </c>
    </row>
    <row r="85" spans="1:7">
      <c r="A85" t="s">
        <v>349</v>
      </c>
      <c r="B85" s="165">
        <v>41816</v>
      </c>
      <c r="C85" t="s">
        <v>354</v>
      </c>
      <c r="D85" t="s">
        <v>355</v>
      </c>
      <c r="E85">
        <v>10</v>
      </c>
      <c r="F85" s="166">
        <v>595</v>
      </c>
      <c r="G85">
        <v>5950</v>
      </c>
    </row>
    <row r="86" spans="1:7">
      <c r="A86" t="s">
        <v>349</v>
      </c>
      <c r="B86" s="165">
        <v>41816</v>
      </c>
      <c r="C86" t="s">
        <v>354</v>
      </c>
      <c r="D86" t="s">
        <v>355</v>
      </c>
      <c r="E86">
        <v>12</v>
      </c>
      <c r="F86" s="166">
        <v>501</v>
      </c>
      <c r="G86">
        <v>6012</v>
      </c>
    </row>
    <row r="87" spans="1:7">
      <c r="A87" t="s">
        <v>349</v>
      </c>
      <c r="B87" s="165">
        <v>41816</v>
      </c>
      <c r="C87" t="s">
        <v>354</v>
      </c>
      <c r="D87" t="s">
        <v>355</v>
      </c>
      <c r="E87">
        <v>16</v>
      </c>
      <c r="F87" s="166">
        <v>550</v>
      </c>
      <c r="G87">
        <v>8800</v>
      </c>
    </row>
    <row r="88" spans="1:7">
      <c r="A88" t="s">
        <v>349</v>
      </c>
      <c r="B88" s="165">
        <v>41816</v>
      </c>
      <c r="C88" t="s">
        <v>350</v>
      </c>
      <c r="D88" t="s">
        <v>351</v>
      </c>
      <c r="E88">
        <v>8</v>
      </c>
      <c r="F88" s="166">
        <v>175.375</v>
      </c>
      <c r="G88">
        <v>1403</v>
      </c>
    </row>
    <row r="89" spans="1:7">
      <c r="A89" t="s">
        <v>349</v>
      </c>
      <c r="B89" s="165">
        <v>41816</v>
      </c>
      <c r="C89" t="s">
        <v>350</v>
      </c>
      <c r="D89" t="s">
        <v>351</v>
      </c>
      <c r="E89">
        <v>2</v>
      </c>
      <c r="F89" s="166">
        <v>875</v>
      </c>
      <c r="G89">
        <v>1750</v>
      </c>
    </row>
    <row r="90" spans="1:7">
      <c r="A90" t="s">
        <v>349</v>
      </c>
      <c r="B90" s="165">
        <v>41816</v>
      </c>
      <c r="C90" t="s">
        <v>350</v>
      </c>
      <c r="D90" t="s">
        <v>351</v>
      </c>
      <c r="E90">
        <v>6</v>
      </c>
      <c r="F90" s="166">
        <v>322.66666666666669</v>
      </c>
      <c r="G90">
        <v>1936</v>
      </c>
    </row>
    <row r="91" spans="1:7">
      <c r="A91" t="s">
        <v>349</v>
      </c>
      <c r="B91" s="165">
        <v>41816</v>
      </c>
      <c r="C91" t="s">
        <v>350</v>
      </c>
      <c r="D91" t="s">
        <v>351</v>
      </c>
      <c r="E91">
        <v>5</v>
      </c>
      <c r="F91" s="166">
        <v>675</v>
      </c>
      <c r="G91">
        <v>3375</v>
      </c>
    </row>
    <row r="92" spans="1:7">
      <c r="A92" t="s">
        <v>349</v>
      </c>
      <c r="B92" s="165">
        <v>41816</v>
      </c>
      <c r="C92" t="s">
        <v>350</v>
      </c>
      <c r="D92" t="s">
        <v>351</v>
      </c>
      <c r="E92">
        <v>13</v>
      </c>
      <c r="F92" s="166">
        <v>519</v>
      </c>
      <c r="G92">
        <v>6747</v>
      </c>
    </row>
    <row r="93" spans="1:7">
      <c r="A93" t="s">
        <v>349</v>
      </c>
      <c r="B93" s="165">
        <v>41823</v>
      </c>
      <c r="C93" t="s">
        <v>358</v>
      </c>
      <c r="D93" t="s">
        <v>359</v>
      </c>
      <c r="E93">
        <v>3</v>
      </c>
      <c r="F93" s="166">
        <v>857</v>
      </c>
      <c r="G93">
        <v>2571</v>
      </c>
    </row>
    <row r="94" spans="1:7">
      <c r="A94" t="s">
        <v>349</v>
      </c>
      <c r="B94" s="165">
        <v>41823</v>
      </c>
      <c r="C94" t="s">
        <v>354</v>
      </c>
      <c r="D94" t="s">
        <v>355</v>
      </c>
      <c r="E94">
        <v>2</v>
      </c>
      <c r="F94" s="166">
        <v>480</v>
      </c>
      <c r="G94">
        <v>960</v>
      </c>
    </row>
    <row r="95" spans="1:7">
      <c r="A95" t="s">
        <v>349</v>
      </c>
      <c r="B95" s="165">
        <v>41823</v>
      </c>
      <c r="C95" t="s">
        <v>354</v>
      </c>
      <c r="D95" t="s">
        <v>355</v>
      </c>
      <c r="E95">
        <v>2</v>
      </c>
      <c r="F95" s="166">
        <v>648.5</v>
      </c>
      <c r="G95">
        <v>1297</v>
      </c>
    </row>
    <row r="96" spans="1:7">
      <c r="A96" t="s">
        <v>349</v>
      </c>
      <c r="B96" s="165">
        <v>41823</v>
      </c>
      <c r="C96" t="s">
        <v>354</v>
      </c>
      <c r="D96" t="s">
        <v>355</v>
      </c>
      <c r="E96">
        <v>6</v>
      </c>
      <c r="F96" s="166">
        <v>480</v>
      </c>
      <c r="G96">
        <v>2880</v>
      </c>
    </row>
    <row r="97" spans="1:7">
      <c r="A97" t="s">
        <v>349</v>
      </c>
      <c r="B97" s="165">
        <v>41823</v>
      </c>
      <c r="C97" t="s">
        <v>354</v>
      </c>
      <c r="D97" t="s">
        <v>355</v>
      </c>
      <c r="E97">
        <v>6</v>
      </c>
      <c r="F97" s="166">
        <v>641.66666666666663</v>
      </c>
      <c r="G97">
        <v>3850</v>
      </c>
    </row>
    <row r="98" spans="1:7">
      <c r="A98" t="s">
        <v>349</v>
      </c>
      <c r="B98" s="165">
        <v>41823</v>
      </c>
      <c r="C98" t="s">
        <v>354</v>
      </c>
      <c r="D98" t="s">
        <v>355</v>
      </c>
      <c r="E98">
        <v>6</v>
      </c>
      <c r="F98" s="166">
        <v>1034</v>
      </c>
      <c r="G98">
        <v>6204</v>
      </c>
    </row>
    <row r="99" spans="1:7">
      <c r="A99" t="s">
        <v>349</v>
      </c>
      <c r="B99" s="165">
        <v>41823</v>
      </c>
      <c r="C99" t="s">
        <v>350</v>
      </c>
      <c r="D99" t="s">
        <v>351</v>
      </c>
      <c r="E99">
        <v>1</v>
      </c>
      <c r="F99" s="166">
        <v>250</v>
      </c>
      <c r="G99">
        <v>250</v>
      </c>
    </row>
    <row r="100" spans="1:7">
      <c r="A100" t="s">
        <v>349</v>
      </c>
      <c r="B100" s="165">
        <v>41823</v>
      </c>
      <c r="C100" t="s">
        <v>350</v>
      </c>
      <c r="D100" t="s">
        <v>351</v>
      </c>
      <c r="E100">
        <v>2</v>
      </c>
      <c r="F100" s="166">
        <v>480</v>
      </c>
      <c r="G100">
        <v>960</v>
      </c>
    </row>
    <row r="101" spans="1:7">
      <c r="A101" t="s">
        <v>349</v>
      </c>
      <c r="B101" s="165">
        <v>41823</v>
      </c>
      <c r="C101" t="s">
        <v>350</v>
      </c>
      <c r="D101" t="s">
        <v>351</v>
      </c>
      <c r="E101">
        <v>2</v>
      </c>
      <c r="F101" s="166">
        <v>685</v>
      </c>
      <c r="G101">
        <v>1370</v>
      </c>
    </row>
    <row r="102" spans="1:7">
      <c r="A102" t="s">
        <v>349</v>
      </c>
      <c r="B102" s="165">
        <v>41823</v>
      </c>
      <c r="C102" t="s">
        <v>350</v>
      </c>
      <c r="D102" t="s">
        <v>351</v>
      </c>
      <c r="E102">
        <v>4</v>
      </c>
      <c r="F102" s="166">
        <v>800</v>
      </c>
      <c r="G102">
        <v>3200</v>
      </c>
    </row>
    <row r="103" spans="1:7">
      <c r="A103" t="s">
        <v>349</v>
      </c>
      <c r="B103" s="165">
        <v>41823</v>
      </c>
      <c r="C103" t="s">
        <v>350</v>
      </c>
      <c r="D103" t="s">
        <v>351</v>
      </c>
      <c r="E103">
        <v>8</v>
      </c>
      <c r="F103" s="166">
        <v>425</v>
      </c>
      <c r="G103">
        <v>3400</v>
      </c>
    </row>
    <row r="104" spans="1:7">
      <c r="A104" t="s">
        <v>349</v>
      </c>
      <c r="B104" s="165">
        <v>41823</v>
      </c>
      <c r="C104" t="s">
        <v>350</v>
      </c>
      <c r="D104" t="s">
        <v>351</v>
      </c>
      <c r="E104">
        <v>8</v>
      </c>
      <c r="F104" s="166">
        <v>494</v>
      </c>
      <c r="G104">
        <v>3952</v>
      </c>
    </row>
    <row r="105" spans="1:7">
      <c r="A105" t="s">
        <v>349</v>
      </c>
      <c r="B105" s="165">
        <v>41823</v>
      </c>
      <c r="C105" t="s">
        <v>350</v>
      </c>
      <c r="D105" t="s">
        <v>351</v>
      </c>
      <c r="E105">
        <v>19</v>
      </c>
      <c r="F105" s="166">
        <v>425</v>
      </c>
      <c r="G105">
        <v>8075</v>
      </c>
    </row>
    <row r="106" spans="1:7">
      <c r="A106" t="s">
        <v>349</v>
      </c>
      <c r="B106" s="165">
        <v>41823</v>
      </c>
      <c r="C106" t="s">
        <v>350</v>
      </c>
      <c r="D106" t="s">
        <v>351</v>
      </c>
      <c r="E106">
        <v>15</v>
      </c>
      <c r="F106" s="166">
        <v>544.20000000000005</v>
      </c>
      <c r="G106">
        <v>8163</v>
      </c>
    </row>
    <row r="107" spans="1:7">
      <c r="A107" t="s">
        <v>349</v>
      </c>
      <c r="B107" s="165">
        <v>41830</v>
      </c>
      <c r="C107" t="s">
        <v>354</v>
      </c>
      <c r="D107" t="s">
        <v>355</v>
      </c>
      <c r="E107">
        <v>10</v>
      </c>
      <c r="F107" s="166">
        <v>595</v>
      </c>
      <c r="G107">
        <v>5950</v>
      </c>
    </row>
    <row r="108" spans="1:7">
      <c r="A108" t="s">
        <v>349</v>
      </c>
      <c r="B108" s="165">
        <v>41830</v>
      </c>
      <c r="C108" t="s">
        <v>354</v>
      </c>
      <c r="D108" t="s">
        <v>355</v>
      </c>
      <c r="E108">
        <v>24</v>
      </c>
      <c r="F108" s="166">
        <v>406.33333333333331</v>
      </c>
      <c r="G108">
        <v>9752</v>
      </c>
    </row>
    <row r="109" spans="1:7">
      <c r="A109" t="s">
        <v>349</v>
      </c>
      <c r="B109" s="165">
        <v>41830</v>
      </c>
      <c r="C109" t="s">
        <v>352</v>
      </c>
      <c r="D109" t="s">
        <v>353</v>
      </c>
      <c r="E109">
        <v>5</v>
      </c>
      <c r="F109" s="166">
        <v>868</v>
      </c>
      <c r="G109">
        <v>4340</v>
      </c>
    </row>
    <row r="110" spans="1:7">
      <c r="A110" t="s">
        <v>349</v>
      </c>
      <c r="B110" s="165">
        <v>41830</v>
      </c>
      <c r="C110" t="s">
        <v>356</v>
      </c>
      <c r="D110" t="s">
        <v>357</v>
      </c>
      <c r="E110">
        <v>39</v>
      </c>
      <c r="F110" s="166">
        <v>275</v>
      </c>
      <c r="G110">
        <v>10725</v>
      </c>
    </row>
    <row r="111" spans="1:7">
      <c r="A111" t="s">
        <v>349</v>
      </c>
      <c r="B111" s="165">
        <v>41830</v>
      </c>
      <c r="C111" t="s">
        <v>350</v>
      </c>
      <c r="D111" t="s">
        <v>351</v>
      </c>
      <c r="E111">
        <v>12</v>
      </c>
      <c r="F111" s="166">
        <v>525</v>
      </c>
      <c r="G111">
        <v>6300</v>
      </c>
    </row>
    <row r="112" spans="1:7">
      <c r="A112" t="s">
        <v>349</v>
      </c>
      <c r="B112" s="165">
        <v>41837</v>
      </c>
      <c r="C112" t="s">
        <v>358</v>
      </c>
      <c r="D112" t="s">
        <v>359</v>
      </c>
      <c r="E112">
        <v>5</v>
      </c>
      <c r="F112" s="166">
        <v>531</v>
      </c>
      <c r="G112">
        <v>2655</v>
      </c>
    </row>
    <row r="113" spans="1:7">
      <c r="A113" t="s">
        <v>349</v>
      </c>
      <c r="B113" s="165">
        <v>41837</v>
      </c>
      <c r="C113" t="s">
        <v>358</v>
      </c>
      <c r="D113" t="s">
        <v>359</v>
      </c>
      <c r="E113">
        <v>10</v>
      </c>
      <c r="F113" s="166">
        <v>597.5</v>
      </c>
      <c r="G113">
        <v>5975</v>
      </c>
    </row>
    <row r="114" spans="1:7">
      <c r="A114" t="s">
        <v>349</v>
      </c>
      <c r="B114" s="165">
        <v>41837</v>
      </c>
      <c r="C114" t="s">
        <v>354</v>
      </c>
      <c r="D114" t="s">
        <v>355</v>
      </c>
      <c r="E114">
        <v>6</v>
      </c>
      <c r="F114" s="166">
        <v>699</v>
      </c>
      <c r="G114">
        <v>4194</v>
      </c>
    </row>
    <row r="115" spans="1:7">
      <c r="A115" t="s">
        <v>349</v>
      </c>
      <c r="B115" s="165">
        <v>41837</v>
      </c>
      <c r="C115" t="s">
        <v>354</v>
      </c>
      <c r="D115" t="s">
        <v>355</v>
      </c>
      <c r="E115">
        <v>17</v>
      </c>
      <c r="F115" s="166">
        <v>471.94117647058823</v>
      </c>
      <c r="G115">
        <v>8023</v>
      </c>
    </row>
    <row r="116" spans="1:7">
      <c r="A116" t="s">
        <v>349</v>
      </c>
      <c r="B116" s="165">
        <v>41837</v>
      </c>
      <c r="C116" t="s">
        <v>350</v>
      </c>
      <c r="D116" t="s">
        <v>351</v>
      </c>
      <c r="E116">
        <v>4</v>
      </c>
      <c r="F116" s="166">
        <v>534.5</v>
      </c>
      <c r="G116">
        <v>2138</v>
      </c>
    </row>
    <row r="117" spans="1:7">
      <c r="A117" t="s">
        <v>349</v>
      </c>
      <c r="B117" s="165">
        <v>41837</v>
      </c>
      <c r="C117" t="s">
        <v>350</v>
      </c>
      <c r="D117" t="s">
        <v>351</v>
      </c>
      <c r="E117">
        <v>10</v>
      </c>
      <c r="F117" s="166">
        <v>597.5</v>
      </c>
      <c r="G117">
        <v>5975</v>
      </c>
    </row>
    <row r="118" spans="1:7">
      <c r="A118" t="s">
        <v>349</v>
      </c>
      <c r="B118" s="165">
        <v>41837</v>
      </c>
      <c r="C118" t="s">
        <v>350</v>
      </c>
      <c r="D118" t="s">
        <v>351</v>
      </c>
      <c r="E118">
        <v>18</v>
      </c>
      <c r="F118" s="166">
        <v>437</v>
      </c>
      <c r="G118">
        <v>7866</v>
      </c>
    </row>
    <row r="119" spans="1:7">
      <c r="A119" t="s">
        <v>349</v>
      </c>
      <c r="B119" s="165">
        <v>41851</v>
      </c>
      <c r="C119" t="s">
        <v>358</v>
      </c>
      <c r="D119" t="s">
        <v>359</v>
      </c>
      <c r="E119">
        <v>10</v>
      </c>
      <c r="F119" s="166">
        <v>550</v>
      </c>
      <c r="G119">
        <v>5500</v>
      </c>
    </row>
    <row r="120" spans="1:7">
      <c r="A120" t="s">
        <v>349</v>
      </c>
      <c r="B120" s="165">
        <v>41851</v>
      </c>
      <c r="C120" t="s">
        <v>358</v>
      </c>
      <c r="D120" t="s">
        <v>359</v>
      </c>
      <c r="E120">
        <v>9</v>
      </c>
      <c r="F120" s="166">
        <v>1733</v>
      </c>
      <c r="G120">
        <v>15597</v>
      </c>
    </row>
    <row r="121" spans="1:7">
      <c r="A121" t="s">
        <v>349</v>
      </c>
      <c r="B121" s="165">
        <v>41851</v>
      </c>
      <c r="C121" t="s">
        <v>354</v>
      </c>
      <c r="D121" t="s">
        <v>355</v>
      </c>
      <c r="E121">
        <v>5</v>
      </c>
      <c r="F121" s="166">
        <v>570</v>
      </c>
      <c r="G121">
        <v>2850</v>
      </c>
    </row>
    <row r="122" spans="1:7">
      <c r="A122" t="s">
        <v>349</v>
      </c>
      <c r="B122" s="165">
        <v>41851</v>
      </c>
      <c r="C122" t="s">
        <v>354</v>
      </c>
      <c r="D122" t="s">
        <v>355</v>
      </c>
      <c r="E122">
        <v>8</v>
      </c>
      <c r="F122" s="166">
        <v>539.125</v>
      </c>
      <c r="G122">
        <v>4313</v>
      </c>
    </row>
    <row r="123" spans="1:7">
      <c r="A123" t="s">
        <v>349</v>
      </c>
      <c r="B123" s="165">
        <v>41851</v>
      </c>
      <c r="C123" t="s">
        <v>354</v>
      </c>
      <c r="D123" t="s">
        <v>355</v>
      </c>
      <c r="E123">
        <v>12</v>
      </c>
      <c r="F123" s="166">
        <v>439.58333333333331</v>
      </c>
      <c r="G123">
        <v>5275</v>
      </c>
    </row>
    <row r="124" spans="1:7">
      <c r="A124" t="s">
        <v>349</v>
      </c>
      <c r="B124" s="165">
        <v>41851</v>
      </c>
      <c r="C124" t="s">
        <v>354</v>
      </c>
      <c r="D124" t="s">
        <v>355</v>
      </c>
      <c r="E124">
        <v>12</v>
      </c>
      <c r="F124" s="166">
        <v>550</v>
      </c>
      <c r="G124">
        <v>6600</v>
      </c>
    </row>
    <row r="125" spans="1:7">
      <c r="A125" t="s">
        <v>349</v>
      </c>
      <c r="B125" s="165">
        <v>41851</v>
      </c>
      <c r="C125" t="s">
        <v>354</v>
      </c>
      <c r="D125" t="s">
        <v>355</v>
      </c>
      <c r="E125">
        <v>12</v>
      </c>
      <c r="F125" s="166">
        <v>554.16666666666663</v>
      </c>
      <c r="G125">
        <v>6650</v>
      </c>
    </row>
    <row r="126" spans="1:7">
      <c r="A126" t="s">
        <v>349</v>
      </c>
      <c r="B126" s="165">
        <v>41851</v>
      </c>
      <c r="C126" t="s">
        <v>354</v>
      </c>
      <c r="D126" t="s">
        <v>355</v>
      </c>
      <c r="E126">
        <v>13</v>
      </c>
      <c r="F126" s="166">
        <v>605.76923076923072</v>
      </c>
      <c r="G126">
        <v>7875</v>
      </c>
    </row>
    <row r="127" spans="1:7">
      <c r="A127" t="s">
        <v>349</v>
      </c>
      <c r="B127" s="165">
        <v>41851</v>
      </c>
      <c r="C127" t="s">
        <v>354</v>
      </c>
      <c r="D127" t="s">
        <v>355</v>
      </c>
      <c r="E127">
        <v>21</v>
      </c>
      <c r="F127" s="166">
        <v>384.76190476190476</v>
      </c>
      <c r="G127">
        <v>8080</v>
      </c>
    </row>
    <row r="128" spans="1:7">
      <c r="A128" t="s">
        <v>349</v>
      </c>
      <c r="B128" s="165">
        <v>41851</v>
      </c>
      <c r="C128" t="s">
        <v>354</v>
      </c>
      <c r="D128" t="s">
        <v>355</v>
      </c>
      <c r="E128">
        <v>13</v>
      </c>
      <c r="F128" s="166">
        <v>830</v>
      </c>
      <c r="G128">
        <v>10790</v>
      </c>
    </row>
    <row r="129" spans="1:7">
      <c r="A129" t="s">
        <v>349</v>
      </c>
      <c r="B129" s="165">
        <v>41851</v>
      </c>
      <c r="C129" t="s">
        <v>354</v>
      </c>
      <c r="D129" t="s">
        <v>355</v>
      </c>
      <c r="E129">
        <v>8</v>
      </c>
      <c r="F129" s="166">
        <v>1423.5</v>
      </c>
      <c r="G129">
        <v>11388</v>
      </c>
    </row>
    <row r="130" spans="1:7">
      <c r="A130" t="s">
        <v>349</v>
      </c>
      <c r="B130" s="165">
        <v>41851</v>
      </c>
      <c r="C130" t="s">
        <v>354</v>
      </c>
      <c r="D130" t="s">
        <v>355</v>
      </c>
      <c r="E130">
        <v>20</v>
      </c>
      <c r="F130" s="166">
        <v>595</v>
      </c>
      <c r="G130">
        <v>11900</v>
      </c>
    </row>
    <row r="131" spans="1:7">
      <c r="A131" t="s">
        <v>349</v>
      </c>
      <c r="B131" s="165">
        <v>41851</v>
      </c>
      <c r="C131" t="s">
        <v>352</v>
      </c>
      <c r="D131" t="s">
        <v>353</v>
      </c>
      <c r="E131">
        <v>4</v>
      </c>
      <c r="F131" s="166">
        <v>820.75</v>
      </c>
      <c r="G131">
        <v>3283</v>
      </c>
    </row>
    <row r="132" spans="1:7">
      <c r="A132" t="s">
        <v>349</v>
      </c>
      <c r="B132" s="165">
        <v>41851</v>
      </c>
      <c r="C132" t="s">
        <v>356</v>
      </c>
      <c r="D132" t="s">
        <v>357</v>
      </c>
      <c r="E132">
        <v>1</v>
      </c>
      <c r="F132" s="166">
        <v>201</v>
      </c>
      <c r="G132">
        <v>201</v>
      </c>
    </row>
    <row r="133" spans="1:7">
      <c r="A133" t="s">
        <v>349</v>
      </c>
      <c r="B133" s="165">
        <v>41851</v>
      </c>
      <c r="C133" t="s">
        <v>356</v>
      </c>
      <c r="D133" t="s">
        <v>357</v>
      </c>
      <c r="E133">
        <v>6</v>
      </c>
      <c r="F133" s="166">
        <v>235.83333333333334</v>
      </c>
      <c r="G133">
        <v>1415</v>
      </c>
    </row>
    <row r="134" spans="1:7">
      <c r="A134" t="s">
        <v>349</v>
      </c>
      <c r="B134" s="165">
        <v>41851</v>
      </c>
      <c r="C134" t="s">
        <v>356</v>
      </c>
      <c r="D134" t="s">
        <v>357</v>
      </c>
      <c r="E134">
        <v>13</v>
      </c>
      <c r="F134" s="166">
        <v>496.61538461538464</v>
      </c>
      <c r="G134">
        <v>6456</v>
      </c>
    </row>
    <row r="135" spans="1:7">
      <c r="A135" t="s">
        <v>349</v>
      </c>
      <c r="B135" s="165">
        <v>41851</v>
      </c>
      <c r="C135" t="s">
        <v>356</v>
      </c>
      <c r="D135" t="s">
        <v>357</v>
      </c>
      <c r="E135">
        <v>47</v>
      </c>
      <c r="F135" s="166">
        <v>270</v>
      </c>
      <c r="G135">
        <v>12690</v>
      </c>
    </row>
    <row r="136" spans="1:7">
      <c r="A136" t="s">
        <v>349</v>
      </c>
      <c r="B136" s="165">
        <v>41851</v>
      </c>
      <c r="C136" t="s">
        <v>350</v>
      </c>
      <c r="D136" t="s">
        <v>351</v>
      </c>
      <c r="E136">
        <v>1</v>
      </c>
      <c r="F136" s="166">
        <v>685</v>
      </c>
      <c r="G136">
        <v>685</v>
      </c>
    </row>
    <row r="137" spans="1:7">
      <c r="A137" t="s">
        <v>349</v>
      </c>
      <c r="B137" s="165">
        <v>41851</v>
      </c>
      <c r="C137" t="s">
        <v>350</v>
      </c>
      <c r="D137" t="s">
        <v>351</v>
      </c>
      <c r="E137">
        <v>4</v>
      </c>
      <c r="F137" s="166">
        <v>270</v>
      </c>
      <c r="G137">
        <v>1080</v>
      </c>
    </row>
    <row r="138" spans="1:7">
      <c r="A138" t="s">
        <v>349</v>
      </c>
      <c r="B138" s="165">
        <v>41851</v>
      </c>
      <c r="C138" t="s">
        <v>350</v>
      </c>
      <c r="D138" t="s">
        <v>351</v>
      </c>
      <c r="E138">
        <v>10</v>
      </c>
      <c r="F138" s="166">
        <v>272.7</v>
      </c>
      <c r="G138">
        <v>2727</v>
      </c>
    </row>
    <row r="139" spans="1:7">
      <c r="A139" t="s">
        <v>349</v>
      </c>
      <c r="B139" s="165">
        <v>41851</v>
      </c>
      <c r="C139" t="s">
        <v>350</v>
      </c>
      <c r="D139" t="s">
        <v>351</v>
      </c>
      <c r="E139">
        <v>8</v>
      </c>
      <c r="F139" s="166">
        <v>354.75</v>
      </c>
      <c r="G139">
        <v>2838</v>
      </c>
    </row>
    <row r="140" spans="1:7">
      <c r="A140" t="s">
        <v>349</v>
      </c>
      <c r="B140" s="165">
        <v>41851</v>
      </c>
      <c r="C140" t="s">
        <v>350</v>
      </c>
      <c r="D140" t="s">
        <v>351</v>
      </c>
      <c r="E140">
        <v>10</v>
      </c>
      <c r="F140" s="166">
        <v>315</v>
      </c>
      <c r="G140">
        <v>3150</v>
      </c>
    </row>
    <row r="141" spans="1:7">
      <c r="A141" t="s">
        <v>349</v>
      </c>
      <c r="B141" s="165">
        <v>41851</v>
      </c>
      <c r="C141" t="s">
        <v>350</v>
      </c>
      <c r="D141" t="s">
        <v>351</v>
      </c>
      <c r="E141">
        <v>10</v>
      </c>
      <c r="F141" s="166">
        <v>550</v>
      </c>
      <c r="G141">
        <v>5500</v>
      </c>
    </row>
    <row r="142" spans="1:7">
      <c r="A142" t="s">
        <v>349</v>
      </c>
      <c r="B142" s="165">
        <v>41851</v>
      </c>
      <c r="C142" t="s">
        <v>350</v>
      </c>
      <c r="D142" t="s">
        <v>351</v>
      </c>
      <c r="E142">
        <v>12</v>
      </c>
      <c r="F142" s="166">
        <v>558.33333333333337</v>
      </c>
      <c r="G142">
        <v>6700</v>
      </c>
    </row>
    <row r="143" spans="1:7">
      <c r="A143" t="s">
        <v>349</v>
      </c>
      <c r="B143" s="165">
        <v>41851</v>
      </c>
      <c r="C143" t="s">
        <v>350</v>
      </c>
      <c r="D143" t="s">
        <v>351</v>
      </c>
      <c r="E143">
        <v>10</v>
      </c>
      <c r="F143" s="166">
        <v>767</v>
      </c>
      <c r="G143">
        <v>7670</v>
      </c>
    </row>
    <row r="144" spans="1:7">
      <c r="A144" t="s">
        <v>349</v>
      </c>
      <c r="B144" s="165">
        <v>41858</v>
      </c>
      <c r="C144" t="s">
        <v>358</v>
      </c>
      <c r="D144" t="s">
        <v>359</v>
      </c>
      <c r="E144">
        <v>4</v>
      </c>
      <c r="F144" s="166">
        <v>341</v>
      </c>
      <c r="G144">
        <v>1364</v>
      </c>
    </row>
    <row r="145" spans="1:7">
      <c r="A145" t="s">
        <v>349</v>
      </c>
      <c r="B145" s="165">
        <v>41858</v>
      </c>
      <c r="C145" t="s">
        <v>354</v>
      </c>
      <c r="D145" t="s">
        <v>355</v>
      </c>
      <c r="E145">
        <v>10</v>
      </c>
      <c r="F145" s="166">
        <v>301</v>
      </c>
      <c r="G145">
        <v>3010</v>
      </c>
    </row>
    <row r="146" spans="1:7">
      <c r="A146" t="s">
        <v>349</v>
      </c>
      <c r="B146" s="165">
        <v>41858</v>
      </c>
      <c r="C146" t="s">
        <v>354</v>
      </c>
      <c r="D146" t="s">
        <v>355</v>
      </c>
      <c r="E146">
        <v>12</v>
      </c>
      <c r="F146" s="166">
        <v>536.08333333333337</v>
      </c>
      <c r="G146">
        <v>6433</v>
      </c>
    </row>
    <row r="147" spans="1:7">
      <c r="A147" t="s">
        <v>349</v>
      </c>
      <c r="B147" s="165">
        <v>41858</v>
      </c>
      <c r="C147" t="s">
        <v>350</v>
      </c>
      <c r="D147" t="s">
        <v>351</v>
      </c>
      <c r="E147">
        <v>4</v>
      </c>
      <c r="F147" s="166">
        <v>625</v>
      </c>
      <c r="G147">
        <v>2500</v>
      </c>
    </row>
    <row r="148" spans="1:7">
      <c r="A148" t="s">
        <v>349</v>
      </c>
      <c r="B148" s="165">
        <v>41858</v>
      </c>
      <c r="C148" t="s">
        <v>350</v>
      </c>
      <c r="D148" t="s">
        <v>351</v>
      </c>
      <c r="E148">
        <v>4</v>
      </c>
      <c r="F148" s="166">
        <v>732.5</v>
      </c>
      <c r="G148">
        <v>2930</v>
      </c>
    </row>
    <row r="149" spans="1:7">
      <c r="A149" t="s">
        <v>349</v>
      </c>
      <c r="B149" s="165">
        <v>41858</v>
      </c>
      <c r="C149" t="s">
        <v>350</v>
      </c>
      <c r="D149" t="s">
        <v>351</v>
      </c>
      <c r="E149">
        <v>8</v>
      </c>
      <c r="F149" s="166">
        <v>370</v>
      </c>
      <c r="G149">
        <v>2960</v>
      </c>
    </row>
    <row r="150" spans="1:7">
      <c r="A150" t="s">
        <v>349</v>
      </c>
      <c r="B150" s="165">
        <v>41865</v>
      </c>
      <c r="C150" t="s">
        <v>350</v>
      </c>
      <c r="D150" t="s">
        <v>351</v>
      </c>
      <c r="E150">
        <v>41</v>
      </c>
      <c r="F150" s="166">
        <v>395</v>
      </c>
      <c r="G150">
        <v>16195</v>
      </c>
    </row>
    <row r="151" spans="1:7">
      <c r="A151" t="s">
        <v>349</v>
      </c>
      <c r="B151" s="165">
        <v>41872</v>
      </c>
      <c r="C151" t="s">
        <v>358</v>
      </c>
      <c r="D151" t="s">
        <v>359</v>
      </c>
      <c r="E151">
        <v>4</v>
      </c>
      <c r="F151" s="166">
        <v>550</v>
      </c>
      <c r="G151">
        <v>2200</v>
      </c>
    </row>
    <row r="152" spans="1:7">
      <c r="A152" t="s">
        <v>349</v>
      </c>
      <c r="B152" s="165">
        <v>41872</v>
      </c>
      <c r="C152" t="s">
        <v>358</v>
      </c>
      <c r="D152" t="s">
        <v>359</v>
      </c>
      <c r="E152">
        <v>9</v>
      </c>
      <c r="F152" s="166">
        <v>475</v>
      </c>
      <c r="G152">
        <v>4275</v>
      </c>
    </row>
    <row r="153" spans="1:7">
      <c r="A153" t="s">
        <v>349</v>
      </c>
      <c r="B153" s="165">
        <v>41872</v>
      </c>
      <c r="C153" t="s">
        <v>358</v>
      </c>
      <c r="D153" t="s">
        <v>359</v>
      </c>
      <c r="E153">
        <v>8</v>
      </c>
      <c r="F153" s="166">
        <v>985</v>
      </c>
      <c r="G153">
        <v>7880</v>
      </c>
    </row>
    <row r="154" spans="1:7">
      <c r="A154" t="s">
        <v>349</v>
      </c>
      <c r="B154" s="165">
        <v>41872</v>
      </c>
      <c r="C154" t="s">
        <v>354</v>
      </c>
      <c r="D154" t="s">
        <v>355</v>
      </c>
      <c r="E154">
        <v>11</v>
      </c>
      <c r="F154" s="166">
        <v>985</v>
      </c>
      <c r="G154">
        <v>10835</v>
      </c>
    </row>
    <row r="155" spans="1:7">
      <c r="A155" t="s">
        <v>349</v>
      </c>
      <c r="B155" s="165">
        <v>41872</v>
      </c>
      <c r="C155" t="s">
        <v>354</v>
      </c>
      <c r="D155" t="s">
        <v>355</v>
      </c>
      <c r="E155">
        <v>18</v>
      </c>
      <c r="F155" s="166">
        <v>957.72222222222217</v>
      </c>
      <c r="G155">
        <v>17239</v>
      </c>
    </row>
    <row r="156" spans="1:7">
      <c r="A156" t="s">
        <v>349</v>
      </c>
      <c r="B156" s="165">
        <v>41872</v>
      </c>
      <c r="C156" t="s">
        <v>352</v>
      </c>
      <c r="D156" t="s">
        <v>353</v>
      </c>
      <c r="E156">
        <v>2</v>
      </c>
      <c r="F156" s="166">
        <v>1239</v>
      </c>
      <c r="G156">
        <v>2478</v>
      </c>
    </row>
    <row r="157" spans="1:7">
      <c r="A157" t="s">
        <v>349</v>
      </c>
      <c r="B157" s="165">
        <v>41872</v>
      </c>
      <c r="C157" t="s">
        <v>352</v>
      </c>
      <c r="D157" t="s">
        <v>353</v>
      </c>
      <c r="E157">
        <v>14</v>
      </c>
      <c r="F157" s="166">
        <v>450</v>
      </c>
      <c r="G157">
        <v>6300</v>
      </c>
    </row>
    <row r="158" spans="1:7">
      <c r="A158" t="s">
        <v>349</v>
      </c>
      <c r="B158" s="165">
        <v>41872</v>
      </c>
      <c r="C158" t="s">
        <v>356</v>
      </c>
      <c r="D158" t="s">
        <v>357</v>
      </c>
      <c r="E158">
        <v>1</v>
      </c>
      <c r="F158" s="166">
        <v>275</v>
      </c>
      <c r="G158">
        <v>275</v>
      </c>
    </row>
    <row r="159" spans="1:7">
      <c r="A159" t="s">
        <v>349</v>
      </c>
      <c r="B159" s="165">
        <v>41872</v>
      </c>
      <c r="C159" t="s">
        <v>356</v>
      </c>
      <c r="D159" t="s">
        <v>357</v>
      </c>
      <c r="E159">
        <v>7</v>
      </c>
      <c r="F159" s="166">
        <v>289.28571428571428</v>
      </c>
      <c r="G159">
        <v>2025</v>
      </c>
    </row>
    <row r="160" spans="1:7">
      <c r="A160" t="s">
        <v>349</v>
      </c>
      <c r="B160" s="165">
        <v>41872</v>
      </c>
      <c r="C160" t="s">
        <v>350</v>
      </c>
      <c r="D160" t="s">
        <v>351</v>
      </c>
      <c r="E160">
        <v>4</v>
      </c>
      <c r="F160" s="166">
        <v>525</v>
      </c>
      <c r="G160">
        <v>2100</v>
      </c>
    </row>
    <row r="161" spans="1:7">
      <c r="A161" t="s">
        <v>349</v>
      </c>
      <c r="B161" s="165">
        <v>41872</v>
      </c>
      <c r="C161" t="s">
        <v>350</v>
      </c>
      <c r="D161" t="s">
        <v>351</v>
      </c>
      <c r="E161">
        <v>4</v>
      </c>
      <c r="F161" s="166">
        <v>550</v>
      </c>
      <c r="G161">
        <v>2200</v>
      </c>
    </row>
    <row r="162" spans="1:7">
      <c r="A162" t="s">
        <v>349</v>
      </c>
      <c r="B162" s="165">
        <v>41872</v>
      </c>
      <c r="C162" t="s">
        <v>350</v>
      </c>
      <c r="D162" t="s">
        <v>351</v>
      </c>
      <c r="E162">
        <v>2</v>
      </c>
      <c r="F162" s="166">
        <v>1395</v>
      </c>
      <c r="G162">
        <v>2790</v>
      </c>
    </row>
    <row r="163" spans="1:7">
      <c r="A163" t="s">
        <v>349</v>
      </c>
      <c r="B163" s="165">
        <v>41872</v>
      </c>
      <c r="C163" t="s">
        <v>350</v>
      </c>
      <c r="D163" t="s">
        <v>351</v>
      </c>
      <c r="E163">
        <v>8</v>
      </c>
      <c r="F163" s="166">
        <v>381.875</v>
      </c>
      <c r="G163">
        <v>3055</v>
      </c>
    </row>
    <row r="164" spans="1:7">
      <c r="A164" t="s">
        <v>349</v>
      </c>
      <c r="B164" s="165">
        <v>41872</v>
      </c>
      <c r="C164" t="s">
        <v>350</v>
      </c>
      <c r="D164" t="s">
        <v>351</v>
      </c>
      <c r="E164">
        <v>9</v>
      </c>
      <c r="F164" s="166">
        <v>503.33333333333331</v>
      </c>
      <c r="G164">
        <v>4530</v>
      </c>
    </row>
    <row r="165" spans="1:7">
      <c r="A165" t="s">
        <v>349</v>
      </c>
      <c r="B165" s="165">
        <v>41872</v>
      </c>
      <c r="C165" t="s">
        <v>350</v>
      </c>
      <c r="D165" t="s">
        <v>351</v>
      </c>
      <c r="E165">
        <v>10</v>
      </c>
      <c r="F165" s="166">
        <v>480.3</v>
      </c>
      <c r="G165">
        <v>4803</v>
      </c>
    </row>
    <row r="166" spans="1:7">
      <c r="A166" t="s">
        <v>349</v>
      </c>
      <c r="B166" s="165">
        <v>41879</v>
      </c>
      <c r="C166" t="s">
        <v>354</v>
      </c>
      <c r="D166" t="s">
        <v>355</v>
      </c>
      <c r="E166">
        <v>20</v>
      </c>
      <c r="F166" s="166">
        <v>497</v>
      </c>
      <c r="G166">
        <v>9940</v>
      </c>
    </row>
    <row r="167" spans="1:7">
      <c r="A167" t="s">
        <v>349</v>
      </c>
      <c r="B167" s="165">
        <v>41879</v>
      </c>
      <c r="C167" t="s">
        <v>356</v>
      </c>
      <c r="D167" t="s">
        <v>357</v>
      </c>
      <c r="E167">
        <v>2</v>
      </c>
      <c r="F167" s="166">
        <v>275</v>
      </c>
      <c r="G167">
        <v>550</v>
      </c>
    </row>
    <row r="168" spans="1:7">
      <c r="A168" t="s">
        <v>349</v>
      </c>
      <c r="B168" s="165">
        <v>41879</v>
      </c>
      <c r="C168" t="s">
        <v>356</v>
      </c>
      <c r="D168" t="s">
        <v>357</v>
      </c>
      <c r="E168">
        <v>2</v>
      </c>
      <c r="F168" s="166">
        <v>316</v>
      </c>
      <c r="G168">
        <v>632</v>
      </c>
    </row>
    <row r="169" spans="1:7">
      <c r="A169" t="s">
        <v>349</v>
      </c>
      <c r="B169" s="165">
        <v>41879</v>
      </c>
      <c r="C169" t="s">
        <v>356</v>
      </c>
      <c r="D169" t="s">
        <v>357</v>
      </c>
      <c r="E169">
        <v>8</v>
      </c>
      <c r="F169" s="166">
        <v>276.25</v>
      </c>
      <c r="G169">
        <v>2210</v>
      </c>
    </row>
    <row r="170" spans="1:7">
      <c r="A170" t="s">
        <v>349</v>
      </c>
      <c r="B170" s="165">
        <v>41879</v>
      </c>
      <c r="C170" t="s">
        <v>356</v>
      </c>
      <c r="D170" t="s">
        <v>357</v>
      </c>
      <c r="E170">
        <v>24</v>
      </c>
      <c r="F170" s="166">
        <v>190</v>
      </c>
      <c r="G170">
        <v>4560</v>
      </c>
    </row>
    <row r="171" spans="1:7">
      <c r="A171" t="s">
        <v>349</v>
      </c>
      <c r="B171" s="165">
        <v>41879</v>
      </c>
      <c r="C171" t="s">
        <v>350</v>
      </c>
      <c r="D171" t="s">
        <v>351</v>
      </c>
      <c r="E171">
        <v>7</v>
      </c>
      <c r="F171" s="166">
        <v>411.28571428571428</v>
      </c>
      <c r="G171">
        <v>2879</v>
      </c>
    </row>
    <row r="172" spans="1:7">
      <c r="A172" t="s">
        <v>349</v>
      </c>
      <c r="B172" s="165">
        <v>41879</v>
      </c>
      <c r="C172" t="s">
        <v>350</v>
      </c>
      <c r="D172" t="s">
        <v>351</v>
      </c>
      <c r="E172">
        <v>15</v>
      </c>
      <c r="F172" s="166">
        <v>375.66666666666669</v>
      </c>
      <c r="G172">
        <v>5635</v>
      </c>
    </row>
    <row r="173" spans="1:7">
      <c r="A173" t="s">
        <v>349</v>
      </c>
      <c r="B173" s="165">
        <v>41893</v>
      </c>
      <c r="C173" t="s">
        <v>350</v>
      </c>
      <c r="D173" t="s">
        <v>351</v>
      </c>
      <c r="E173">
        <v>8</v>
      </c>
      <c r="F173" s="166">
        <v>334.875</v>
      </c>
      <c r="G173">
        <v>2679</v>
      </c>
    </row>
    <row r="174" spans="1:7">
      <c r="A174" t="s">
        <v>349</v>
      </c>
      <c r="B174" s="165">
        <v>41900</v>
      </c>
      <c r="C174" t="s">
        <v>358</v>
      </c>
      <c r="D174" t="s">
        <v>359</v>
      </c>
      <c r="E174">
        <v>5</v>
      </c>
      <c r="F174" s="166">
        <v>510.8</v>
      </c>
      <c r="G174">
        <v>2554</v>
      </c>
    </row>
    <row r="175" spans="1:7">
      <c r="A175" t="s">
        <v>349</v>
      </c>
      <c r="B175" s="165">
        <v>41900</v>
      </c>
      <c r="C175" t="s">
        <v>358</v>
      </c>
      <c r="D175" t="s">
        <v>359</v>
      </c>
      <c r="E175">
        <v>11</v>
      </c>
      <c r="F175" s="166">
        <v>386.90909090909093</v>
      </c>
      <c r="G175">
        <v>4256</v>
      </c>
    </row>
    <row r="176" spans="1:7">
      <c r="A176" t="s">
        <v>349</v>
      </c>
      <c r="B176" s="165">
        <v>41900</v>
      </c>
      <c r="C176" t="s">
        <v>358</v>
      </c>
      <c r="D176" t="s">
        <v>359</v>
      </c>
      <c r="E176">
        <v>17</v>
      </c>
      <c r="F176" s="166">
        <v>928.82352941176475</v>
      </c>
      <c r="G176">
        <v>15790</v>
      </c>
    </row>
    <row r="177" spans="1:7">
      <c r="A177" t="s">
        <v>349</v>
      </c>
      <c r="B177" s="165">
        <v>41900</v>
      </c>
      <c r="C177" t="s">
        <v>354</v>
      </c>
      <c r="D177" t="s">
        <v>355</v>
      </c>
      <c r="E177">
        <v>5</v>
      </c>
      <c r="F177" s="166">
        <v>1245</v>
      </c>
      <c r="G177">
        <v>6225</v>
      </c>
    </row>
    <row r="178" spans="1:7">
      <c r="A178" t="s">
        <v>349</v>
      </c>
      <c r="B178" s="165">
        <v>41900</v>
      </c>
      <c r="C178" t="s">
        <v>354</v>
      </c>
      <c r="D178" t="s">
        <v>355</v>
      </c>
      <c r="E178">
        <v>15</v>
      </c>
      <c r="F178" s="166">
        <v>536.33333333333337</v>
      </c>
      <c r="G178">
        <v>8045</v>
      </c>
    </row>
    <row r="179" spans="1:7">
      <c r="A179" t="s">
        <v>349</v>
      </c>
      <c r="B179" s="165">
        <v>41900</v>
      </c>
      <c r="C179" t="s">
        <v>354</v>
      </c>
      <c r="D179" t="s">
        <v>355</v>
      </c>
      <c r="E179">
        <v>7</v>
      </c>
      <c r="F179" s="166">
        <v>1245</v>
      </c>
      <c r="G179">
        <v>8715</v>
      </c>
    </row>
    <row r="180" spans="1:7">
      <c r="A180" t="s">
        <v>349</v>
      </c>
      <c r="B180" s="165">
        <v>41900</v>
      </c>
      <c r="C180" t="s">
        <v>354</v>
      </c>
      <c r="D180" t="s">
        <v>355</v>
      </c>
      <c r="E180">
        <v>10</v>
      </c>
      <c r="F180" s="166">
        <v>1169.0999999999999</v>
      </c>
      <c r="G180">
        <v>11691</v>
      </c>
    </row>
    <row r="181" spans="1:7">
      <c r="A181" t="s">
        <v>349</v>
      </c>
      <c r="B181" s="165">
        <v>41900</v>
      </c>
      <c r="C181" t="s">
        <v>354</v>
      </c>
      <c r="D181" t="s">
        <v>355</v>
      </c>
      <c r="E181">
        <v>20</v>
      </c>
      <c r="F181" s="166">
        <v>610</v>
      </c>
      <c r="G181">
        <v>12200</v>
      </c>
    </row>
    <row r="182" spans="1:7">
      <c r="A182" t="s">
        <v>349</v>
      </c>
      <c r="B182" s="165">
        <v>41900</v>
      </c>
      <c r="C182" t="s">
        <v>352</v>
      </c>
      <c r="D182" t="s">
        <v>353</v>
      </c>
      <c r="E182">
        <v>3</v>
      </c>
      <c r="F182" s="166">
        <v>598</v>
      </c>
      <c r="G182">
        <v>1794</v>
      </c>
    </row>
    <row r="183" spans="1:7">
      <c r="A183" t="s">
        <v>349</v>
      </c>
      <c r="B183" s="165">
        <v>41900</v>
      </c>
      <c r="C183" t="s">
        <v>356</v>
      </c>
      <c r="D183" t="s">
        <v>357</v>
      </c>
      <c r="E183">
        <v>3</v>
      </c>
      <c r="F183" s="166">
        <v>192.66666666666666</v>
      </c>
      <c r="G183">
        <v>578</v>
      </c>
    </row>
    <row r="184" spans="1:7">
      <c r="A184" t="s">
        <v>349</v>
      </c>
      <c r="B184" s="165">
        <v>41900</v>
      </c>
      <c r="C184" t="s">
        <v>350</v>
      </c>
      <c r="D184" t="s">
        <v>351</v>
      </c>
      <c r="E184">
        <v>1</v>
      </c>
      <c r="F184" s="166">
        <v>600</v>
      </c>
      <c r="G184">
        <v>600</v>
      </c>
    </row>
    <row r="185" spans="1:7">
      <c r="A185" t="s">
        <v>349</v>
      </c>
      <c r="B185" s="165">
        <v>41900</v>
      </c>
      <c r="C185" t="s">
        <v>350</v>
      </c>
      <c r="D185" t="s">
        <v>351</v>
      </c>
      <c r="E185">
        <v>3</v>
      </c>
      <c r="F185" s="166">
        <v>495</v>
      </c>
      <c r="G185">
        <v>1485</v>
      </c>
    </row>
    <row r="186" spans="1:7">
      <c r="A186" t="s">
        <v>349</v>
      </c>
      <c r="B186" s="165">
        <v>41900</v>
      </c>
      <c r="C186" t="s">
        <v>350</v>
      </c>
      <c r="D186" t="s">
        <v>351</v>
      </c>
      <c r="E186">
        <v>3</v>
      </c>
      <c r="F186" s="166">
        <v>555</v>
      </c>
      <c r="G186">
        <v>1665</v>
      </c>
    </row>
    <row r="187" spans="1:7">
      <c r="A187" t="s">
        <v>349</v>
      </c>
      <c r="B187" s="165">
        <v>41900</v>
      </c>
      <c r="C187" t="s">
        <v>350</v>
      </c>
      <c r="D187" t="s">
        <v>351</v>
      </c>
      <c r="E187">
        <v>5</v>
      </c>
      <c r="F187" s="166">
        <v>384</v>
      </c>
      <c r="G187">
        <v>1920</v>
      </c>
    </row>
    <row r="188" spans="1:7">
      <c r="A188" t="s">
        <v>349</v>
      </c>
      <c r="B188" s="165">
        <v>41900</v>
      </c>
      <c r="C188" t="s">
        <v>350</v>
      </c>
      <c r="D188" t="s">
        <v>351</v>
      </c>
      <c r="E188">
        <v>9</v>
      </c>
      <c r="F188" s="166">
        <v>720</v>
      </c>
      <c r="G188">
        <v>6480</v>
      </c>
    </row>
    <row r="189" spans="1:7">
      <c r="A189" t="s">
        <v>349</v>
      </c>
      <c r="B189" s="165">
        <v>41900</v>
      </c>
      <c r="C189" t="s">
        <v>350</v>
      </c>
      <c r="D189" t="s">
        <v>351</v>
      </c>
      <c r="E189">
        <v>12</v>
      </c>
      <c r="F189" s="166">
        <v>566.66666666666663</v>
      </c>
      <c r="G189">
        <v>6800</v>
      </c>
    </row>
    <row r="190" spans="1:7">
      <c r="A190" t="s">
        <v>349</v>
      </c>
      <c r="B190" s="165">
        <v>41907</v>
      </c>
      <c r="C190" t="s">
        <v>358</v>
      </c>
      <c r="D190" t="s">
        <v>359</v>
      </c>
      <c r="E190">
        <v>1</v>
      </c>
      <c r="F190" s="166">
        <v>552</v>
      </c>
      <c r="G190">
        <v>552</v>
      </c>
    </row>
    <row r="191" spans="1:7">
      <c r="A191" t="s">
        <v>349</v>
      </c>
      <c r="B191" s="165">
        <v>41907</v>
      </c>
      <c r="C191" t="s">
        <v>358</v>
      </c>
      <c r="D191" t="s">
        <v>359</v>
      </c>
      <c r="E191">
        <v>4</v>
      </c>
      <c r="F191" s="166">
        <v>585</v>
      </c>
      <c r="G191">
        <v>2340</v>
      </c>
    </row>
    <row r="192" spans="1:7">
      <c r="A192" t="s">
        <v>349</v>
      </c>
      <c r="B192" s="165">
        <v>41907</v>
      </c>
      <c r="C192" t="s">
        <v>358</v>
      </c>
      <c r="D192" t="s">
        <v>359</v>
      </c>
      <c r="E192">
        <v>10</v>
      </c>
      <c r="F192" s="166">
        <v>420.2</v>
      </c>
      <c r="G192">
        <v>4202</v>
      </c>
    </row>
    <row r="193" spans="1:7">
      <c r="A193" t="s">
        <v>349</v>
      </c>
      <c r="B193" s="165">
        <v>41907</v>
      </c>
      <c r="C193" t="s">
        <v>358</v>
      </c>
      <c r="D193" t="s">
        <v>359</v>
      </c>
      <c r="E193">
        <v>12</v>
      </c>
      <c r="F193" s="166">
        <v>815</v>
      </c>
      <c r="G193">
        <v>9780</v>
      </c>
    </row>
    <row r="194" spans="1:7">
      <c r="A194" t="s">
        <v>349</v>
      </c>
      <c r="B194" s="165">
        <v>41907</v>
      </c>
      <c r="C194" t="s">
        <v>354</v>
      </c>
      <c r="D194" t="s">
        <v>355</v>
      </c>
      <c r="E194">
        <v>4</v>
      </c>
      <c r="F194" s="166">
        <v>445</v>
      </c>
      <c r="G194">
        <v>1780</v>
      </c>
    </row>
    <row r="195" spans="1:7">
      <c r="A195" t="s">
        <v>349</v>
      </c>
      <c r="B195" s="165">
        <v>41907</v>
      </c>
      <c r="C195" t="s">
        <v>354</v>
      </c>
      <c r="D195" t="s">
        <v>355</v>
      </c>
      <c r="E195">
        <v>4</v>
      </c>
      <c r="F195" s="166">
        <v>700</v>
      </c>
      <c r="G195">
        <v>2800</v>
      </c>
    </row>
    <row r="196" spans="1:7">
      <c r="A196" t="s">
        <v>349</v>
      </c>
      <c r="B196" s="165">
        <v>41907</v>
      </c>
      <c r="C196" t="s">
        <v>354</v>
      </c>
      <c r="D196" t="s">
        <v>355</v>
      </c>
      <c r="E196">
        <v>6</v>
      </c>
      <c r="F196" s="166">
        <v>680</v>
      </c>
      <c r="G196">
        <v>4080</v>
      </c>
    </row>
    <row r="197" spans="1:7">
      <c r="A197" t="s">
        <v>349</v>
      </c>
      <c r="B197" s="165">
        <v>41907</v>
      </c>
      <c r="C197" t="s">
        <v>354</v>
      </c>
      <c r="D197" t="s">
        <v>355</v>
      </c>
      <c r="E197">
        <v>4</v>
      </c>
      <c r="F197" s="166">
        <v>1245</v>
      </c>
      <c r="G197">
        <v>4980</v>
      </c>
    </row>
    <row r="198" spans="1:7">
      <c r="A198" t="s">
        <v>349</v>
      </c>
      <c r="B198" s="165">
        <v>41907</v>
      </c>
      <c r="C198" t="s">
        <v>354</v>
      </c>
      <c r="D198" t="s">
        <v>355</v>
      </c>
      <c r="E198">
        <v>17</v>
      </c>
      <c r="F198" s="166">
        <v>486.76470588235293</v>
      </c>
      <c r="G198">
        <v>8275</v>
      </c>
    </row>
    <row r="199" spans="1:7">
      <c r="A199" t="s">
        <v>349</v>
      </c>
      <c r="B199" s="165">
        <v>41907</v>
      </c>
      <c r="C199" t="s">
        <v>352</v>
      </c>
      <c r="D199" t="s">
        <v>353</v>
      </c>
      <c r="E199">
        <v>6</v>
      </c>
      <c r="F199" s="166">
        <v>975</v>
      </c>
      <c r="G199">
        <v>5850</v>
      </c>
    </row>
    <row r="200" spans="1:7">
      <c r="A200" t="s">
        <v>349</v>
      </c>
      <c r="B200" s="165">
        <v>41907</v>
      </c>
      <c r="C200" t="s">
        <v>356</v>
      </c>
      <c r="D200" t="s">
        <v>357</v>
      </c>
      <c r="E200">
        <v>1</v>
      </c>
      <c r="F200" s="166">
        <v>300</v>
      </c>
      <c r="G200">
        <v>300</v>
      </c>
    </row>
    <row r="201" spans="1:7">
      <c r="A201" t="s">
        <v>349</v>
      </c>
      <c r="B201" s="165">
        <v>41907</v>
      </c>
      <c r="C201" t="s">
        <v>356</v>
      </c>
      <c r="D201" t="s">
        <v>357</v>
      </c>
      <c r="E201">
        <v>1</v>
      </c>
      <c r="F201" s="166">
        <v>450</v>
      </c>
      <c r="G201">
        <v>450</v>
      </c>
    </row>
    <row r="202" spans="1:7">
      <c r="A202" t="s">
        <v>349</v>
      </c>
      <c r="B202" s="165">
        <v>41907</v>
      </c>
      <c r="C202" t="s">
        <v>356</v>
      </c>
      <c r="D202" t="s">
        <v>357</v>
      </c>
      <c r="E202">
        <v>6</v>
      </c>
      <c r="F202" s="166">
        <v>176.5</v>
      </c>
      <c r="G202">
        <v>1059</v>
      </c>
    </row>
    <row r="203" spans="1:7">
      <c r="A203" t="s">
        <v>349</v>
      </c>
      <c r="B203" s="165">
        <v>41907</v>
      </c>
      <c r="C203" t="s">
        <v>356</v>
      </c>
      <c r="D203" t="s">
        <v>357</v>
      </c>
      <c r="E203">
        <v>6</v>
      </c>
      <c r="F203" s="166">
        <v>187</v>
      </c>
      <c r="G203">
        <v>1122</v>
      </c>
    </row>
    <row r="204" spans="1:7">
      <c r="A204" t="s">
        <v>349</v>
      </c>
      <c r="B204" s="165">
        <v>41907</v>
      </c>
      <c r="C204" t="s">
        <v>356</v>
      </c>
      <c r="D204" t="s">
        <v>357</v>
      </c>
      <c r="E204">
        <v>3</v>
      </c>
      <c r="F204" s="166">
        <v>385.33333333333331</v>
      </c>
      <c r="G204">
        <v>1156</v>
      </c>
    </row>
    <row r="205" spans="1:7">
      <c r="A205" t="s">
        <v>349</v>
      </c>
      <c r="B205" s="165">
        <v>41907</v>
      </c>
      <c r="C205" t="s">
        <v>356</v>
      </c>
      <c r="D205" t="s">
        <v>357</v>
      </c>
      <c r="E205">
        <v>21</v>
      </c>
      <c r="F205" s="166">
        <v>226.28571428571428</v>
      </c>
      <c r="G205">
        <v>4752</v>
      </c>
    </row>
    <row r="206" spans="1:7">
      <c r="A206" t="s">
        <v>349</v>
      </c>
      <c r="B206" s="165">
        <v>41907</v>
      </c>
      <c r="C206" t="s">
        <v>356</v>
      </c>
      <c r="D206" t="s">
        <v>357</v>
      </c>
      <c r="E206">
        <v>13</v>
      </c>
      <c r="F206" s="166">
        <v>386</v>
      </c>
      <c r="G206">
        <v>5018</v>
      </c>
    </row>
    <row r="207" spans="1:7">
      <c r="A207" t="s">
        <v>349</v>
      </c>
      <c r="B207" s="165">
        <v>41907</v>
      </c>
      <c r="C207" t="s">
        <v>356</v>
      </c>
      <c r="D207" t="s">
        <v>357</v>
      </c>
      <c r="E207">
        <v>52</v>
      </c>
      <c r="F207" s="166">
        <v>500</v>
      </c>
      <c r="G207">
        <v>26000</v>
      </c>
    </row>
    <row r="208" spans="1:7">
      <c r="A208" t="s">
        <v>349</v>
      </c>
      <c r="B208" s="165">
        <v>41907</v>
      </c>
      <c r="C208" t="s">
        <v>350</v>
      </c>
      <c r="D208" t="s">
        <v>351</v>
      </c>
      <c r="E208">
        <v>9</v>
      </c>
      <c r="F208" s="166">
        <v>200</v>
      </c>
      <c r="G208">
        <v>1800</v>
      </c>
    </row>
    <row r="209" spans="1:7">
      <c r="A209" t="s">
        <v>349</v>
      </c>
      <c r="B209" s="165">
        <v>41907</v>
      </c>
      <c r="C209" t="s">
        <v>350</v>
      </c>
      <c r="D209" t="s">
        <v>351</v>
      </c>
      <c r="E209">
        <v>11</v>
      </c>
      <c r="F209" s="166">
        <v>590.90909090909088</v>
      </c>
      <c r="G209">
        <v>6500</v>
      </c>
    </row>
    <row r="210" spans="1:7">
      <c r="A210" t="s">
        <v>349</v>
      </c>
      <c r="B210" s="165">
        <v>41907</v>
      </c>
      <c r="C210" t="s">
        <v>350</v>
      </c>
      <c r="D210" t="s">
        <v>351</v>
      </c>
      <c r="E210">
        <v>17</v>
      </c>
      <c r="F210" s="166">
        <v>560</v>
      </c>
      <c r="G210">
        <v>9520</v>
      </c>
    </row>
    <row r="211" spans="1:7">
      <c r="A211" t="s">
        <v>349</v>
      </c>
      <c r="B211" s="165">
        <v>41921</v>
      </c>
      <c r="C211" t="s">
        <v>358</v>
      </c>
      <c r="D211" t="s">
        <v>359</v>
      </c>
      <c r="E211">
        <v>2</v>
      </c>
      <c r="F211" s="166">
        <v>544</v>
      </c>
      <c r="G211">
        <v>1088</v>
      </c>
    </row>
    <row r="212" spans="1:7">
      <c r="A212" t="s">
        <v>349</v>
      </c>
      <c r="B212" s="165">
        <v>41921</v>
      </c>
      <c r="C212" t="s">
        <v>354</v>
      </c>
      <c r="D212" t="s">
        <v>355</v>
      </c>
      <c r="E212">
        <v>3</v>
      </c>
      <c r="F212" s="166">
        <v>544</v>
      </c>
      <c r="G212">
        <v>1632</v>
      </c>
    </row>
    <row r="213" spans="1:7">
      <c r="A213" t="s">
        <v>349</v>
      </c>
      <c r="B213" s="165">
        <v>41921</v>
      </c>
      <c r="C213" t="s">
        <v>354</v>
      </c>
      <c r="D213" t="s">
        <v>355</v>
      </c>
      <c r="E213">
        <v>7</v>
      </c>
      <c r="F213" s="166">
        <v>1245</v>
      </c>
      <c r="G213">
        <v>8715</v>
      </c>
    </row>
    <row r="214" spans="1:7">
      <c r="A214" t="s">
        <v>349</v>
      </c>
      <c r="B214" s="165">
        <v>41921</v>
      </c>
      <c r="C214" t="s">
        <v>352</v>
      </c>
      <c r="D214" t="s">
        <v>353</v>
      </c>
      <c r="E214">
        <v>11</v>
      </c>
      <c r="F214" s="166">
        <v>915.90909090909088</v>
      </c>
      <c r="G214">
        <v>10075</v>
      </c>
    </row>
    <row r="215" spans="1:7">
      <c r="A215" t="s">
        <v>349</v>
      </c>
      <c r="B215" s="165">
        <v>41921</v>
      </c>
      <c r="C215" t="s">
        <v>352</v>
      </c>
      <c r="D215" t="s">
        <v>353</v>
      </c>
      <c r="E215">
        <v>20</v>
      </c>
      <c r="F215" s="166">
        <v>1733</v>
      </c>
      <c r="G215">
        <v>34660</v>
      </c>
    </row>
    <row r="216" spans="1:7">
      <c r="A216" t="s">
        <v>349</v>
      </c>
      <c r="B216" s="165">
        <v>41921</v>
      </c>
      <c r="C216" t="s">
        <v>356</v>
      </c>
      <c r="D216" t="s">
        <v>357</v>
      </c>
      <c r="E216">
        <v>1</v>
      </c>
      <c r="F216" s="166">
        <v>250</v>
      </c>
      <c r="G216">
        <v>250</v>
      </c>
    </row>
    <row r="217" spans="1:7">
      <c r="A217" t="s">
        <v>349</v>
      </c>
      <c r="B217" s="165">
        <v>41921</v>
      </c>
      <c r="C217" t="s">
        <v>350</v>
      </c>
      <c r="D217" t="s">
        <v>351</v>
      </c>
      <c r="E217">
        <v>9</v>
      </c>
      <c r="F217" s="166">
        <v>561.11111111111109</v>
      </c>
      <c r="G217">
        <v>5050</v>
      </c>
    </row>
    <row r="218" spans="1:7">
      <c r="A218" t="s">
        <v>349</v>
      </c>
      <c r="B218" s="165">
        <v>41921</v>
      </c>
      <c r="C218" t="s">
        <v>350</v>
      </c>
      <c r="D218" t="s">
        <v>351</v>
      </c>
      <c r="E218">
        <v>14</v>
      </c>
      <c r="F218" s="166">
        <v>696.42857142857144</v>
      </c>
      <c r="G218">
        <v>9750</v>
      </c>
    </row>
    <row r="219" spans="1:7">
      <c r="A219" t="s">
        <v>349</v>
      </c>
      <c r="B219" s="165">
        <v>41928</v>
      </c>
      <c r="C219" t="s">
        <v>350</v>
      </c>
      <c r="D219" t="s">
        <v>351</v>
      </c>
      <c r="E219">
        <v>7</v>
      </c>
      <c r="F219" s="166">
        <v>359.28571428571428</v>
      </c>
      <c r="G219">
        <v>2515</v>
      </c>
    </row>
    <row r="220" spans="1:7">
      <c r="A220" t="s">
        <v>349</v>
      </c>
      <c r="B220" s="165">
        <v>41936</v>
      </c>
      <c r="C220" t="s">
        <v>358</v>
      </c>
      <c r="D220" t="s">
        <v>359</v>
      </c>
      <c r="E220">
        <v>1</v>
      </c>
      <c r="F220" s="166">
        <v>441</v>
      </c>
      <c r="G220">
        <v>441</v>
      </c>
    </row>
    <row r="221" spans="1:7">
      <c r="A221" t="s">
        <v>349</v>
      </c>
      <c r="B221" s="165">
        <v>41936</v>
      </c>
      <c r="C221" t="s">
        <v>354</v>
      </c>
      <c r="D221" t="s">
        <v>355</v>
      </c>
      <c r="E221">
        <v>4</v>
      </c>
      <c r="F221" s="166">
        <v>750</v>
      </c>
      <c r="G221">
        <v>3000</v>
      </c>
    </row>
    <row r="222" spans="1:7">
      <c r="A222" t="s">
        <v>349</v>
      </c>
      <c r="B222" s="165">
        <v>41936</v>
      </c>
      <c r="C222" t="s">
        <v>354</v>
      </c>
      <c r="D222" t="s">
        <v>355</v>
      </c>
      <c r="E222">
        <v>8</v>
      </c>
      <c r="F222" s="166">
        <v>381.375</v>
      </c>
      <c r="G222">
        <v>3051</v>
      </c>
    </row>
    <row r="223" spans="1:7">
      <c r="A223" t="s">
        <v>349</v>
      </c>
      <c r="B223" s="165">
        <v>41936</v>
      </c>
      <c r="C223" t="s">
        <v>354</v>
      </c>
      <c r="D223" t="s">
        <v>355</v>
      </c>
      <c r="E223">
        <v>11</v>
      </c>
      <c r="F223" s="166">
        <v>412</v>
      </c>
      <c r="G223">
        <v>4532</v>
      </c>
    </row>
    <row r="224" spans="1:7">
      <c r="A224" t="s">
        <v>349</v>
      </c>
      <c r="B224" s="165">
        <v>41936</v>
      </c>
      <c r="C224" t="s">
        <v>354</v>
      </c>
      <c r="D224" t="s">
        <v>355</v>
      </c>
      <c r="E224">
        <v>12</v>
      </c>
      <c r="F224" s="166">
        <v>414.41666666666669</v>
      </c>
      <c r="G224">
        <v>4973</v>
      </c>
    </row>
    <row r="225" spans="1:7">
      <c r="A225" t="s">
        <v>349</v>
      </c>
      <c r="B225" s="165">
        <v>41936</v>
      </c>
      <c r="C225" t="s">
        <v>354</v>
      </c>
      <c r="D225" t="s">
        <v>355</v>
      </c>
      <c r="E225">
        <v>12</v>
      </c>
      <c r="F225" s="166">
        <v>414.41666666666669</v>
      </c>
      <c r="G225">
        <v>4973</v>
      </c>
    </row>
    <row r="226" spans="1:7">
      <c r="A226" t="s">
        <v>349</v>
      </c>
      <c r="B226" s="165">
        <v>41936</v>
      </c>
      <c r="C226" t="s">
        <v>352</v>
      </c>
      <c r="D226" t="s">
        <v>353</v>
      </c>
      <c r="E226">
        <v>4</v>
      </c>
      <c r="F226" s="166">
        <v>1070</v>
      </c>
      <c r="G226">
        <v>4280</v>
      </c>
    </row>
    <row r="227" spans="1:7">
      <c r="A227" t="s">
        <v>349</v>
      </c>
      <c r="B227" s="165">
        <v>41936</v>
      </c>
      <c r="C227" t="s">
        <v>352</v>
      </c>
      <c r="D227" t="s">
        <v>353</v>
      </c>
      <c r="E227">
        <v>14</v>
      </c>
      <c r="F227" s="166">
        <v>1094.7857142857142</v>
      </c>
      <c r="G227">
        <v>15327</v>
      </c>
    </row>
    <row r="228" spans="1:7">
      <c r="A228" t="s">
        <v>349</v>
      </c>
      <c r="B228" s="165">
        <v>41936</v>
      </c>
      <c r="C228" t="s">
        <v>356</v>
      </c>
      <c r="D228" t="s">
        <v>357</v>
      </c>
      <c r="E228">
        <v>1</v>
      </c>
      <c r="F228" s="166">
        <v>479</v>
      </c>
      <c r="G228">
        <v>479</v>
      </c>
    </row>
    <row r="229" spans="1:7">
      <c r="A229" t="s">
        <v>349</v>
      </c>
      <c r="B229" s="165">
        <v>41936</v>
      </c>
      <c r="C229" t="s">
        <v>350</v>
      </c>
      <c r="D229" t="s">
        <v>351</v>
      </c>
      <c r="E229">
        <v>3</v>
      </c>
      <c r="F229" s="166">
        <v>200</v>
      </c>
      <c r="G229">
        <v>600</v>
      </c>
    </row>
    <row r="230" spans="1:7">
      <c r="A230" t="s">
        <v>349</v>
      </c>
      <c r="B230" s="165">
        <v>41936</v>
      </c>
      <c r="C230" t="s">
        <v>350</v>
      </c>
      <c r="D230" t="s">
        <v>351</v>
      </c>
      <c r="E230">
        <v>2</v>
      </c>
      <c r="F230" s="166">
        <v>323</v>
      </c>
      <c r="G230">
        <v>646</v>
      </c>
    </row>
    <row r="231" spans="1:7">
      <c r="A231" t="s">
        <v>349</v>
      </c>
      <c r="B231" s="165">
        <v>41936</v>
      </c>
      <c r="C231" t="s">
        <v>350</v>
      </c>
      <c r="D231" t="s">
        <v>351</v>
      </c>
      <c r="E231">
        <v>5</v>
      </c>
      <c r="F231" s="166">
        <v>600</v>
      </c>
      <c r="G231">
        <v>3000</v>
      </c>
    </row>
    <row r="232" spans="1:7">
      <c r="A232" t="s">
        <v>349</v>
      </c>
      <c r="B232" s="165">
        <v>41936</v>
      </c>
      <c r="C232" t="s">
        <v>350</v>
      </c>
      <c r="D232" t="s">
        <v>351</v>
      </c>
      <c r="E232">
        <v>12</v>
      </c>
      <c r="F232" s="166">
        <v>489</v>
      </c>
      <c r="G232">
        <v>5868</v>
      </c>
    </row>
    <row r="233" spans="1:7">
      <c r="A233" t="s">
        <v>349</v>
      </c>
      <c r="B233" s="165">
        <v>41936</v>
      </c>
      <c r="C233" t="s">
        <v>350</v>
      </c>
      <c r="D233" t="s">
        <v>351</v>
      </c>
      <c r="E233">
        <v>8</v>
      </c>
      <c r="F233" s="166">
        <v>787.875</v>
      </c>
      <c r="G233">
        <v>6303</v>
      </c>
    </row>
    <row r="234" spans="1:7">
      <c r="A234" t="s">
        <v>349</v>
      </c>
      <c r="B234" s="165">
        <v>41936</v>
      </c>
      <c r="C234" t="s">
        <v>350</v>
      </c>
      <c r="D234" t="s">
        <v>351</v>
      </c>
      <c r="E234">
        <v>10</v>
      </c>
      <c r="F234" s="166">
        <v>637</v>
      </c>
      <c r="G234">
        <v>6370</v>
      </c>
    </row>
    <row r="235" spans="1:7">
      <c r="A235" t="s">
        <v>349</v>
      </c>
      <c r="B235" s="165">
        <v>41943</v>
      </c>
      <c r="C235" t="s">
        <v>358</v>
      </c>
      <c r="D235" t="s">
        <v>359</v>
      </c>
      <c r="E235">
        <v>3</v>
      </c>
      <c r="F235" s="166">
        <v>722</v>
      </c>
      <c r="G235">
        <v>2166</v>
      </c>
    </row>
    <row r="236" spans="1:7">
      <c r="A236" t="s">
        <v>349</v>
      </c>
      <c r="B236" s="165">
        <v>41943</v>
      </c>
      <c r="C236" t="s">
        <v>358</v>
      </c>
      <c r="D236" t="s">
        <v>359</v>
      </c>
      <c r="E236">
        <v>10</v>
      </c>
      <c r="F236" s="166">
        <v>675</v>
      </c>
      <c r="G236">
        <v>6750</v>
      </c>
    </row>
    <row r="237" spans="1:7">
      <c r="A237" t="s">
        <v>349</v>
      </c>
      <c r="B237" s="165">
        <v>41943</v>
      </c>
      <c r="C237" t="s">
        <v>354</v>
      </c>
      <c r="D237" t="s">
        <v>355</v>
      </c>
      <c r="E237">
        <v>2</v>
      </c>
      <c r="F237" s="166">
        <v>815</v>
      </c>
      <c r="G237">
        <v>1630</v>
      </c>
    </row>
    <row r="238" spans="1:7">
      <c r="A238" t="s">
        <v>349</v>
      </c>
      <c r="B238" s="165">
        <v>41943</v>
      </c>
      <c r="C238" t="s">
        <v>354</v>
      </c>
      <c r="D238" t="s">
        <v>355</v>
      </c>
      <c r="E238">
        <v>15</v>
      </c>
      <c r="F238" s="166">
        <v>299</v>
      </c>
      <c r="G238">
        <v>4485</v>
      </c>
    </row>
    <row r="239" spans="1:7">
      <c r="A239" t="s">
        <v>349</v>
      </c>
      <c r="B239" s="165">
        <v>41943</v>
      </c>
      <c r="C239" t="s">
        <v>354</v>
      </c>
      <c r="D239" t="s">
        <v>355</v>
      </c>
      <c r="E239">
        <v>12</v>
      </c>
      <c r="F239" s="166">
        <v>434.58333333333331</v>
      </c>
      <c r="G239">
        <v>5215</v>
      </c>
    </row>
    <row r="240" spans="1:7">
      <c r="A240" t="s">
        <v>349</v>
      </c>
      <c r="B240" s="165">
        <v>41943</v>
      </c>
      <c r="C240" t="s">
        <v>354</v>
      </c>
      <c r="D240" t="s">
        <v>355</v>
      </c>
      <c r="E240">
        <v>12</v>
      </c>
      <c r="F240" s="166">
        <v>445.08333333333331</v>
      </c>
      <c r="G240">
        <v>5341</v>
      </c>
    </row>
    <row r="241" spans="1:7">
      <c r="A241" t="s">
        <v>349</v>
      </c>
      <c r="B241" s="165">
        <v>41943</v>
      </c>
      <c r="C241" t="s">
        <v>354</v>
      </c>
      <c r="D241" t="s">
        <v>355</v>
      </c>
      <c r="E241">
        <v>16</v>
      </c>
      <c r="F241" s="166">
        <v>446.4375</v>
      </c>
      <c r="G241">
        <v>7143</v>
      </c>
    </row>
    <row r="242" spans="1:7">
      <c r="A242" t="s">
        <v>349</v>
      </c>
      <c r="B242" s="165">
        <v>41943</v>
      </c>
      <c r="C242" t="s">
        <v>354</v>
      </c>
      <c r="D242" t="s">
        <v>355</v>
      </c>
      <c r="E242">
        <v>24</v>
      </c>
      <c r="F242" s="166">
        <v>438.70833333333331</v>
      </c>
      <c r="G242">
        <v>10529</v>
      </c>
    </row>
    <row r="243" spans="1:7">
      <c r="A243" t="s">
        <v>349</v>
      </c>
      <c r="B243" s="165">
        <v>41943</v>
      </c>
      <c r="C243" t="s">
        <v>354</v>
      </c>
      <c r="D243" t="s">
        <v>355</v>
      </c>
      <c r="E243">
        <v>24</v>
      </c>
      <c r="F243" s="166">
        <v>445</v>
      </c>
      <c r="G243">
        <v>10680</v>
      </c>
    </row>
    <row r="244" spans="1:7">
      <c r="A244" t="s">
        <v>349</v>
      </c>
      <c r="B244" s="165">
        <v>41943</v>
      </c>
      <c r="C244" t="s">
        <v>352</v>
      </c>
      <c r="D244" t="s">
        <v>353</v>
      </c>
      <c r="E244">
        <v>2</v>
      </c>
      <c r="F244" s="166">
        <v>880</v>
      </c>
      <c r="G244">
        <v>1760</v>
      </c>
    </row>
    <row r="245" spans="1:7">
      <c r="A245" t="s">
        <v>349</v>
      </c>
      <c r="B245" s="165">
        <v>41943</v>
      </c>
      <c r="C245" t="s">
        <v>352</v>
      </c>
      <c r="D245" t="s">
        <v>353</v>
      </c>
      <c r="E245">
        <v>2</v>
      </c>
      <c r="F245" s="166">
        <v>880</v>
      </c>
      <c r="G245">
        <v>1760</v>
      </c>
    </row>
    <row r="246" spans="1:7">
      <c r="A246" t="s">
        <v>349</v>
      </c>
      <c r="B246" s="165">
        <v>41943</v>
      </c>
      <c r="C246" t="s">
        <v>352</v>
      </c>
      <c r="D246" t="s">
        <v>353</v>
      </c>
      <c r="E246">
        <v>4</v>
      </c>
      <c r="F246" s="166">
        <v>497</v>
      </c>
      <c r="G246">
        <v>1988</v>
      </c>
    </row>
    <row r="247" spans="1:7">
      <c r="A247" t="s">
        <v>349</v>
      </c>
      <c r="B247" s="165">
        <v>41943</v>
      </c>
      <c r="C247" t="s">
        <v>352</v>
      </c>
      <c r="D247" t="s">
        <v>353</v>
      </c>
      <c r="E247">
        <v>5</v>
      </c>
      <c r="F247" s="166">
        <v>880</v>
      </c>
      <c r="G247">
        <v>4400</v>
      </c>
    </row>
    <row r="248" spans="1:7">
      <c r="A248" t="s">
        <v>349</v>
      </c>
      <c r="B248" s="165">
        <v>41943</v>
      </c>
      <c r="C248" t="s">
        <v>352</v>
      </c>
      <c r="D248" t="s">
        <v>353</v>
      </c>
      <c r="E248">
        <v>5</v>
      </c>
      <c r="F248" s="166">
        <v>1750</v>
      </c>
      <c r="G248">
        <v>8750</v>
      </c>
    </row>
    <row r="249" spans="1:7">
      <c r="A249" t="s">
        <v>349</v>
      </c>
      <c r="B249" s="165">
        <v>41943</v>
      </c>
      <c r="C249" t="s">
        <v>352</v>
      </c>
      <c r="D249" t="s">
        <v>353</v>
      </c>
      <c r="E249">
        <v>49</v>
      </c>
      <c r="F249" s="166">
        <v>1704.9795918367347</v>
      </c>
      <c r="G249">
        <v>83544</v>
      </c>
    </row>
    <row r="250" spans="1:7">
      <c r="A250" t="s">
        <v>349</v>
      </c>
      <c r="B250" s="165">
        <v>41943</v>
      </c>
      <c r="C250" t="s">
        <v>356</v>
      </c>
      <c r="D250" t="s">
        <v>357</v>
      </c>
      <c r="E250">
        <v>2</v>
      </c>
      <c r="F250" s="166">
        <v>200</v>
      </c>
      <c r="G250">
        <v>400</v>
      </c>
    </row>
    <row r="251" spans="1:7">
      <c r="A251" t="s">
        <v>349</v>
      </c>
      <c r="B251" s="165">
        <v>41943</v>
      </c>
      <c r="C251" t="s">
        <v>356</v>
      </c>
      <c r="D251" t="s">
        <v>357</v>
      </c>
      <c r="E251">
        <v>3</v>
      </c>
      <c r="F251" s="166">
        <v>260</v>
      </c>
      <c r="G251">
        <v>780</v>
      </c>
    </row>
    <row r="252" spans="1:7">
      <c r="A252" t="s">
        <v>349</v>
      </c>
      <c r="B252" s="165">
        <v>41943</v>
      </c>
      <c r="C252" t="s">
        <v>356</v>
      </c>
      <c r="D252" t="s">
        <v>357</v>
      </c>
      <c r="E252">
        <v>21</v>
      </c>
      <c r="F252" s="166">
        <v>265.66666666666669</v>
      </c>
      <c r="G252">
        <v>5579</v>
      </c>
    </row>
    <row r="253" spans="1:7">
      <c r="A253" t="s">
        <v>349</v>
      </c>
      <c r="B253" s="165">
        <v>41943</v>
      </c>
      <c r="C253" t="s">
        <v>350</v>
      </c>
      <c r="D253" t="s">
        <v>351</v>
      </c>
      <c r="E253">
        <v>2</v>
      </c>
      <c r="F253" s="166">
        <v>198.5</v>
      </c>
      <c r="G253">
        <v>397</v>
      </c>
    </row>
    <row r="254" spans="1:7">
      <c r="A254" t="s">
        <v>349</v>
      </c>
      <c r="B254" s="165">
        <v>41943</v>
      </c>
      <c r="C254" t="s">
        <v>350</v>
      </c>
      <c r="D254" t="s">
        <v>351</v>
      </c>
      <c r="E254">
        <v>3</v>
      </c>
      <c r="F254" s="166">
        <v>399</v>
      </c>
      <c r="G254">
        <v>1197</v>
      </c>
    </row>
    <row r="255" spans="1:7">
      <c r="A255" t="s">
        <v>349</v>
      </c>
      <c r="B255" s="165">
        <v>41943</v>
      </c>
      <c r="C255" t="s">
        <v>350</v>
      </c>
      <c r="D255" t="s">
        <v>351</v>
      </c>
      <c r="E255">
        <v>9</v>
      </c>
      <c r="F255" s="166">
        <v>227.33333333333334</v>
      </c>
      <c r="G255">
        <v>2046</v>
      </c>
    </row>
    <row r="256" spans="1:7">
      <c r="A256" t="s">
        <v>349</v>
      </c>
      <c r="B256" s="165">
        <v>41943</v>
      </c>
      <c r="C256" t="s">
        <v>350</v>
      </c>
      <c r="D256" t="s">
        <v>351</v>
      </c>
      <c r="E256">
        <v>6</v>
      </c>
      <c r="F256" s="166">
        <v>650</v>
      </c>
      <c r="G256">
        <v>3900</v>
      </c>
    </row>
    <row r="257" spans="1:7">
      <c r="A257" t="s">
        <v>349</v>
      </c>
      <c r="B257" s="165">
        <v>41943</v>
      </c>
      <c r="C257" t="s">
        <v>350</v>
      </c>
      <c r="D257" t="s">
        <v>351</v>
      </c>
      <c r="E257">
        <v>15</v>
      </c>
      <c r="F257" s="166">
        <v>722</v>
      </c>
      <c r="G257">
        <v>10830</v>
      </c>
    </row>
    <row r="258" spans="1:7">
      <c r="A258" t="s">
        <v>349</v>
      </c>
      <c r="B258" s="165">
        <v>41949</v>
      </c>
      <c r="C258" t="s">
        <v>358</v>
      </c>
      <c r="D258" t="s">
        <v>359</v>
      </c>
      <c r="E258">
        <v>2</v>
      </c>
      <c r="F258" s="166">
        <v>757</v>
      </c>
      <c r="G258">
        <v>1514</v>
      </c>
    </row>
    <row r="259" spans="1:7">
      <c r="A259" t="s">
        <v>349</v>
      </c>
      <c r="B259" s="165">
        <v>41949</v>
      </c>
      <c r="C259" t="s">
        <v>358</v>
      </c>
      <c r="D259" t="s">
        <v>359</v>
      </c>
      <c r="E259">
        <v>16</v>
      </c>
      <c r="F259" s="166">
        <v>482.5</v>
      </c>
      <c r="G259">
        <v>7720</v>
      </c>
    </row>
    <row r="260" spans="1:7">
      <c r="A260" t="s">
        <v>349</v>
      </c>
      <c r="B260" s="165">
        <v>41949</v>
      </c>
      <c r="C260" t="s">
        <v>354</v>
      </c>
      <c r="D260" t="s">
        <v>355</v>
      </c>
      <c r="E260">
        <v>11</v>
      </c>
      <c r="F260" s="166">
        <v>402.27272727272725</v>
      </c>
      <c r="G260">
        <v>4425</v>
      </c>
    </row>
    <row r="261" spans="1:7">
      <c r="A261" t="s">
        <v>349</v>
      </c>
      <c r="B261" s="165">
        <v>41949</v>
      </c>
      <c r="C261" t="s">
        <v>354</v>
      </c>
      <c r="D261" t="s">
        <v>355</v>
      </c>
      <c r="E261">
        <v>12</v>
      </c>
      <c r="F261" s="166">
        <v>446.41666666666669</v>
      </c>
      <c r="G261">
        <v>5357</v>
      </c>
    </row>
    <row r="262" spans="1:7">
      <c r="A262" t="s">
        <v>349</v>
      </c>
      <c r="B262" s="165">
        <v>41949</v>
      </c>
      <c r="C262" t="s">
        <v>354</v>
      </c>
      <c r="D262" t="s">
        <v>355</v>
      </c>
      <c r="E262">
        <v>7</v>
      </c>
      <c r="F262" s="166">
        <v>1245</v>
      </c>
      <c r="G262">
        <v>8715</v>
      </c>
    </row>
    <row r="263" spans="1:7">
      <c r="A263" t="s">
        <v>349</v>
      </c>
      <c r="B263" s="165">
        <v>41949</v>
      </c>
      <c r="C263" t="s">
        <v>354</v>
      </c>
      <c r="D263" t="s">
        <v>355</v>
      </c>
      <c r="E263">
        <v>33</v>
      </c>
      <c r="F263" s="166">
        <v>912.39393939393938</v>
      </c>
      <c r="G263">
        <v>30109</v>
      </c>
    </row>
    <row r="264" spans="1:7">
      <c r="A264" t="s">
        <v>349</v>
      </c>
      <c r="B264" s="165">
        <v>41949</v>
      </c>
      <c r="C264" t="s">
        <v>352</v>
      </c>
      <c r="D264" t="s">
        <v>353</v>
      </c>
      <c r="E264">
        <v>5</v>
      </c>
      <c r="F264" s="166">
        <v>872.2</v>
      </c>
      <c r="G264">
        <v>4361</v>
      </c>
    </row>
    <row r="265" spans="1:7">
      <c r="A265" t="s">
        <v>349</v>
      </c>
      <c r="B265" s="165">
        <v>41949</v>
      </c>
      <c r="C265" t="s">
        <v>356</v>
      </c>
      <c r="D265" t="s">
        <v>357</v>
      </c>
      <c r="E265">
        <v>2</v>
      </c>
      <c r="F265" s="166">
        <v>350</v>
      </c>
      <c r="G265">
        <v>700</v>
      </c>
    </row>
    <row r="266" spans="1:7">
      <c r="A266" t="s">
        <v>349</v>
      </c>
      <c r="B266" s="165">
        <v>41949</v>
      </c>
      <c r="C266" t="s">
        <v>356</v>
      </c>
      <c r="D266" t="s">
        <v>357</v>
      </c>
      <c r="E266">
        <v>9</v>
      </c>
      <c r="F266" s="166">
        <v>295.11111111111109</v>
      </c>
      <c r="G266">
        <v>2656</v>
      </c>
    </row>
    <row r="267" spans="1:7">
      <c r="A267" t="s">
        <v>349</v>
      </c>
      <c r="B267" s="165">
        <v>41949</v>
      </c>
      <c r="C267" t="s">
        <v>356</v>
      </c>
      <c r="D267" t="s">
        <v>357</v>
      </c>
      <c r="E267">
        <v>10</v>
      </c>
      <c r="F267" s="166">
        <v>320.2</v>
      </c>
      <c r="G267">
        <v>3202</v>
      </c>
    </row>
    <row r="268" spans="1:7">
      <c r="A268" t="s">
        <v>349</v>
      </c>
      <c r="B268" s="165">
        <v>41949</v>
      </c>
      <c r="C268" t="s">
        <v>356</v>
      </c>
      <c r="D268" t="s">
        <v>357</v>
      </c>
      <c r="E268">
        <v>18</v>
      </c>
      <c r="F268" s="166">
        <v>353.33333333333331</v>
      </c>
      <c r="G268">
        <v>6360</v>
      </c>
    </row>
    <row r="269" spans="1:7">
      <c r="A269" t="s">
        <v>349</v>
      </c>
      <c r="B269" s="165">
        <v>41949</v>
      </c>
      <c r="C269" t="s">
        <v>356</v>
      </c>
      <c r="D269" t="s">
        <v>357</v>
      </c>
      <c r="E269">
        <v>27</v>
      </c>
      <c r="F269" s="166">
        <v>452</v>
      </c>
      <c r="G269">
        <v>12204</v>
      </c>
    </row>
    <row r="270" spans="1:7">
      <c r="A270" t="s">
        <v>349</v>
      </c>
      <c r="B270" s="165">
        <v>41949</v>
      </c>
      <c r="C270" t="s">
        <v>350</v>
      </c>
      <c r="D270" t="s">
        <v>351</v>
      </c>
      <c r="E270">
        <v>1</v>
      </c>
      <c r="F270" s="166">
        <v>330</v>
      </c>
      <c r="G270">
        <v>330</v>
      </c>
    </row>
    <row r="271" spans="1:7">
      <c r="A271" t="s">
        <v>349</v>
      </c>
      <c r="B271" s="165">
        <v>41949</v>
      </c>
      <c r="C271" t="s">
        <v>350</v>
      </c>
      <c r="D271" t="s">
        <v>351</v>
      </c>
      <c r="E271">
        <v>2</v>
      </c>
      <c r="F271" s="166">
        <v>350</v>
      </c>
      <c r="G271">
        <v>700</v>
      </c>
    </row>
    <row r="272" spans="1:7">
      <c r="A272" t="s">
        <v>349</v>
      </c>
      <c r="B272" s="165">
        <v>41949</v>
      </c>
      <c r="C272" t="s">
        <v>350</v>
      </c>
      <c r="D272" t="s">
        <v>351</v>
      </c>
      <c r="E272">
        <v>1</v>
      </c>
      <c r="F272" s="166">
        <v>795</v>
      </c>
      <c r="G272">
        <v>795</v>
      </c>
    </row>
    <row r="273" spans="1:7">
      <c r="A273" t="s">
        <v>349</v>
      </c>
      <c r="B273" s="165">
        <v>41949</v>
      </c>
      <c r="C273" t="s">
        <v>350</v>
      </c>
      <c r="D273" t="s">
        <v>351</v>
      </c>
      <c r="E273">
        <v>2</v>
      </c>
      <c r="F273" s="166">
        <v>422.5</v>
      </c>
      <c r="G273">
        <v>845</v>
      </c>
    </row>
    <row r="274" spans="1:7">
      <c r="A274" t="s">
        <v>349</v>
      </c>
      <c r="B274" s="165">
        <v>41949</v>
      </c>
      <c r="C274" t="s">
        <v>350</v>
      </c>
      <c r="D274" t="s">
        <v>351</v>
      </c>
      <c r="E274">
        <v>4</v>
      </c>
      <c r="F274" s="166">
        <v>615</v>
      </c>
      <c r="G274">
        <v>2460</v>
      </c>
    </row>
    <row r="275" spans="1:7">
      <c r="A275" t="s">
        <v>349</v>
      </c>
      <c r="B275" s="165">
        <v>41949</v>
      </c>
      <c r="C275" t="s">
        <v>350</v>
      </c>
      <c r="D275" t="s">
        <v>351</v>
      </c>
      <c r="E275">
        <v>8</v>
      </c>
      <c r="F275" s="166">
        <v>550</v>
      </c>
      <c r="G275">
        <v>4400</v>
      </c>
    </row>
    <row r="276" spans="1:7">
      <c r="A276" t="s">
        <v>349</v>
      </c>
      <c r="B276" s="165">
        <v>41949</v>
      </c>
      <c r="C276" t="s">
        <v>350</v>
      </c>
      <c r="D276" t="s">
        <v>351</v>
      </c>
      <c r="E276">
        <v>13</v>
      </c>
      <c r="F276" s="166">
        <v>392.30769230769232</v>
      </c>
      <c r="G276">
        <v>5100</v>
      </c>
    </row>
    <row r="277" spans="1:7">
      <c r="A277" t="s">
        <v>349</v>
      </c>
      <c r="B277" s="165">
        <v>41949</v>
      </c>
      <c r="C277" t="s">
        <v>350</v>
      </c>
      <c r="D277" t="s">
        <v>351</v>
      </c>
      <c r="E277">
        <v>15</v>
      </c>
      <c r="F277" s="166">
        <v>705.6</v>
      </c>
      <c r="G277">
        <v>10584</v>
      </c>
    </row>
    <row r="278" spans="1:7">
      <c r="A278" t="s">
        <v>349</v>
      </c>
      <c r="B278" s="165">
        <v>41957</v>
      </c>
      <c r="C278" t="s">
        <v>354</v>
      </c>
      <c r="D278" t="s">
        <v>355</v>
      </c>
      <c r="E278">
        <v>2</v>
      </c>
      <c r="F278" s="166">
        <v>360</v>
      </c>
      <c r="G278">
        <v>720</v>
      </c>
    </row>
    <row r="279" spans="1:7">
      <c r="A279" t="s">
        <v>349</v>
      </c>
      <c r="B279" s="165">
        <v>41957</v>
      </c>
      <c r="C279" t="s">
        <v>354</v>
      </c>
      <c r="D279" t="s">
        <v>355</v>
      </c>
      <c r="E279">
        <v>4</v>
      </c>
      <c r="F279" s="166">
        <v>556.75</v>
      </c>
      <c r="G279">
        <v>2227</v>
      </c>
    </row>
    <row r="280" spans="1:7">
      <c r="A280" t="s">
        <v>349</v>
      </c>
      <c r="B280" s="165">
        <v>41957</v>
      </c>
      <c r="C280" t="s">
        <v>354</v>
      </c>
      <c r="D280" t="s">
        <v>355</v>
      </c>
      <c r="E280">
        <v>8</v>
      </c>
      <c r="F280" s="166">
        <v>556.625</v>
      </c>
      <c r="G280">
        <v>4453</v>
      </c>
    </row>
    <row r="281" spans="1:7">
      <c r="A281" t="s">
        <v>349</v>
      </c>
      <c r="B281" s="165">
        <v>41957</v>
      </c>
      <c r="C281" t="s">
        <v>354</v>
      </c>
      <c r="D281" t="s">
        <v>355</v>
      </c>
      <c r="E281">
        <v>8</v>
      </c>
      <c r="F281" s="166">
        <v>556.625</v>
      </c>
      <c r="G281">
        <v>4453</v>
      </c>
    </row>
    <row r="282" spans="1:7">
      <c r="A282" t="s">
        <v>349</v>
      </c>
      <c r="B282" s="165">
        <v>41957</v>
      </c>
      <c r="C282" t="s">
        <v>354</v>
      </c>
      <c r="D282" t="s">
        <v>355</v>
      </c>
      <c r="E282">
        <v>8</v>
      </c>
      <c r="F282" s="166">
        <v>556.625</v>
      </c>
      <c r="G282">
        <v>4453</v>
      </c>
    </row>
    <row r="283" spans="1:7">
      <c r="A283" t="s">
        <v>349</v>
      </c>
      <c r="B283" s="165">
        <v>41957</v>
      </c>
      <c r="C283" t="s">
        <v>354</v>
      </c>
      <c r="D283" t="s">
        <v>355</v>
      </c>
      <c r="E283">
        <v>16</v>
      </c>
      <c r="F283" s="166">
        <v>550</v>
      </c>
      <c r="G283">
        <v>8800</v>
      </c>
    </row>
    <row r="284" spans="1:7">
      <c r="A284" t="s">
        <v>349</v>
      </c>
      <c r="B284" s="165">
        <v>41957</v>
      </c>
      <c r="C284" t="s">
        <v>352</v>
      </c>
      <c r="D284" t="s">
        <v>353</v>
      </c>
      <c r="E284">
        <v>3</v>
      </c>
      <c r="F284" s="166">
        <v>875</v>
      </c>
      <c r="G284">
        <v>2625</v>
      </c>
    </row>
    <row r="285" spans="1:7">
      <c r="A285" t="s">
        <v>349</v>
      </c>
      <c r="B285" s="165">
        <v>41957</v>
      </c>
      <c r="C285" t="s">
        <v>352</v>
      </c>
      <c r="D285" t="s">
        <v>353</v>
      </c>
      <c r="E285">
        <v>4</v>
      </c>
      <c r="F285" s="166">
        <v>846.5</v>
      </c>
      <c r="G285">
        <v>3386</v>
      </c>
    </row>
    <row r="286" spans="1:7">
      <c r="A286" t="s">
        <v>349</v>
      </c>
      <c r="B286" s="165">
        <v>41957</v>
      </c>
      <c r="C286" t="s">
        <v>352</v>
      </c>
      <c r="D286" t="s">
        <v>353</v>
      </c>
      <c r="E286">
        <v>5</v>
      </c>
      <c r="F286" s="166">
        <v>836</v>
      </c>
      <c r="G286">
        <v>4180</v>
      </c>
    </row>
    <row r="287" spans="1:7">
      <c r="A287" t="s">
        <v>349</v>
      </c>
      <c r="B287" s="165">
        <v>41957</v>
      </c>
      <c r="C287" t="s">
        <v>352</v>
      </c>
      <c r="D287" t="s">
        <v>353</v>
      </c>
      <c r="E287">
        <v>6</v>
      </c>
      <c r="F287" s="166">
        <v>828.16666666666663</v>
      </c>
      <c r="G287">
        <v>4969</v>
      </c>
    </row>
    <row r="288" spans="1:7">
      <c r="A288" t="s">
        <v>349</v>
      </c>
      <c r="B288" s="165">
        <v>41957</v>
      </c>
      <c r="C288" t="s">
        <v>352</v>
      </c>
      <c r="D288" t="s">
        <v>353</v>
      </c>
      <c r="E288">
        <v>6</v>
      </c>
      <c r="F288" s="166">
        <v>828.16666666666663</v>
      </c>
      <c r="G288">
        <v>4969</v>
      </c>
    </row>
    <row r="289" spans="1:7">
      <c r="A289" t="s">
        <v>349</v>
      </c>
      <c r="B289" s="165">
        <v>41957</v>
      </c>
      <c r="C289" t="s">
        <v>352</v>
      </c>
      <c r="D289" t="s">
        <v>353</v>
      </c>
      <c r="E289">
        <v>8</v>
      </c>
      <c r="F289" s="166">
        <v>802.875</v>
      </c>
      <c r="G289">
        <v>6423</v>
      </c>
    </row>
    <row r="290" spans="1:7">
      <c r="A290" t="s">
        <v>349</v>
      </c>
      <c r="B290" s="165">
        <v>41957</v>
      </c>
      <c r="C290" t="s">
        <v>352</v>
      </c>
      <c r="D290" t="s">
        <v>353</v>
      </c>
      <c r="E290">
        <v>8</v>
      </c>
      <c r="F290" s="166">
        <v>802.875</v>
      </c>
      <c r="G290">
        <v>6423</v>
      </c>
    </row>
    <row r="291" spans="1:7">
      <c r="A291" t="s">
        <v>349</v>
      </c>
      <c r="B291" s="165">
        <v>41957</v>
      </c>
      <c r="C291" t="s">
        <v>352</v>
      </c>
      <c r="D291" t="s">
        <v>353</v>
      </c>
      <c r="E291">
        <v>9</v>
      </c>
      <c r="F291" s="166">
        <v>794.55555555555554</v>
      </c>
      <c r="G291">
        <v>7151</v>
      </c>
    </row>
    <row r="292" spans="1:7">
      <c r="A292" t="s">
        <v>349</v>
      </c>
      <c r="B292" s="165">
        <v>41957</v>
      </c>
      <c r="C292" t="s">
        <v>352</v>
      </c>
      <c r="D292" t="s">
        <v>353</v>
      </c>
      <c r="E292">
        <v>9</v>
      </c>
      <c r="F292" s="166">
        <v>794.55555555555554</v>
      </c>
      <c r="G292">
        <v>7151</v>
      </c>
    </row>
    <row r="293" spans="1:7">
      <c r="A293" t="s">
        <v>349</v>
      </c>
      <c r="B293" s="165">
        <v>41957</v>
      </c>
      <c r="C293" t="s">
        <v>352</v>
      </c>
      <c r="D293" t="s">
        <v>353</v>
      </c>
      <c r="E293">
        <v>9</v>
      </c>
      <c r="F293" s="166">
        <v>794.55555555555554</v>
      </c>
      <c r="G293">
        <v>7151</v>
      </c>
    </row>
    <row r="294" spans="1:7">
      <c r="A294" t="s">
        <v>349</v>
      </c>
      <c r="B294" s="165">
        <v>41957</v>
      </c>
      <c r="C294" t="s">
        <v>352</v>
      </c>
      <c r="D294" t="s">
        <v>353</v>
      </c>
      <c r="E294">
        <v>11</v>
      </c>
      <c r="F294" s="166">
        <v>782.18181818181813</v>
      </c>
      <c r="G294">
        <v>8604</v>
      </c>
    </row>
    <row r="295" spans="1:7">
      <c r="A295" t="s">
        <v>349</v>
      </c>
      <c r="B295" s="165">
        <v>41957</v>
      </c>
      <c r="C295" t="s">
        <v>352</v>
      </c>
      <c r="D295" t="s">
        <v>353</v>
      </c>
      <c r="E295">
        <v>8</v>
      </c>
      <c r="F295" s="166">
        <v>2400</v>
      </c>
      <c r="G295">
        <v>19200</v>
      </c>
    </row>
    <row r="296" spans="1:7">
      <c r="A296" t="s">
        <v>349</v>
      </c>
      <c r="B296" s="165">
        <v>41957</v>
      </c>
      <c r="C296" t="s">
        <v>356</v>
      </c>
      <c r="D296" t="s">
        <v>357</v>
      </c>
      <c r="E296">
        <v>1</v>
      </c>
      <c r="F296" s="166">
        <v>350</v>
      </c>
      <c r="G296">
        <v>350</v>
      </c>
    </row>
    <row r="297" spans="1:7">
      <c r="A297" t="s">
        <v>349</v>
      </c>
      <c r="B297" s="165">
        <v>41957</v>
      </c>
      <c r="C297" t="s">
        <v>356</v>
      </c>
      <c r="D297" t="s">
        <v>357</v>
      </c>
      <c r="E297">
        <v>1</v>
      </c>
      <c r="F297" s="166">
        <v>370</v>
      </c>
      <c r="G297">
        <v>370</v>
      </c>
    </row>
    <row r="298" spans="1:7">
      <c r="A298" t="s">
        <v>349</v>
      </c>
      <c r="B298" s="165">
        <v>41957</v>
      </c>
      <c r="C298" t="s">
        <v>356</v>
      </c>
      <c r="D298" t="s">
        <v>357</v>
      </c>
      <c r="E298">
        <v>7</v>
      </c>
      <c r="F298" s="166">
        <v>303.28571428571428</v>
      </c>
      <c r="G298">
        <v>2123</v>
      </c>
    </row>
    <row r="299" spans="1:7">
      <c r="A299" t="s">
        <v>349</v>
      </c>
      <c r="B299" s="165">
        <v>41963</v>
      </c>
      <c r="C299" t="s">
        <v>358</v>
      </c>
      <c r="D299" t="s">
        <v>359</v>
      </c>
      <c r="E299">
        <v>1</v>
      </c>
      <c r="F299" s="166">
        <v>385</v>
      </c>
      <c r="G299">
        <v>385</v>
      </c>
    </row>
    <row r="300" spans="1:7">
      <c r="A300" t="s">
        <v>349</v>
      </c>
      <c r="B300" s="165">
        <v>41963</v>
      </c>
      <c r="C300" t="s">
        <v>358</v>
      </c>
      <c r="D300" t="s">
        <v>359</v>
      </c>
      <c r="E300">
        <v>6</v>
      </c>
      <c r="F300" s="166">
        <v>485</v>
      </c>
      <c r="G300">
        <v>2910</v>
      </c>
    </row>
    <row r="301" spans="1:7">
      <c r="A301" t="s">
        <v>349</v>
      </c>
      <c r="B301" s="165">
        <v>41963</v>
      </c>
      <c r="C301" t="s">
        <v>358</v>
      </c>
      <c r="D301" t="s">
        <v>359</v>
      </c>
      <c r="E301">
        <v>5</v>
      </c>
      <c r="F301" s="166">
        <v>650</v>
      </c>
      <c r="G301">
        <v>3250</v>
      </c>
    </row>
    <row r="302" spans="1:7">
      <c r="A302" t="s">
        <v>349</v>
      </c>
      <c r="B302" s="165">
        <v>41963</v>
      </c>
      <c r="C302" t="s">
        <v>358</v>
      </c>
      <c r="D302" t="s">
        <v>359</v>
      </c>
      <c r="E302">
        <v>6</v>
      </c>
      <c r="F302" s="166">
        <v>1100</v>
      </c>
      <c r="G302">
        <v>6600</v>
      </c>
    </row>
    <row r="303" spans="1:7">
      <c r="A303" t="s">
        <v>349</v>
      </c>
      <c r="B303" s="165">
        <v>41963</v>
      </c>
      <c r="C303" t="s">
        <v>354</v>
      </c>
      <c r="D303" t="s">
        <v>355</v>
      </c>
      <c r="E303">
        <v>1</v>
      </c>
      <c r="F303" s="166">
        <v>500</v>
      </c>
      <c r="G303">
        <v>500</v>
      </c>
    </row>
    <row r="304" spans="1:7">
      <c r="A304" t="s">
        <v>349</v>
      </c>
      <c r="B304" s="165">
        <v>41963</v>
      </c>
      <c r="C304" t="s">
        <v>354</v>
      </c>
      <c r="D304" t="s">
        <v>355</v>
      </c>
      <c r="E304">
        <v>2</v>
      </c>
      <c r="F304" s="166">
        <v>650</v>
      </c>
      <c r="G304">
        <v>1300</v>
      </c>
    </row>
    <row r="305" spans="1:7">
      <c r="A305" t="s">
        <v>349</v>
      </c>
      <c r="B305" s="165">
        <v>41963</v>
      </c>
      <c r="C305" t="s">
        <v>354</v>
      </c>
      <c r="D305" t="s">
        <v>355</v>
      </c>
      <c r="E305">
        <v>6</v>
      </c>
      <c r="F305" s="166">
        <v>390</v>
      </c>
      <c r="G305">
        <v>2340</v>
      </c>
    </row>
    <row r="306" spans="1:7">
      <c r="A306" t="s">
        <v>349</v>
      </c>
      <c r="B306" s="165">
        <v>41963</v>
      </c>
      <c r="C306" t="s">
        <v>354</v>
      </c>
      <c r="D306" t="s">
        <v>355</v>
      </c>
      <c r="E306">
        <v>7</v>
      </c>
      <c r="F306" s="166">
        <v>482.71428571428572</v>
      </c>
      <c r="G306">
        <v>3379</v>
      </c>
    </row>
    <row r="307" spans="1:7">
      <c r="A307" t="s">
        <v>349</v>
      </c>
      <c r="B307" s="165">
        <v>41963</v>
      </c>
      <c r="C307" t="s">
        <v>354</v>
      </c>
      <c r="D307" t="s">
        <v>355</v>
      </c>
      <c r="E307">
        <v>16</v>
      </c>
      <c r="F307" s="166">
        <v>385</v>
      </c>
      <c r="G307">
        <v>6160</v>
      </c>
    </row>
    <row r="308" spans="1:7">
      <c r="A308" t="s">
        <v>349</v>
      </c>
      <c r="B308" s="165">
        <v>41963</v>
      </c>
      <c r="C308" t="s">
        <v>354</v>
      </c>
      <c r="D308" t="s">
        <v>355</v>
      </c>
      <c r="E308">
        <v>16</v>
      </c>
      <c r="F308" s="166">
        <v>466</v>
      </c>
      <c r="G308">
        <v>7456</v>
      </c>
    </row>
    <row r="309" spans="1:7">
      <c r="A309" t="s">
        <v>349</v>
      </c>
      <c r="B309" s="165">
        <v>41963</v>
      </c>
      <c r="C309" t="s">
        <v>352</v>
      </c>
      <c r="D309" t="s">
        <v>353</v>
      </c>
      <c r="E309">
        <v>4</v>
      </c>
      <c r="F309" s="166">
        <v>999</v>
      </c>
      <c r="G309">
        <v>3996</v>
      </c>
    </row>
    <row r="310" spans="1:7">
      <c r="A310" t="s">
        <v>349</v>
      </c>
      <c r="B310" s="165">
        <v>41963</v>
      </c>
      <c r="C310" t="s">
        <v>352</v>
      </c>
      <c r="D310" t="s">
        <v>353</v>
      </c>
      <c r="E310">
        <v>11</v>
      </c>
      <c r="F310" s="166">
        <v>390</v>
      </c>
      <c r="G310">
        <v>4290</v>
      </c>
    </row>
    <row r="311" spans="1:7">
      <c r="A311" t="s">
        <v>349</v>
      </c>
      <c r="B311" s="165">
        <v>41963</v>
      </c>
      <c r="C311" t="s">
        <v>352</v>
      </c>
      <c r="D311" t="s">
        <v>353</v>
      </c>
      <c r="E311">
        <v>62</v>
      </c>
      <c r="F311" s="166">
        <v>1250</v>
      </c>
      <c r="G311">
        <v>77500</v>
      </c>
    </row>
    <row r="312" spans="1:7">
      <c r="A312" t="s">
        <v>349</v>
      </c>
      <c r="B312" s="165">
        <v>41963</v>
      </c>
      <c r="C312" t="s">
        <v>356</v>
      </c>
      <c r="D312" t="s">
        <v>357</v>
      </c>
      <c r="E312">
        <v>1</v>
      </c>
      <c r="F312" s="166">
        <v>237</v>
      </c>
      <c r="G312">
        <v>237</v>
      </c>
    </row>
    <row r="313" spans="1:7">
      <c r="A313" t="s">
        <v>349</v>
      </c>
      <c r="B313" s="165">
        <v>41963</v>
      </c>
      <c r="C313" t="s">
        <v>356</v>
      </c>
      <c r="D313" t="s">
        <v>357</v>
      </c>
      <c r="E313">
        <v>7</v>
      </c>
      <c r="F313" s="166">
        <v>287</v>
      </c>
      <c r="G313">
        <v>2009</v>
      </c>
    </row>
    <row r="314" spans="1:7">
      <c r="A314" t="s">
        <v>349</v>
      </c>
      <c r="B314" s="165">
        <v>41963</v>
      </c>
      <c r="C314" t="s">
        <v>356</v>
      </c>
      <c r="D314" t="s">
        <v>357</v>
      </c>
      <c r="E314">
        <v>29</v>
      </c>
      <c r="F314" s="166">
        <v>155</v>
      </c>
      <c r="G314">
        <v>4495</v>
      </c>
    </row>
    <row r="315" spans="1:7">
      <c r="A315" t="s">
        <v>349</v>
      </c>
      <c r="B315" s="165">
        <v>41963</v>
      </c>
      <c r="C315" t="s">
        <v>350</v>
      </c>
      <c r="D315" t="s">
        <v>351</v>
      </c>
      <c r="E315">
        <v>1</v>
      </c>
      <c r="F315" s="166">
        <v>385</v>
      </c>
      <c r="G315">
        <v>385</v>
      </c>
    </row>
    <row r="316" spans="1:7">
      <c r="A316" t="s">
        <v>349</v>
      </c>
      <c r="B316" s="165">
        <v>41963</v>
      </c>
      <c r="C316" t="s">
        <v>350</v>
      </c>
      <c r="D316" t="s">
        <v>351</v>
      </c>
      <c r="E316">
        <v>2</v>
      </c>
      <c r="F316" s="166">
        <v>510</v>
      </c>
      <c r="G316">
        <v>1020</v>
      </c>
    </row>
    <row r="317" spans="1:7">
      <c r="A317" t="s">
        <v>349</v>
      </c>
      <c r="B317" s="165">
        <v>41963</v>
      </c>
      <c r="C317" t="s">
        <v>350</v>
      </c>
      <c r="D317" t="s">
        <v>351</v>
      </c>
      <c r="E317">
        <v>2</v>
      </c>
      <c r="F317" s="166">
        <v>552</v>
      </c>
      <c r="G317">
        <v>1104</v>
      </c>
    </row>
    <row r="318" spans="1:7">
      <c r="A318" t="s">
        <v>349</v>
      </c>
      <c r="B318" s="165">
        <v>41963</v>
      </c>
      <c r="C318" t="s">
        <v>350</v>
      </c>
      <c r="D318" t="s">
        <v>351</v>
      </c>
      <c r="E318">
        <v>5</v>
      </c>
      <c r="F318" s="166">
        <v>300</v>
      </c>
      <c r="G318">
        <v>1500</v>
      </c>
    </row>
    <row r="319" spans="1:7">
      <c r="A319" t="s">
        <v>349</v>
      </c>
      <c r="B319" s="165">
        <v>41963</v>
      </c>
      <c r="C319" t="s">
        <v>350</v>
      </c>
      <c r="D319" t="s">
        <v>351</v>
      </c>
      <c r="E319">
        <v>2</v>
      </c>
      <c r="F319" s="166">
        <v>916.5</v>
      </c>
      <c r="G319">
        <v>1833</v>
      </c>
    </row>
    <row r="320" spans="1:7">
      <c r="A320" t="s">
        <v>349</v>
      </c>
      <c r="B320" s="165">
        <v>41963</v>
      </c>
      <c r="C320" t="s">
        <v>350</v>
      </c>
      <c r="D320" t="s">
        <v>351</v>
      </c>
      <c r="E320">
        <v>16</v>
      </c>
      <c r="F320" s="166">
        <v>217.5</v>
      </c>
      <c r="G320">
        <v>3480</v>
      </c>
    </row>
    <row r="321" spans="1:7">
      <c r="A321" t="s">
        <v>349</v>
      </c>
      <c r="B321" s="165">
        <v>41963</v>
      </c>
      <c r="C321" t="s">
        <v>350</v>
      </c>
      <c r="D321" t="s">
        <v>351</v>
      </c>
      <c r="E321">
        <v>13</v>
      </c>
      <c r="F321" s="166">
        <v>366.69230769230768</v>
      </c>
      <c r="G321">
        <v>4767</v>
      </c>
    </row>
    <row r="322" spans="1:7">
      <c r="A322" t="s">
        <v>349</v>
      </c>
      <c r="B322" s="165">
        <v>41963</v>
      </c>
      <c r="C322" t="s">
        <v>350</v>
      </c>
      <c r="D322" t="s">
        <v>351</v>
      </c>
      <c r="E322">
        <v>11</v>
      </c>
      <c r="F322" s="166">
        <v>654.5454545454545</v>
      </c>
      <c r="G322">
        <v>7200</v>
      </c>
    </row>
    <row r="323" spans="1:7">
      <c r="A323" t="s">
        <v>349</v>
      </c>
      <c r="B323" s="165">
        <v>41963</v>
      </c>
      <c r="C323" t="s">
        <v>350</v>
      </c>
      <c r="D323" t="s">
        <v>351</v>
      </c>
      <c r="E323">
        <v>13</v>
      </c>
      <c r="F323" s="166">
        <v>714</v>
      </c>
      <c r="G323">
        <v>9282</v>
      </c>
    </row>
    <row r="324" spans="1:7">
      <c r="A324" t="s">
        <v>349</v>
      </c>
      <c r="B324" s="165">
        <v>41963</v>
      </c>
      <c r="C324" t="s">
        <v>350</v>
      </c>
      <c r="D324" t="s">
        <v>351</v>
      </c>
      <c r="E324">
        <v>17</v>
      </c>
      <c r="F324" s="166">
        <v>733.35294117647061</v>
      </c>
      <c r="G324">
        <v>12467</v>
      </c>
    </row>
    <row r="325" spans="1:7">
      <c r="A325" t="s">
        <v>349</v>
      </c>
      <c r="B325" s="165">
        <v>41971</v>
      </c>
      <c r="C325" t="s">
        <v>358</v>
      </c>
      <c r="D325" t="s">
        <v>359</v>
      </c>
      <c r="E325">
        <v>2</v>
      </c>
      <c r="F325" s="166">
        <v>448</v>
      </c>
      <c r="G325">
        <v>896</v>
      </c>
    </row>
    <row r="326" spans="1:7">
      <c r="A326" t="s">
        <v>349</v>
      </c>
      <c r="B326" s="165">
        <v>41971</v>
      </c>
      <c r="C326" t="s">
        <v>358</v>
      </c>
      <c r="D326" t="s">
        <v>359</v>
      </c>
      <c r="E326">
        <v>11</v>
      </c>
      <c r="F326" s="166">
        <v>680</v>
      </c>
      <c r="G326">
        <v>7480</v>
      </c>
    </row>
    <row r="327" spans="1:7">
      <c r="A327" t="s">
        <v>349</v>
      </c>
      <c r="B327" s="165">
        <v>41971</v>
      </c>
      <c r="C327" t="s">
        <v>356</v>
      </c>
      <c r="D327" t="s">
        <v>357</v>
      </c>
      <c r="E327">
        <v>1</v>
      </c>
      <c r="F327" s="166">
        <v>420</v>
      </c>
      <c r="G327">
        <v>420</v>
      </c>
    </row>
    <row r="328" spans="1:7">
      <c r="A328" t="s">
        <v>349</v>
      </c>
      <c r="B328" s="165">
        <v>41971</v>
      </c>
      <c r="C328" t="s">
        <v>356</v>
      </c>
      <c r="D328" t="s">
        <v>357</v>
      </c>
      <c r="E328">
        <v>5</v>
      </c>
      <c r="F328" s="166">
        <v>175</v>
      </c>
      <c r="G328">
        <v>875</v>
      </c>
    </row>
    <row r="329" spans="1:7">
      <c r="A329" t="s">
        <v>349</v>
      </c>
      <c r="B329" s="165">
        <v>41971</v>
      </c>
      <c r="C329" t="s">
        <v>350</v>
      </c>
      <c r="D329" t="s">
        <v>351</v>
      </c>
      <c r="E329">
        <v>1</v>
      </c>
      <c r="F329" s="166">
        <v>685</v>
      </c>
      <c r="G329">
        <v>685</v>
      </c>
    </row>
    <row r="330" spans="1:7">
      <c r="A330" t="s">
        <v>349</v>
      </c>
      <c r="B330" s="165">
        <v>41971</v>
      </c>
      <c r="C330" t="s">
        <v>350</v>
      </c>
      <c r="D330" t="s">
        <v>351</v>
      </c>
      <c r="E330">
        <v>8</v>
      </c>
      <c r="F330" s="166">
        <v>306</v>
      </c>
      <c r="G330">
        <v>2448</v>
      </c>
    </row>
    <row r="331" spans="1:7">
      <c r="A331" t="s">
        <v>349</v>
      </c>
      <c r="B331" s="165">
        <v>41971</v>
      </c>
      <c r="C331" t="s">
        <v>350</v>
      </c>
      <c r="D331" t="s">
        <v>351</v>
      </c>
      <c r="E331">
        <v>9</v>
      </c>
      <c r="F331" s="166">
        <v>448</v>
      </c>
      <c r="G331">
        <v>4032</v>
      </c>
    </row>
    <row r="332" spans="1:7">
      <c r="A332" t="s">
        <v>349</v>
      </c>
      <c r="B332" s="165">
        <v>41977</v>
      </c>
      <c r="C332" t="s">
        <v>354</v>
      </c>
      <c r="D332" t="s">
        <v>355</v>
      </c>
      <c r="E332">
        <v>9</v>
      </c>
      <c r="F332" s="166">
        <v>1144.4444444444443</v>
      </c>
      <c r="G332">
        <v>10300</v>
      </c>
    </row>
    <row r="333" spans="1:7">
      <c r="A333" t="s">
        <v>349</v>
      </c>
      <c r="B333" s="165">
        <v>41977</v>
      </c>
      <c r="C333" t="s">
        <v>352</v>
      </c>
      <c r="D333" t="s">
        <v>353</v>
      </c>
      <c r="E333">
        <v>9</v>
      </c>
      <c r="F333" s="166">
        <v>794.55555555555554</v>
      </c>
      <c r="G333">
        <v>7151</v>
      </c>
    </row>
    <row r="334" spans="1:7">
      <c r="A334" t="s">
        <v>349</v>
      </c>
      <c r="B334" s="165">
        <v>41977</v>
      </c>
      <c r="C334" t="s">
        <v>360</v>
      </c>
      <c r="D334" t="s">
        <v>361</v>
      </c>
      <c r="E334">
        <v>5</v>
      </c>
      <c r="F334" s="166">
        <v>975</v>
      </c>
      <c r="G334">
        <v>4875</v>
      </c>
    </row>
    <row r="335" spans="1:7">
      <c r="A335" t="s">
        <v>349</v>
      </c>
      <c r="B335" s="165">
        <v>41977</v>
      </c>
      <c r="C335" t="s">
        <v>356</v>
      </c>
      <c r="D335" t="s">
        <v>357</v>
      </c>
      <c r="E335">
        <v>2</v>
      </c>
      <c r="F335" s="166">
        <v>132.5</v>
      </c>
      <c r="G335">
        <v>265</v>
      </c>
    </row>
    <row r="336" spans="1:7">
      <c r="A336" t="s">
        <v>349</v>
      </c>
      <c r="B336" s="165">
        <v>41977</v>
      </c>
      <c r="C336" t="s">
        <v>356</v>
      </c>
      <c r="D336" t="s">
        <v>357</v>
      </c>
      <c r="E336">
        <v>4</v>
      </c>
      <c r="F336" s="166">
        <v>375</v>
      </c>
      <c r="G336">
        <v>1500</v>
      </c>
    </row>
    <row r="337" spans="1:7">
      <c r="A337" t="s">
        <v>349</v>
      </c>
      <c r="B337" s="165">
        <v>41977</v>
      </c>
      <c r="C337" t="s">
        <v>356</v>
      </c>
      <c r="D337" t="s">
        <v>357</v>
      </c>
      <c r="E337">
        <v>6</v>
      </c>
      <c r="F337" s="166">
        <v>400.16666666666669</v>
      </c>
      <c r="G337">
        <v>2401</v>
      </c>
    </row>
    <row r="338" spans="1:7">
      <c r="A338" t="s">
        <v>349</v>
      </c>
      <c r="B338" s="165">
        <v>41977</v>
      </c>
      <c r="C338" t="s">
        <v>350</v>
      </c>
      <c r="D338" t="s">
        <v>351</v>
      </c>
      <c r="E338">
        <v>4</v>
      </c>
      <c r="F338" s="166">
        <v>296</v>
      </c>
      <c r="G338">
        <v>1184</v>
      </c>
    </row>
    <row r="339" spans="1:7">
      <c r="A339" t="s">
        <v>349</v>
      </c>
      <c r="B339" s="165">
        <v>41977</v>
      </c>
      <c r="C339" t="s">
        <v>350</v>
      </c>
      <c r="D339" t="s">
        <v>351</v>
      </c>
      <c r="E339">
        <v>14</v>
      </c>
      <c r="F339" s="166">
        <v>450</v>
      </c>
      <c r="G339">
        <v>6300</v>
      </c>
    </row>
    <row r="340" spans="1:7">
      <c r="A340" t="s">
        <v>349</v>
      </c>
      <c r="B340" s="165">
        <v>41984</v>
      </c>
      <c r="C340" t="s">
        <v>356</v>
      </c>
      <c r="D340" t="s">
        <v>357</v>
      </c>
      <c r="E340">
        <v>3</v>
      </c>
      <c r="F340" s="166">
        <v>176.33333333333334</v>
      </c>
      <c r="G340">
        <v>529</v>
      </c>
    </row>
    <row r="341" spans="1:7">
      <c r="A341" t="s">
        <v>349</v>
      </c>
      <c r="B341" s="165">
        <v>41984</v>
      </c>
      <c r="C341" t="s">
        <v>356</v>
      </c>
      <c r="D341" t="s">
        <v>357</v>
      </c>
      <c r="E341">
        <v>4</v>
      </c>
      <c r="F341" s="166">
        <v>238.75</v>
      </c>
      <c r="G341">
        <v>955</v>
      </c>
    </row>
    <row r="342" spans="1:7">
      <c r="A342" t="s">
        <v>349</v>
      </c>
      <c r="B342" s="165">
        <v>41984</v>
      </c>
      <c r="C342" t="s">
        <v>350</v>
      </c>
      <c r="D342" t="s">
        <v>351</v>
      </c>
      <c r="E342">
        <v>4</v>
      </c>
      <c r="F342" s="166">
        <v>675</v>
      </c>
      <c r="G342">
        <v>2700</v>
      </c>
    </row>
    <row r="343" spans="1:7">
      <c r="A343" t="s">
        <v>349</v>
      </c>
      <c r="B343" s="165">
        <v>41984</v>
      </c>
      <c r="C343" t="s">
        <v>350</v>
      </c>
      <c r="D343" t="s">
        <v>351</v>
      </c>
      <c r="E343">
        <v>6</v>
      </c>
      <c r="F343" s="166">
        <v>630</v>
      </c>
      <c r="G343">
        <v>3780</v>
      </c>
    </row>
    <row r="344" spans="1:7">
      <c r="A344" t="s">
        <v>349</v>
      </c>
      <c r="B344" s="165">
        <v>41991</v>
      </c>
      <c r="C344" t="s">
        <v>358</v>
      </c>
      <c r="D344" t="s">
        <v>359</v>
      </c>
      <c r="E344">
        <v>7</v>
      </c>
      <c r="F344" s="166">
        <v>575</v>
      </c>
      <c r="G344">
        <v>4025</v>
      </c>
    </row>
    <row r="345" spans="1:7">
      <c r="A345" t="s">
        <v>349</v>
      </c>
      <c r="B345" s="165">
        <v>41991</v>
      </c>
      <c r="C345" t="s">
        <v>358</v>
      </c>
      <c r="D345" t="s">
        <v>359</v>
      </c>
      <c r="E345">
        <v>4</v>
      </c>
      <c r="F345" s="166">
        <v>1730</v>
      </c>
      <c r="G345">
        <v>6920</v>
      </c>
    </row>
    <row r="346" spans="1:7">
      <c r="A346" t="s">
        <v>349</v>
      </c>
      <c r="B346" s="165">
        <v>41991</v>
      </c>
      <c r="C346" t="s">
        <v>354</v>
      </c>
      <c r="D346" t="s">
        <v>355</v>
      </c>
      <c r="E346">
        <v>3</v>
      </c>
      <c r="F346" s="166">
        <v>815</v>
      </c>
      <c r="G346">
        <v>2445</v>
      </c>
    </row>
    <row r="347" spans="1:7">
      <c r="A347" t="s">
        <v>349</v>
      </c>
      <c r="B347" s="165">
        <v>41991</v>
      </c>
      <c r="C347" t="s">
        <v>354</v>
      </c>
      <c r="D347" t="s">
        <v>355</v>
      </c>
      <c r="E347">
        <v>6</v>
      </c>
      <c r="F347" s="166">
        <v>839.16666666666663</v>
      </c>
      <c r="G347">
        <v>5035</v>
      </c>
    </row>
    <row r="348" spans="1:7">
      <c r="A348" t="s">
        <v>349</v>
      </c>
      <c r="B348" s="165">
        <v>41991</v>
      </c>
      <c r="C348" t="s">
        <v>352</v>
      </c>
      <c r="D348" t="s">
        <v>353</v>
      </c>
      <c r="E348">
        <v>2</v>
      </c>
      <c r="F348" s="166">
        <v>575</v>
      </c>
      <c r="G348">
        <v>1150</v>
      </c>
    </row>
    <row r="349" spans="1:7">
      <c r="A349" t="s">
        <v>349</v>
      </c>
      <c r="B349" s="165">
        <v>41991</v>
      </c>
      <c r="C349" t="s">
        <v>356</v>
      </c>
      <c r="D349" t="s">
        <v>357</v>
      </c>
      <c r="E349">
        <v>3</v>
      </c>
      <c r="F349" s="166">
        <v>275.33333333333331</v>
      </c>
      <c r="G349">
        <v>826</v>
      </c>
    </row>
    <row r="350" spans="1:7">
      <c r="A350" t="s">
        <v>349</v>
      </c>
      <c r="B350" s="165">
        <v>41991</v>
      </c>
      <c r="C350" t="s">
        <v>350</v>
      </c>
      <c r="D350" t="s">
        <v>351</v>
      </c>
      <c r="E350">
        <v>4</v>
      </c>
      <c r="F350" s="166">
        <v>1460.5</v>
      </c>
      <c r="G350">
        <v>5842</v>
      </c>
    </row>
    <row r="351" spans="1:7">
      <c r="A351" t="s">
        <v>349</v>
      </c>
      <c r="B351" s="165">
        <v>41991</v>
      </c>
      <c r="C351" t="s">
        <v>350</v>
      </c>
      <c r="D351" t="s">
        <v>351</v>
      </c>
      <c r="E351">
        <v>31</v>
      </c>
      <c r="F351" s="166">
        <v>321.25806451612902</v>
      </c>
      <c r="G351">
        <v>9959</v>
      </c>
    </row>
    <row r="352" spans="1:7">
      <c r="A352" t="s">
        <v>349</v>
      </c>
      <c r="B352" s="165">
        <v>41991</v>
      </c>
      <c r="C352" t="s">
        <v>350</v>
      </c>
      <c r="D352" t="s">
        <v>351</v>
      </c>
      <c r="E352">
        <v>18</v>
      </c>
      <c r="F352" s="166">
        <v>613.22222222222217</v>
      </c>
      <c r="G352">
        <v>11038</v>
      </c>
    </row>
    <row r="353" spans="1:7">
      <c r="A353" t="s">
        <v>349</v>
      </c>
      <c r="B353" s="165">
        <v>41991</v>
      </c>
      <c r="C353" t="s">
        <v>350</v>
      </c>
      <c r="D353" t="s">
        <v>351</v>
      </c>
      <c r="E353">
        <v>37</v>
      </c>
      <c r="F353" s="166">
        <v>300</v>
      </c>
      <c r="G353">
        <v>11100</v>
      </c>
    </row>
    <row r="354" spans="1:7">
      <c r="A354" t="s">
        <v>349</v>
      </c>
      <c r="B354" s="165">
        <v>41999</v>
      </c>
      <c r="C354" t="s">
        <v>358</v>
      </c>
      <c r="D354" t="s">
        <v>359</v>
      </c>
      <c r="E354">
        <v>1</v>
      </c>
      <c r="F354" s="166">
        <v>537</v>
      </c>
      <c r="G354">
        <v>537</v>
      </c>
    </row>
    <row r="355" spans="1:7">
      <c r="A355" t="s">
        <v>349</v>
      </c>
      <c r="B355" s="165">
        <v>41999</v>
      </c>
      <c r="C355" t="s">
        <v>358</v>
      </c>
      <c r="D355" t="s">
        <v>359</v>
      </c>
      <c r="E355">
        <v>1</v>
      </c>
      <c r="F355" s="166">
        <v>724</v>
      </c>
      <c r="G355">
        <v>724</v>
      </c>
    </row>
    <row r="356" spans="1:7">
      <c r="A356" t="s">
        <v>349</v>
      </c>
      <c r="B356" s="165">
        <v>41999</v>
      </c>
      <c r="C356" t="s">
        <v>358</v>
      </c>
      <c r="D356" t="s">
        <v>359</v>
      </c>
      <c r="E356">
        <v>3</v>
      </c>
      <c r="F356" s="166">
        <v>418.33333333333331</v>
      </c>
      <c r="G356">
        <v>1255</v>
      </c>
    </row>
    <row r="357" spans="1:7">
      <c r="A357" t="s">
        <v>349</v>
      </c>
      <c r="B357" s="165">
        <v>41999</v>
      </c>
      <c r="C357" t="s">
        <v>354</v>
      </c>
      <c r="D357" t="s">
        <v>355</v>
      </c>
      <c r="E357">
        <v>3</v>
      </c>
      <c r="F357" s="166">
        <v>700</v>
      </c>
      <c r="G357">
        <v>2100</v>
      </c>
    </row>
    <row r="358" spans="1:7">
      <c r="A358" t="s">
        <v>349</v>
      </c>
      <c r="B358" s="165">
        <v>41999</v>
      </c>
      <c r="C358" t="s">
        <v>354</v>
      </c>
      <c r="D358" t="s">
        <v>355</v>
      </c>
      <c r="E358">
        <v>4</v>
      </c>
      <c r="F358" s="166">
        <v>642</v>
      </c>
      <c r="G358">
        <v>2568</v>
      </c>
    </row>
    <row r="359" spans="1:7">
      <c r="A359" t="s">
        <v>349</v>
      </c>
      <c r="B359" s="165">
        <v>41999</v>
      </c>
      <c r="C359" t="s">
        <v>354</v>
      </c>
      <c r="D359" t="s">
        <v>355</v>
      </c>
      <c r="E359">
        <v>6</v>
      </c>
      <c r="F359" s="166">
        <v>528</v>
      </c>
      <c r="G359">
        <v>3168</v>
      </c>
    </row>
    <row r="360" spans="1:7">
      <c r="A360" t="s">
        <v>349</v>
      </c>
      <c r="B360" s="165">
        <v>41999</v>
      </c>
      <c r="C360" t="s">
        <v>354</v>
      </c>
      <c r="D360" t="s">
        <v>355</v>
      </c>
      <c r="E360">
        <v>13</v>
      </c>
      <c r="F360" s="166">
        <v>666.46153846153845</v>
      </c>
      <c r="G360">
        <v>8664</v>
      </c>
    </row>
    <row r="361" spans="1:7">
      <c r="A361" t="s">
        <v>349</v>
      </c>
      <c r="B361" s="165">
        <v>41999</v>
      </c>
      <c r="C361" t="s">
        <v>356</v>
      </c>
      <c r="D361" t="s">
        <v>357</v>
      </c>
      <c r="E361">
        <v>2</v>
      </c>
      <c r="F361" s="166">
        <v>585</v>
      </c>
      <c r="G361">
        <v>1170</v>
      </c>
    </row>
    <row r="362" spans="1:7">
      <c r="A362" t="s">
        <v>349</v>
      </c>
      <c r="B362" s="165">
        <v>41999</v>
      </c>
      <c r="C362" t="s">
        <v>356</v>
      </c>
      <c r="D362" t="s">
        <v>357</v>
      </c>
      <c r="E362">
        <v>15</v>
      </c>
      <c r="F362" s="166">
        <v>304.39999999999998</v>
      </c>
      <c r="G362">
        <v>4566</v>
      </c>
    </row>
    <row r="363" spans="1:7">
      <c r="A363" t="s">
        <v>349</v>
      </c>
      <c r="B363" s="165">
        <v>41999</v>
      </c>
      <c r="C363" t="s">
        <v>356</v>
      </c>
      <c r="D363" t="s">
        <v>357</v>
      </c>
      <c r="E363">
        <v>43</v>
      </c>
      <c r="F363" s="166">
        <v>154</v>
      </c>
      <c r="G363">
        <v>6622</v>
      </c>
    </row>
    <row r="364" spans="1:7">
      <c r="A364" t="s">
        <v>349</v>
      </c>
      <c r="B364" s="165">
        <v>41999</v>
      </c>
      <c r="C364" t="s">
        <v>356</v>
      </c>
      <c r="D364" t="s">
        <v>357</v>
      </c>
      <c r="E364">
        <v>18</v>
      </c>
      <c r="F364" s="166">
        <v>389.27777777777777</v>
      </c>
      <c r="G364">
        <v>7007</v>
      </c>
    </row>
    <row r="365" spans="1:7">
      <c r="A365" t="s">
        <v>349</v>
      </c>
      <c r="B365" s="165">
        <v>41999</v>
      </c>
      <c r="C365" t="s">
        <v>350</v>
      </c>
      <c r="D365" t="s">
        <v>351</v>
      </c>
      <c r="E365">
        <v>2</v>
      </c>
      <c r="F365" s="166">
        <v>357</v>
      </c>
      <c r="G365">
        <v>714</v>
      </c>
    </row>
    <row r="366" spans="1:7">
      <c r="A366" t="s">
        <v>349</v>
      </c>
      <c r="B366" s="165">
        <v>41999</v>
      </c>
      <c r="C366" t="s">
        <v>350</v>
      </c>
      <c r="D366" t="s">
        <v>351</v>
      </c>
      <c r="E366">
        <v>4</v>
      </c>
      <c r="F366" s="166">
        <v>270</v>
      </c>
      <c r="G366">
        <v>1080</v>
      </c>
    </row>
    <row r="367" spans="1:7">
      <c r="A367" t="s">
        <v>349</v>
      </c>
      <c r="B367" s="165">
        <v>41999</v>
      </c>
      <c r="C367" t="s">
        <v>350</v>
      </c>
      <c r="D367" t="s">
        <v>351</v>
      </c>
      <c r="E367">
        <v>23</v>
      </c>
      <c r="F367" s="166">
        <v>532.52173913043475</v>
      </c>
      <c r="G367">
        <v>12248</v>
      </c>
    </row>
    <row r="368" spans="1:7">
      <c r="A368" t="s">
        <v>349</v>
      </c>
      <c r="B368" s="165">
        <v>41999</v>
      </c>
      <c r="C368" t="s">
        <v>350</v>
      </c>
      <c r="D368" t="s">
        <v>351</v>
      </c>
      <c r="E368">
        <v>39</v>
      </c>
      <c r="F368" s="166">
        <v>381.89743589743591</v>
      </c>
      <c r="G368">
        <v>14894</v>
      </c>
    </row>
    <row r="369" spans="1:7">
      <c r="A369" t="s">
        <v>349</v>
      </c>
      <c r="B369" s="165">
        <v>42004</v>
      </c>
      <c r="C369" t="s">
        <v>358</v>
      </c>
      <c r="D369" t="s">
        <v>359</v>
      </c>
      <c r="E369">
        <v>2</v>
      </c>
      <c r="F369" s="166">
        <v>537</v>
      </c>
      <c r="G369">
        <v>1074</v>
      </c>
    </row>
    <row r="370" spans="1:7">
      <c r="A370" t="s">
        <v>349</v>
      </c>
      <c r="B370" s="165">
        <v>42004</v>
      </c>
      <c r="C370" t="s">
        <v>358</v>
      </c>
      <c r="D370" t="s">
        <v>359</v>
      </c>
      <c r="E370">
        <v>4</v>
      </c>
      <c r="F370" s="166">
        <v>1190</v>
      </c>
      <c r="G370">
        <v>4760</v>
      </c>
    </row>
    <row r="371" spans="1:7">
      <c r="A371" t="s">
        <v>349</v>
      </c>
      <c r="B371" s="165">
        <v>42004</v>
      </c>
      <c r="C371" t="s">
        <v>358</v>
      </c>
      <c r="D371" t="s">
        <v>359</v>
      </c>
      <c r="E371">
        <v>16</v>
      </c>
      <c r="F371" s="166">
        <v>485</v>
      </c>
      <c r="G371">
        <v>7760</v>
      </c>
    </row>
    <row r="372" spans="1:7">
      <c r="A372" t="s">
        <v>349</v>
      </c>
      <c r="B372" s="165">
        <v>42004</v>
      </c>
      <c r="C372" t="s">
        <v>358</v>
      </c>
      <c r="D372" t="s">
        <v>359</v>
      </c>
      <c r="E372">
        <v>14</v>
      </c>
      <c r="F372" s="166">
        <v>750.21428571428567</v>
      </c>
      <c r="G372">
        <v>10503</v>
      </c>
    </row>
    <row r="373" spans="1:7">
      <c r="A373" t="s">
        <v>349</v>
      </c>
      <c r="B373" s="165">
        <v>42004</v>
      </c>
      <c r="C373" t="s">
        <v>354</v>
      </c>
      <c r="D373" t="s">
        <v>355</v>
      </c>
      <c r="E373">
        <v>2</v>
      </c>
      <c r="F373" s="166">
        <v>596</v>
      </c>
      <c r="G373">
        <v>1192</v>
      </c>
    </row>
    <row r="374" spans="1:7">
      <c r="A374" t="s">
        <v>349</v>
      </c>
      <c r="B374" s="165">
        <v>42004</v>
      </c>
      <c r="C374" t="s">
        <v>354</v>
      </c>
      <c r="D374" t="s">
        <v>355</v>
      </c>
      <c r="E374">
        <v>3</v>
      </c>
      <c r="F374" s="166">
        <v>798</v>
      </c>
      <c r="G374">
        <v>2394</v>
      </c>
    </row>
    <row r="375" spans="1:7">
      <c r="A375" t="s">
        <v>349</v>
      </c>
      <c r="B375" s="165">
        <v>42004</v>
      </c>
      <c r="C375" t="s">
        <v>354</v>
      </c>
      <c r="D375" t="s">
        <v>355</v>
      </c>
      <c r="E375">
        <v>4</v>
      </c>
      <c r="F375" s="166">
        <v>910</v>
      </c>
      <c r="G375">
        <v>3640</v>
      </c>
    </row>
    <row r="376" spans="1:7">
      <c r="A376" t="s">
        <v>349</v>
      </c>
      <c r="B376" s="165">
        <v>42004</v>
      </c>
      <c r="C376" t="s">
        <v>354</v>
      </c>
      <c r="D376" t="s">
        <v>355</v>
      </c>
      <c r="E376">
        <v>6</v>
      </c>
      <c r="F376" s="166">
        <v>620</v>
      </c>
      <c r="G376">
        <v>3720</v>
      </c>
    </row>
    <row r="377" spans="1:7">
      <c r="A377" t="s">
        <v>349</v>
      </c>
      <c r="B377" s="165">
        <v>42004</v>
      </c>
      <c r="C377" t="s">
        <v>354</v>
      </c>
      <c r="D377" t="s">
        <v>355</v>
      </c>
      <c r="E377">
        <v>9</v>
      </c>
      <c r="F377" s="166">
        <v>486</v>
      </c>
      <c r="G377">
        <v>4374</v>
      </c>
    </row>
    <row r="378" spans="1:7">
      <c r="A378" t="s">
        <v>349</v>
      </c>
      <c r="B378" s="165">
        <v>42004</v>
      </c>
      <c r="C378" t="s">
        <v>354</v>
      </c>
      <c r="D378" t="s">
        <v>355</v>
      </c>
      <c r="E378">
        <v>5</v>
      </c>
      <c r="F378" s="166">
        <v>1200</v>
      </c>
      <c r="G378">
        <v>6000</v>
      </c>
    </row>
    <row r="379" spans="1:7">
      <c r="A379" t="s">
        <v>349</v>
      </c>
      <c r="B379" s="165">
        <v>42004</v>
      </c>
      <c r="C379" t="s">
        <v>354</v>
      </c>
      <c r="D379" t="s">
        <v>355</v>
      </c>
      <c r="E379">
        <v>7</v>
      </c>
      <c r="F379" s="166">
        <v>865</v>
      </c>
      <c r="G379">
        <v>6055</v>
      </c>
    </row>
    <row r="380" spans="1:7">
      <c r="A380" t="s">
        <v>349</v>
      </c>
      <c r="B380" s="165">
        <v>42004</v>
      </c>
      <c r="C380" t="s">
        <v>354</v>
      </c>
      <c r="D380" t="s">
        <v>355</v>
      </c>
      <c r="E380">
        <v>4</v>
      </c>
      <c r="F380" s="166">
        <v>1547</v>
      </c>
      <c r="G380">
        <v>6188</v>
      </c>
    </row>
    <row r="381" spans="1:7">
      <c r="A381" t="s">
        <v>349</v>
      </c>
      <c r="B381" s="165">
        <v>42004</v>
      </c>
      <c r="C381" t="s">
        <v>354</v>
      </c>
      <c r="D381" t="s">
        <v>355</v>
      </c>
      <c r="E381">
        <v>7</v>
      </c>
      <c r="F381" s="166">
        <v>995.71428571428567</v>
      </c>
      <c r="G381">
        <v>6970</v>
      </c>
    </row>
    <row r="382" spans="1:7">
      <c r="A382" t="s">
        <v>349</v>
      </c>
      <c r="B382" s="165">
        <v>42004</v>
      </c>
      <c r="C382" t="s">
        <v>354</v>
      </c>
      <c r="D382" t="s">
        <v>355</v>
      </c>
      <c r="E382">
        <v>9</v>
      </c>
      <c r="F382" s="166">
        <v>989</v>
      </c>
      <c r="G382">
        <v>8901</v>
      </c>
    </row>
    <row r="383" spans="1:7">
      <c r="A383" t="s">
        <v>349</v>
      </c>
      <c r="B383" s="165">
        <v>42004</v>
      </c>
      <c r="C383" t="s">
        <v>354</v>
      </c>
      <c r="D383" t="s">
        <v>355</v>
      </c>
      <c r="E383">
        <v>24</v>
      </c>
      <c r="F383" s="166">
        <v>995</v>
      </c>
      <c r="G383">
        <v>23880</v>
      </c>
    </row>
    <row r="384" spans="1:7">
      <c r="A384" t="s">
        <v>349</v>
      </c>
      <c r="B384" s="165">
        <v>42004</v>
      </c>
      <c r="C384" t="s">
        <v>354</v>
      </c>
      <c r="D384" t="s">
        <v>355</v>
      </c>
      <c r="E384">
        <v>19</v>
      </c>
      <c r="F384" s="166">
        <v>1376.578947368421</v>
      </c>
      <c r="G384">
        <v>26155</v>
      </c>
    </row>
    <row r="385" spans="1:7">
      <c r="A385" t="s">
        <v>349</v>
      </c>
      <c r="B385" s="165">
        <v>42004</v>
      </c>
      <c r="C385" t="s">
        <v>354</v>
      </c>
      <c r="D385" t="s">
        <v>355</v>
      </c>
      <c r="E385">
        <v>93</v>
      </c>
      <c r="F385" s="166">
        <v>520</v>
      </c>
      <c r="G385">
        <v>48360</v>
      </c>
    </row>
    <row r="386" spans="1:7">
      <c r="A386" t="s">
        <v>349</v>
      </c>
      <c r="B386" s="165">
        <v>42004</v>
      </c>
      <c r="C386" t="s">
        <v>352</v>
      </c>
      <c r="D386" t="s">
        <v>353</v>
      </c>
      <c r="E386">
        <v>42</v>
      </c>
      <c r="F386" s="166">
        <v>1085</v>
      </c>
      <c r="G386">
        <v>45570</v>
      </c>
    </row>
    <row r="387" spans="1:7">
      <c r="A387" t="s">
        <v>349</v>
      </c>
      <c r="B387" s="165">
        <v>42004</v>
      </c>
      <c r="C387" t="s">
        <v>352</v>
      </c>
      <c r="D387" t="s">
        <v>353</v>
      </c>
      <c r="E387">
        <v>55</v>
      </c>
      <c r="F387" s="166">
        <v>1192.090909090909</v>
      </c>
      <c r="G387">
        <v>65565</v>
      </c>
    </row>
    <row r="388" spans="1:7">
      <c r="A388" t="s">
        <v>349</v>
      </c>
      <c r="B388" s="165">
        <v>42004</v>
      </c>
      <c r="C388" t="s">
        <v>352</v>
      </c>
      <c r="D388" t="s">
        <v>353</v>
      </c>
      <c r="E388">
        <v>81</v>
      </c>
      <c r="F388" s="166">
        <v>1200</v>
      </c>
      <c r="G388">
        <v>97200</v>
      </c>
    </row>
    <row r="389" spans="1:7">
      <c r="A389" t="s">
        <v>349</v>
      </c>
      <c r="B389" s="165">
        <v>42004</v>
      </c>
      <c r="C389" t="s">
        <v>360</v>
      </c>
      <c r="D389" t="s">
        <v>361</v>
      </c>
      <c r="E389">
        <v>8</v>
      </c>
      <c r="F389" s="166">
        <v>1502</v>
      </c>
      <c r="G389">
        <v>12016</v>
      </c>
    </row>
    <row r="390" spans="1:7">
      <c r="A390" t="s">
        <v>349</v>
      </c>
      <c r="B390" s="165">
        <v>42004</v>
      </c>
      <c r="C390" t="s">
        <v>360</v>
      </c>
      <c r="D390" t="s">
        <v>361</v>
      </c>
      <c r="E390">
        <v>23</v>
      </c>
      <c r="F390" s="166">
        <v>1502</v>
      </c>
      <c r="G390">
        <v>34546</v>
      </c>
    </row>
    <row r="391" spans="1:7">
      <c r="A391" t="s">
        <v>349</v>
      </c>
      <c r="B391" s="165">
        <v>42004</v>
      </c>
      <c r="C391" t="s">
        <v>356</v>
      </c>
      <c r="D391" t="s">
        <v>357</v>
      </c>
      <c r="E391">
        <v>2</v>
      </c>
      <c r="F391" s="166">
        <v>385</v>
      </c>
      <c r="G391">
        <v>770</v>
      </c>
    </row>
    <row r="392" spans="1:7">
      <c r="A392" t="s">
        <v>349</v>
      </c>
      <c r="B392" s="165">
        <v>42004</v>
      </c>
      <c r="C392" t="s">
        <v>356</v>
      </c>
      <c r="D392" t="s">
        <v>357</v>
      </c>
      <c r="E392">
        <v>4</v>
      </c>
      <c r="F392" s="166">
        <v>250</v>
      </c>
      <c r="G392">
        <v>1000</v>
      </c>
    </row>
    <row r="393" spans="1:7">
      <c r="A393" t="s">
        <v>349</v>
      </c>
      <c r="B393" s="165">
        <v>42004</v>
      </c>
      <c r="C393" t="s">
        <v>356</v>
      </c>
      <c r="D393" t="s">
        <v>357</v>
      </c>
      <c r="E393">
        <v>4</v>
      </c>
      <c r="F393" s="166">
        <v>264.75</v>
      </c>
      <c r="G393">
        <v>1059</v>
      </c>
    </row>
    <row r="394" spans="1:7">
      <c r="A394" t="s">
        <v>349</v>
      </c>
      <c r="B394" s="165">
        <v>42004</v>
      </c>
      <c r="C394" t="s">
        <v>350</v>
      </c>
      <c r="D394" t="s">
        <v>351</v>
      </c>
      <c r="E394">
        <v>1</v>
      </c>
      <c r="F394" s="166">
        <v>250</v>
      </c>
      <c r="G394">
        <v>250</v>
      </c>
    </row>
    <row r="395" spans="1:7">
      <c r="A395" t="s">
        <v>349</v>
      </c>
      <c r="B395" s="165">
        <v>42004</v>
      </c>
      <c r="C395" t="s">
        <v>350</v>
      </c>
      <c r="D395" t="s">
        <v>351</v>
      </c>
      <c r="E395">
        <v>2</v>
      </c>
      <c r="F395" s="166">
        <v>257</v>
      </c>
      <c r="G395">
        <v>514</v>
      </c>
    </row>
    <row r="396" spans="1:7">
      <c r="A396" t="s">
        <v>349</v>
      </c>
      <c r="B396" s="165">
        <v>42004</v>
      </c>
      <c r="C396" t="s">
        <v>350</v>
      </c>
      <c r="D396" t="s">
        <v>351</v>
      </c>
      <c r="E396">
        <v>1</v>
      </c>
      <c r="F396" s="166">
        <v>550</v>
      </c>
      <c r="G396">
        <v>550</v>
      </c>
    </row>
    <row r="397" spans="1:7">
      <c r="A397" t="s">
        <v>349</v>
      </c>
      <c r="B397" s="165">
        <v>42004</v>
      </c>
      <c r="C397" t="s">
        <v>350</v>
      </c>
      <c r="D397" t="s">
        <v>351</v>
      </c>
      <c r="E397">
        <v>2</v>
      </c>
      <c r="F397" s="166">
        <v>396</v>
      </c>
      <c r="G397">
        <v>792</v>
      </c>
    </row>
    <row r="398" spans="1:7">
      <c r="A398" t="s">
        <v>349</v>
      </c>
      <c r="B398" s="165">
        <v>42004</v>
      </c>
      <c r="C398" t="s">
        <v>350</v>
      </c>
      <c r="D398" t="s">
        <v>351</v>
      </c>
      <c r="E398">
        <v>1</v>
      </c>
      <c r="F398" s="166">
        <v>865</v>
      </c>
      <c r="G398">
        <v>865</v>
      </c>
    </row>
    <row r="399" spans="1:7">
      <c r="A399" t="s">
        <v>349</v>
      </c>
      <c r="B399" s="165">
        <v>42004</v>
      </c>
      <c r="C399" t="s">
        <v>350</v>
      </c>
      <c r="D399" t="s">
        <v>351</v>
      </c>
      <c r="E399">
        <v>1</v>
      </c>
      <c r="F399" s="166">
        <v>1190</v>
      </c>
      <c r="G399">
        <v>1190</v>
      </c>
    </row>
    <row r="400" spans="1:7">
      <c r="A400" t="s">
        <v>349</v>
      </c>
      <c r="B400" s="165">
        <v>42004</v>
      </c>
      <c r="C400" t="s">
        <v>350</v>
      </c>
      <c r="D400" t="s">
        <v>351</v>
      </c>
      <c r="E400">
        <v>2</v>
      </c>
      <c r="F400" s="166">
        <v>750</v>
      </c>
      <c r="G400">
        <v>1500</v>
      </c>
    </row>
    <row r="401" spans="1:7">
      <c r="A401" t="s">
        <v>349</v>
      </c>
      <c r="B401" s="165">
        <v>42004</v>
      </c>
      <c r="C401" t="s">
        <v>350</v>
      </c>
      <c r="D401" t="s">
        <v>351</v>
      </c>
      <c r="E401">
        <v>10</v>
      </c>
      <c r="F401" s="166">
        <v>570</v>
      </c>
      <c r="G401">
        <v>5700</v>
      </c>
    </row>
    <row r="402" spans="1:7">
      <c r="A402" t="s">
        <v>349</v>
      </c>
      <c r="B402" s="165">
        <v>42004</v>
      </c>
      <c r="C402" t="s">
        <v>350</v>
      </c>
      <c r="D402" t="s">
        <v>351</v>
      </c>
      <c r="E402">
        <v>10</v>
      </c>
      <c r="F402" s="166">
        <v>570</v>
      </c>
      <c r="G402">
        <v>5700</v>
      </c>
    </row>
    <row r="403" spans="1:7">
      <c r="A403" t="s">
        <v>349</v>
      </c>
      <c r="B403" s="165">
        <v>42004</v>
      </c>
      <c r="C403" t="s">
        <v>350</v>
      </c>
      <c r="D403" t="s">
        <v>351</v>
      </c>
      <c r="E403">
        <v>15</v>
      </c>
      <c r="F403" s="166">
        <v>388</v>
      </c>
      <c r="G403">
        <v>5820</v>
      </c>
    </row>
    <row r="404" spans="1:7">
      <c r="A404" t="s">
        <v>349</v>
      </c>
      <c r="B404" s="165">
        <v>42004</v>
      </c>
      <c r="C404" t="s">
        <v>350</v>
      </c>
      <c r="D404" t="s">
        <v>351</v>
      </c>
      <c r="E404">
        <v>26</v>
      </c>
      <c r="F404" s="166">
        <v>891.84615384615381</v>
      </c>
      <c r="G404">
        <v>23188</v>
      </c>
    </row>
    <row r="405" spans="1:7">
      <c r="A405" t="s">
        <v>349</v>
      </c>
      <c r="B405" s="165">
        <v>42004</v>
      </c>
      <c r="C405" t="s">
        <v>350</v>
      </c>
      <c r="D405" t="s">
        <v>351</v>
      </c>
      <c r="E405">
        <v>120</v>
      </c>
      <c r="F405" s="166">
        <v>346</v>
      </c>
      <c r="G405">
        <v>41520</v>
      </c>
    </row>
    <row r="406" spans="1:7">
      <c r="A406" t="s">
        <v>362</v>
      </c>
      <c r="B406" s="165">
        <v>41690</v>
      </c>
      <c r="C406" t="s">
        <v>350</v>
      </c>
      <c r="D406" t="s">
        <v>351</v>
      </c>
      <c r="E406">
        <v>15</v>
      </c>
      <c r="F406" s="166">
        <v>697.66666666666663</v>
      </c>
      <c r="G406">
        <v>10465</v>
      </c>
    </row>
    <row r="407" spans="1:7">
      <c r="A407" t="s">
        <v>362</v>
      </c>
      <c r="B407" s="165">
        <v>41697</v>
      </c>
      <c r="C407" t="s">
        <v>354</v>
      </c>
      <c r="D407" t="s">
        <v>355</v>
      </c>
      <c r="E407">
        <v>4</v>
      </c>
      <c r="F407" s="166">
        <v>638</v>
      </c>
      <c r="G407">
        <v>2552</v>
      </c>
    </row>
    <row r="408" spans="1:7">
      <c r="A408" t="s">
        <v>362</v>
      </c>
      <c r="B408" s="165">
        <v>41697</v>
      </c>
      <c r="C408" t="s">
        <v>356</v>
      </c>
      <c r="D408" t="s">
        <v>357</v>
      </c>
      <c r="E408">
        <v>37</v>
      </c>
      <c r="F408" s="166">
        <v>275.24324324324323</v>
      </c>
      <c r="G408">
        <v>10184</v>
      </c>
    </row>
    <row r="409" spans="1:7">
      <c r="A409" t="s">
        <v>362</v>
      </c>
      <c r="B409" s="165">
        <v>41704</v>
      </c>
      <c r="C409" t="s">
        <v>356</v>
      </c>
      <c r="D409" t="s">
        <v>357</v>
      </c>
      <c r="E409">
        <v>20</v>
      </c>
      <c r="F409" s="166">
        <v>597</v>
      </c>
      <c r="G409">
        <v>11940</v>
      </c>
    </row>
    <row r="410" spans="1:7">
      <c r="A410" t="s">
        <v>362</v>
      </c>
      <c r="B410" s="165">
        <v>41704</v>
      </c>
      <c r="C410" t="s">
        <v>356</v>
      </c>
      <c r="D410" t="s">
        <v>357</v>
      </c>
      <c r="E410">
        <v>92</v>
      </c>
      <c r="F410" s="166">
        <v>415.76086956521738</v>
      </c>
      <c r="G410">
        <v>38250</v>
      </c>
    </row>
    <row r="411" spans="1:7">
      <c r="A411" t="s">
        <v>362</v>
      </c>
      <c r="B411" s="165">
        <v>41711</v>
      </c>
      <c r="C411" t="s">
        <v>356</v>
      </c>
      <c r="D411" t="s">
        <v>357</v>
      </c>
      <c r="E411">
        <v>8</v>
      </c>
      <c r="F411" s="166">
        <v>364</v>
      </c>
      <c r="G411">
        <v>2912</v>
      </c>
    </row>
    <row r="412" spans="1:7">
      <c r="A412" t="s">
        <v>362</v>
      </c>
      <c r="B412" s="165">
        <v>41732</v>
      </c>
      <c r="C412" t="s">
        <v>356</v>
      </c>
      <c r="D412" t="s">
        <v>357</v>
      </c>
      <c r="E412">
        <v>5</v>
      </c>
      <c r="F412" s="166">
        <v>495</v>
      </c>
      <c r="G412">
        <v>2475</v>
      </c>
    </row>
    <row r="413" spans="1:7">
      <c r="A413" t="s">
        <v>362</v>
      </c>
      <c r="B413" s="165">
        <v>41732</v>
      </c>
      <c r="C413" t="s">
        <v>356</v>
      </c>
      <c r="D413" t="s">
        <v>357</v>
      </c>
      <c r="E413">
        <v>8</v>
      </c>
      <c r="F413" s="166">
        <v>330.75</v>
      </c>
      <c r="G413">
        <v>2646</v>
      </c>
    </row>
    <row r="414" spans="1:7">
      <c r="A414" t="s">
        <v>362</v>
      </c>
      <c r="B414" s="165">
        <v>41732</v>
      </c>
      <c r="C414" t="s">
        <v>350</v>
      </c>
      <c r="D414" t="s">
        <v>351</v>
      </c>
      <c r="E414">
        <v>5</v>
      </c>
      <c r="F414" s="166">
        <v>485.4</v>
      </c>
      <c r="G414">
        <v>2427</v>
      </c>
    </row>
    <row r="415" spans="1:7">
      <c r="A415" t="s">
        <v>362</v>
      </c>
      <c r="B415" s="165">
        <v>41732</v>
      </c>
      <c r="C415" t="s">
        <v>350</v>
      </c>
      <c r="D415" t="s">
        <v>351</v>
      </c>
      <c r="E415">
        <v>9</v>
      </c>
      <c r="F415" s="166">
        <v>362.44444444444446</v>
      </c>
      <c r="G415">
        <v>3262</v>
      </c>
    </row>
    <row r="416" spans="1:7">
      <c r="A416" t="s">
        <v>362</v>
      </c>
      <c r="B416" s="165">
        <v>41732</v>
      </c>
      <c r="C416" t="s">
        <v>350</v>
      </c>
      <c r="D416" t="s">
        <v>351</v>
      </c>
      <c r="E416">
        <v>8</v>
      </c>
      <c r="F416" s="166">
        <v>664.375</v>
      </c>
      <c r="G416">
        <v>5315</v>
      </c>
    </row>
    <row r="417" spans="1:7">
      <c r="A417" t="s">
        <v>362</v>
      </c>
      <c r="B417" s="165">
        <v>41760</v>
      </c>
      <c r="C417" t="s">
        <v>356</v>
      </c>
      <c r="D417" t="s">
        <v>357</v>
      </c>
      <c r="E417">
        <v>37</v>
      </c>
      <c r="F417" s="166">
        <v>159</v>
      </c>
      <c r="G417">
        <v>5883</v>
      </c>
    </row>
    <row r="418" spans="1:7">
      <c r="A418" t="s">
        <v>362</v>
      </c>
      <c r="B418" s="165">
        <v>41760</v>
      </c>
      <c r="C418" t="s">
        <v>356</v>
      </c>
      <c r="D418" t="s">
        <v>357</v>
      </c>
      <c r="E418">
        <v>65</v>
      </c>
      <c r="F418" s="166">
        <v>302</v>
      </c>
      <c r="G418">
        <v>19630</v>
      </c>
    </row>
    <row r="419" spans="1:7">
      <c r="A419" t="s">
        <v>362</v>
      </c>
      <c r="B419" s="165">
        <v>41767</v>
      </c>
      <c r="C419" t="s">
        <v>350</v>
      </c>
      <c r="D419" t="s">
        <v>351</v>
      </c>
      <c r="E419">
        <v>27</v>
      </c>
      <c r="F419" s="166">
        <v>250</v>
      </c>
      <c r="G419">
        <v>6750</v>
      </c>
    </row>
    <row r="420" spans="1:7">
      <c r="A420" t="s">
        <v>362</v>
      </c>
      <c r="B420" s="165">
        <v>41788</v>
      </c>
      <c r="C420" t="s">
        <v>358</v>
      </c>
      <c r="D420" t="s">
        <v>359</v>
      </c>
      <c r="E420">
        <v>4</v>
      </c>
      <c r="F420" s="166">
        <v>528</v>
      </c>
      <c r="G420">
        <v>2112</v>
      </c>
    </row>
    <row r="421" spans="1:7">
      <c r="A421" t="s">
        <v>362</v>
      </c>
      <c r="B421" s="165">
        <v>41788</v>
      </c>
      <c r="C421" t="s">
        <v>358</v>
      </c>
      <c r="D421" t="s">
        <v>359</v>
      </c>
      <c r="E421">
        <v>48</v>
      </c>
      <c r="F421" s="166">
        <v>299</v>
      </c>
      <c r="G421">
        <v>14352</v>
      </c>
    </row>
    <row r="422" spans="1:7">
      <c r="A422" t="s">
        <v>362</v>
      </c>
      <c r="B422" s="165">
        <v>41788</v>
      </c>
      <c r="C422" t="s">
        <v>356</v>
      </c>
      <c r="D422" t="s">
        <v>357</v>
      </c>
      <c r="E422">
        <v>4</v>
      </c>
      <c r="F422" s="166">
        <v>263</v>
      </c>
      <c r="G422">
        <v>1052</v>
      </c>
    </row>
    <row r="423" spans="1:7">
      <c r="A423" t="s">
        <v>362</v>
      </c>
      <c r="B423" s="165">
        <v>41788</v>
      </c>
      <c r="C423" t="s">
        <v>356</v>
      </c>
      <c r="D423" t="s">
        <v>357</v>
      </c>
      <c r="E423">
        <v>4</v>
      </c>
      <c r="F423" s="166">
        <v>292</v>
      </c>
      <c r="G423">
        <v>1168</v>
      </c>
    </row>
    <row r="424" spans="1:7">
      <c r="A424" t="s">
        <v>362</v>
      </c>
      <c r="B424" s="165">
        <v>41788</v>
      </c>
      <c r="C424" t="s">
        <v>356</v>
      </c>
      <c r="D424" t="s">
        <v>357</v>
      </c>
      <c r="E424">
        <v>12</v>
      </c>
      <c r="F424" s="166">
        <v>264.83333333333331</v>
      </c>
      <c r="G424">
        <v>3178</v>
      </c>
    </row>
    <row r="425" spans="1:7">
      <c r="A425" t="s">
        <v>362</v>
      </c>
      <c r="B425" s="165">
        <v>41788</v>
      </c>
      <c r="C425" t="s">
        <v>356</v>
      </c>
      <c r="D425" t="s">
        <v>357</v>
      </c>
      <c r="E425">
        <v>22</v>
      </c>
      <c r="F425" s="166">
        <v>222</v>
      </c>
      <c r="G425">
        <v>4884</v>
      </c>
    </row>
    <row r="426" spans="1:7">
      <c r="A426" t="s">
        <v>362</v>
      </c>
      <c r="B426" s="165">
        <v>41788</v>
      </c>
      <c r="C426" t="s">
        <v>350</v>
      </c>
      <c r="D426" t="s">
        <v>351</v>
      </c>
      <c r="E426">
        <v>1</v>
      </c>
      <c r="F426" s="166">
        <v>249</v>
      </c>
      <c r="G426">
        <v>249</v>
      </c>
    </row>
    <row r="427" spans="1:7">
      <c r="A427" t="s">
        <v>362</v>
      </c>
      <c r="B427" s="165">
        <v>41788</v>
      </c>
      <c r="C427" t="s">
        <v>350</v>
      </c>
      <c r="D427" t="s">
        <v>351</v>
      </c>
      <c r="E427">
        <v>11</v>
      </c>
      <c r="F427" s="166">
        <v>282</v>
      </c>
      <c r="G427">
        <v>3102</v>
      </c>
    </row>
    <row r="428" spans="1:7">
      <c r="A428" t="s">
        <v>362</v>
      </c>
      <c r="B428" s="165">
        <v>41788</v>
      </c>
      <c r="C428" t="s">
        <v>350</v>
      </c>
      <c r="D428" t="s">
        <v>351</v>
      </c>
      <c r="E428">
        <v>20</v>
      </c>
      <c r="F428" s="166">
        <v>299</v>
      </c>
      <c r="G428">
        <v>5980</v>
      </c>
    </row>
    <row r="429" spans="1:7">
      <c r="A429" t="s">
        <v>362</v>
      </c>
      <c r="B429" s="165">
        <v>41795</v>
      </c>
      <c r="C429" t="s">
        <v>350</v>
      </c>
      <c r="D429" t="s">
        <v>351</v>
      </c>
      <c r="E429">
        <v>10</v>
      </c>
      <c r="F429" s="166">
        <v>302</v>
      </c>
      <c r="G429">
        <v>3020</v>
      </c>
    </row>
    <row r="430" spans="1:7">
      <c r="A430" t="s">
        <v>362</v>
      </c>
      <c r="B430" s="165">
        <v>41810</v>
      </c>
      <c r="C430" t="s">
        <v>354</v>
      </c>
      <c r="D430" t="s">
        <v>355</v>
      </c>
      <c r="E430">
        <v>4</v>
      </c>
      <c r="F430" s="166">
        <v>387.5</v>
      </c>
      <c r="G430">
        <v>1550</v>
      </c>
    </row>
    <row r="431" spans="1:7">
      <c r="A431" t="s">
        <v>362</v>
      </c>
      <c r="B431" s="165">
        <v>41810</v>
      </c>
      <c r="C431" t="s">
        <v>356</v>
      </c>
      <c r="D431" t="s">
        <v>357</v>
      </c>
      <c r="E431">
        <v>37</v>
      </c>
      <c r="F431" s="166">
        <v>188.24324324324326</v>
      </c>
      <c r="G431">
        <v>6965</v>
      </c>
    </row>
    <row r="432" spans="1:7">
      <c r="A432" t="s">
        <v>362</v>
      </c>
      <c r="B432" s="165">
        <v>41858</v>
      </c>
      <c r="C432" t="s">
        <v>350</v>
      </c>
      <c r="D432" t="s">
        <v>351</v>
      </c>
      <c r="E432">
        <v>22</v>
      </c>
      <c r="F432" s="166">
        <v>1435</v>
      </c>
      <c r="G432">
        <v>31570</v>
      </c>
    </row>
    <row r="433" spans="1:7">
      <c r="A433" t="s">
        <v>362</v>
      </c>
      <c r="B433" s="165">
        <v>41865</v>
      </c>
      <c r="C433" t="s">
        <v>352</v>
      </c>
      <c r="D433" t="s">
        <v>353</v>
      </c>
      <c r="E433">
        <v>12</v>
      </c>
      <c r="F433" s="166">
        <v>787.5</v>
      </c>
      <c r="G433">
        <v>9450</v>
      </c>
    </row>
    <row r="434" spans="1:7">
      <c r="A434" t="s">
        <v>362</v>
      </c>
      <c r="B434" s="165">
        <v>41865</v>
      </c>
      <c r="C434" t="s">
        <v>356</v>
      </c>
      <c r="D434" t="s">
        <v>357</v>
      </c>
      <c r="E434">
        <v>19</v>
      </c>
      <c r="F434" s="166">
        <v>316</v>
      </c>
      <c r="G434">
        <v>6004</v>
      </c>
    </row>
    <row r="435" spans="1:7">
      <c r="A435" t="s">
        <v>362</v>
      </c>
      <c r="B435" s="165">
        <v>41872</v>
      </c>
      <c r="C435" t="s">
        <v>352</v>
      </c>
      <c r="D435" t="s">
        <v>353</v>
      </c>
      <c r="E435">
        <v>3</v>
      </c>
      <c r="F435" s="166">
        <v>835</v>
      </c>
      <c r="G435">
        <v>2505</v>
      </c>
    </row>
    <row r="436" spans="1:7">
      <c r="A436" t="s">
        <v>362</v>
      </c>
      <c r="B436" s="165">
        <v>41879</v>
      </c>
      <c r="C436" t="s">
        <v>350</v>
      </c>
      <c r="D436" t="s">
        <v>351</v>
      </c>
      <c r="E436">
        <v>3</v>
      </c>
      <c r="F436" s="166">
        <v>571.25</v>
      </c>
      <c r="G436">
        <v>1713.75</v>
      </c>
    </row>
    <row r="437" spans="1:7">
      <c r="A437" t="s">
        <v>362</v>
      </c>
      <c r="B437" s="165">
        <v>41879</v>
      </c>
      <c r="C437" t="s">
        <v>350</v>
      </c>
      <c r="D437" t="s">
        <v>351</v>
      </c>
      <c r="E437">
        <v>3</v>
      </c>
      <c r="F437" s="166">
        <v>2103</v>
      </c>
      <c r="G437">
        <v>6309</v>
      </c>
    </row>
    <row r="438" spans="1:7">
      <c r="A438" t="s">
        <v>362</v>
      </c>
      <c r="B438" s="165">
        <v>41928</v>
      </c>
      <c r="C438" t="s">
        <v>356</v>
      </c>
      <c r="D438" t="s">
        <v>357</v>
      </c>
      <c r="E438">
        <v>2</v>
      </c>
      <c r="F438" s="166">
        <v>295</v>
      </c>
      <c r="G438">
        <v>590</v>
      </c>
    </row>
    <row r="439" spans="1:7">
      <c r="A439" t="s">
        <v>362</v>
      </c>
      <c r="B439" s="165">
        <v>41928</v>
      </c>
      <c r="C439" t="s">
        <v>356</v>
      </c>
      <c r="D439" t="s">
        <v>357</v>
      </c>
      <c r="E439">
        <v>2</v>
      </c>
      <c r="F439" s="166">
        <v>405.5</v>
      </c>
      <c r="G439">
        <v>811</v>
      </c>
    </row>
    <row r="440" spans="1:7">
      <c r="A440" t="s">
        <v>362</v>
      </c>
      <c r="B440" s="165">
        <v>41928</v>
      </c>
      <c r="C440" t="s">
        <v>356</v>
      </c>
      <c r="D440" t="s">
        <v>357</v>
      </c>
      <c r="E440">
        <v>3</v>
      </c>
      <c r="F440" s="166">
        <v>295</v>
      </c>
      <c r="G440">
        <v>885</v>
      </c>
    </row>
    <row r="441" spans="1:7">
      <c r="A441" t="s">
        <v>362</v>
      </c>
      <c r="B441" s="165">
        <v>41928</v>
      </c>
      <c r="C441" t="s">
        <v>356</v>
      </c>
      <c r="D441" t="s">
        <v>357</v>
      </c>
      <c r="E441">
        <v>5</v>
      </c>
      <c r="F441" s="166">
        <v>234.2</v>
      </c>
      <c r="G441">
        <v>1171</v>
      </c>
    </row>
    <row r="442" spans="1:7">
      <c r="A442" t="s">
        <v>362</v>
      </c>
      <c r="B442" s="165">
        <v>41928</v>
      </c>
      <c r="C442" t="s">
        <v>356</v>
      </c>
      <c r="D442" t="s">
        <v>357</v>
      </c>
      <c r="E442">
        <v>4</v>
      </c>
      <c r="F442" s="166">
        <v>328</v>
      </c>
      <c r="G442">
        <v>1312</v>
      </c>
    </row>
    <row r="443" spans="1:7">
      <c r="A443" t="s">
        <v>362</v>
      </c>
      <c r="B443" s="165">
        <v>41928</v>
      </c>
      <c r="C443" t="s">
        <v>356</v>
      </c>
      <c r="D443" t="s">
        <v>357</v>
      </c>
      <c r="E443">
        <v>5</v>
      </c>
      <c r="F443" s="166">
        <v>315</v>
      </c>
      <c r="G443">
        <v>1575</v>
      </c>
    </row>
    <row r="444" spans="1:7">
      <c r="A444" t="s">
        <v>362</v>
      </c>
      <c r="B444" s="165">
        <v>41928</v>
      </c>
      <c r="C444" t="s">
        <v>356</v>
      </c>
      <c r="D444" t="s">
        <v>357</v>
      </c>
      <c r="E444">
        <v>5</v>
      </c>
      <c r="F444" s="166">
        <v>321</v>
      </c>
      <c r="G444">
        <v>1605</v>
      </c>
    </row>
    <row r="445" spans="1:7">
      <c r="A445" t="s">
        <v>362</v>
      </c>
      <c r="B445" s="165">
        <v>41928</v>
      </c>
      <c r="C445" t="s">
        <v>356</v>
      </c>
      <c r="D445" t="s">
        <v>357</v>
      </c>
      <c r="E445">
        <v>6</v>
      </c>
      <c r="F445" s="166">
        <v>317.5</v>
      </c>
      <c r="G445">
        <v>1905</v>
      </c>
    </row>
    <row r="446" spans="1:7">
      <c r="A446" t="s">
        <v>362</v>
      </c>
      <c r="B446" s="165">
        <v>41928</v>
      </c>
      <c r="C446" t="s">
        <v>356</v>
      </c>
      <c r="D446" t="s">
        <v>357</v>
      </c>
      <c r="E446">
        <v>9</v>
      </c>
      <c r="F446" s="166">
        <v>280.88888888888891</v>
      </c>
      <c r="G446">
        <v>2528</v>
      </c>
    </row>
    <row r="447" spans="1:7">
      <c r="A447" t="s">
        <v>362</v>
      </c>
      <c r="B447" s="165">
        <v>41928</v>
      </c>
      <c r="C447" t="s">
        <v>356</v>
      </c>
      <c r="D447" t="s">
        <v>357</v>
      </c>
      <c r="E447">
        <v>23</v>
      </c>
      <c r="F447" s="166">
        <v>263</v>
      </c>
      <c r="G447">
        <v>6049</v>
      </c>
    </row>
    <row r="448" spans="1:7">
      <c r="A448" t="s">
        <v>362</v>
      </c>
      <c r="B448" s="165">
        <v>41928</v>
      </c>
      <c r="C448" t="s">
        <v>350</v>
      </c>
      <c r="D448" t="s">
        <v>351</v>
      </c>
      <c r="E448">
        <v>1</v>
      </c>
      <c r="F448" s="166">
        <v>328</v>
      </c>
      <c r="G448">
        <v>328</v>
      </c>
    </row>
    <row r="449" spans="1:7">
      <c r="A449" t="s">
        <v>362</v>
      </c>
      <c r="B449" s="165">
        <v>41928</v>
      </c>
      <c r="C449" t="s">
        <v>350</v>
      </c>
      <c r="D449" t="s">
        <v>351</v>
      </c>
      <c r="E449">
        <v>1</v>
      </c>
      <c r="F449" s="166">
        <v>886</v>
      </c>
      <c r="G449">
        <v>886</v>
      </c>
    </row>
    <row r="450" spans="1:7">
      <c r="A450" t="s">
        <v>362</v>
      </c>
      <c r="B450" s="165">
        <v>41936</v>
      </c>
      <c r="C450" t="s">
        <v>358</v>
      </c>
      <c r="D450" t="s">
        <v>359</v>
      </c>
      <c r="E450">
        <v>147</v>
      </c>
      <c r="F450" s="166">
        <v>997.03401360544217</v>
      </c>
      <c r="G450">
        <v>146564</v>
      </c>
    </row>
    <row r="451" spans="1:7">
      <c r="A451" t="s">
        <v>362</v>
      </c>
      <c r="B451" s="165">
        <v>41936</v>
      </c>
      <c r="C451" t="s">
        <v>350</v>
      </c>
      <c r="D451" t="s">
        <v>351</v>
      </c>
      <c r="E451">
        <v>104</v>
      </c>
      <c r="F451" s="166">
        <v>732.42307692307691</v>
      </c>
      <c r="G451">
        <v>76172</v>
      </c>
    </row>
    <row r="452" spans="1:7">
      <c r="A452" t="s">
        <v>362</v>
      </c>
      <c r="B452" s="165">
        <v>41943</v>
      </c>
      <c r="C452" t="s">
        <v>356</v>
      </c>
      <c r="D452" t="s">
        <v>357</v>
      </c>
      <c r="E452">
        <v>1</v>
      </c>
      <c r="F452" s="166">
        <v>287</v>
      </c>
      <c r="G452">
        <v>287</v>
      </c>
    </row>
    <row r="453" spans="1:7">
      <c r="A453" t="s">
        <v>362</v>
      </c>
      <c r="B453" s="165">
        <v>41943</v>
      </c>
      <c r="C453" t="s">
        <v>356</v>
      </c>
      <c r="D453" t="s">
        <v>357</v>
      </c>
      <c r="E453">
        <v>9</v>
      </c>
      <c r="F453" s="166">
        <v>269.22222222222223</v>
      </c>
      <c r="G453">
        <v>2423</v>
      </c>
    </row>
    <row r="454" spans="1:7">
      <c r="A454" t="s">
        <v>362</v>
      </c>
      <c r="B454" s="165">
        <v>41943</v>
      </c>
      <c r="C454" t="s">
        <v>356</v>
      </c>
      <c r="D454" t="s">
        <v>357</v>
      </c>
      <c r="E454">
        <v>15</v>
      </c>
      <c r="F454" s="166">
        <v>285</v>
      </c>
      <c r="G454">
        <v>4275</v>
      </c>
    </row>
    <row r="455" spans="1:7">
      <c r="A455" t="s">
        <v>362</v>
      </c>
      <c r="B455" s="165">
        <v>41943</v>
      </c>
      <c r="C455" t="s">
        <v>350</v>
      </c>
      <c r="D455" t="s">
        <v>351</v>
      </c>
      <c r="E455">
        <v>1</v>
      </c>
      <c r="F455" s="166">
        <v>526</v>
      </c>
      <c r="G455">
        <v>526</v>
      </c>
    </row>
    <row r="456" spans="1:7">
      <c r="A456" t="s">
        <v>362</v>
      </c>
      <c r="B456" s="165">
        <v>41943</v>
      </c>
      <c r="C456" t="s">
        <v>350</v>
      </c>
      <c r="D456" t="s">
        <v>351</v>
      </c>
      <c r="E456">
        <v>6</v>
      </c>
      <c r="F456" s="166">
        <v>345</v>
      </c>
      <c r="G456">
        <v>2070</v>
      </c>
    </row>
    <row r="457" spans="1:7">
      <c r="A457" t="s">
        <v>362</v>
      </c>
      <c r="B457" s="165">
        <v>41943</v>
      </c>
      <c r="C457" t="s">
        <v>350</v>
      </c>
      <c r="D457" t="s">
        <v>351</v>
      </c>
      <c r="E457">
        <v>6</v>
      </c>
      <c r="F457" s="166">
        <v>459</v>
      </c>
      <c r="G457">
        <v>2754</v>
      </c>
    </row>
    <row r="458" spans="1:7">
      <c r="A458" t="s">
        <v>362</v>
      </c>
      <c r="B458" s="165">
        <v>41943</v>
      </c>
      <c r="C458" t="s">
        <v>350</v>
      </c>
      <c r="D458" t="s">
        <v>351</v>
      </c>
      <c r="E458">
        <v>11</v>
      </c>
      <c r="F458" s="166">
        <v>336</v>
      </c>
      <c r="G458">
        <v>3696</v>
      </c>
    </row>
    <row r="459" spans="1:7">
      <c r="A459" t="s">
        <v>362</v>
      </c>
      <c r="B459" s="165">
        <v>41949</v>
      </c>
      <c r="C459" t="s">
        <v>356</v>
      </c>
      <c r="D459" t="s">
        <v>357</v>
      </c>
      <c r="E459">
        <v>4</v>
      </c>
      <c r="F459" s="166">
        <v>506.75</v>
      </c>
      <c r="G459">
        <v>2027</v>
      </c>
    </row>
    <row r="460" spans="1:7">
      <c r="A460" t="s">
        <v>362</v>
      </c>
      <c r="B460" s="165">
        <v>41963</v>
      </c>
      <c r="C460" t="s">
        <v>356</v>
      </c>
      <c r="D460" t="s">
        <v>357</v>
      </c>
      <c r="E460">
        <v>11</v>
      </c>
      <c r="F460" s="166">
        <v>195</v>
      </c>
      <c r="G460">
        <v>2145</v>
      </c>
    </row>
    <row r="461" spans="1:7">
      <c r="A461" t="s">
        <v>362</v>
      </c>
      <c r="B461" s="165">
        <v>41977</v>
      </c>
      <c r="C461" t="s">
        <v>356</v>
      </c>
      <c r="D461" t="s">
        <v>357</v>
      </c>
      <c r="E461">
        <v>1</v>
      </c>
      <c r="F461" s="166">
        <v>400</v>
      </c>
      <c r="G461">
        <v>400</v>
      </c>
    </row>
    <row r="462" spans="1:7">
      <c r="A462" t="s">
        <v>362</v>
      </c>
      <c r="B462" s="165">
        <v>42004</v>
      </c>
      <c r="C462" t="s">
        <v>356</v>
      </c>
      <c r="D462" t="s">
        <v>357</v>
      </c>
      <c r="E462">
        <v>2</v>
      </c>
      <c r="F462" s="166">
        <v>292.5</v>
      </c>
      <c r="G462">
        <v>585</v>
      </c>
    </row>
    <row r="463" spans="1:7">
      <c r="A463" t="s">
        <v>362</v>
      </c>
      <c r="B463" s="165">
        <v>42004</v>
      </c>
      <c r="C463" t="s">
        <v>356</v>
      </c>
      <c r="D463" t="s">
        <v>357</v>
      </c>
      <c r="E463">
        <v>3</v>
      </c>
      <c r="F463" s="166">
        <v>206.66666666666666</v>
      </c>
      <c r="G463">
        <v>620</v>
      </c>
    </row>
    <row r="464" spans="1:7">
      <c r="A464" t="s">
        <v>362</v>
      </c>
      <c r="B464" s="165">
        <v>42004</v>
      </c>
      <c r="C464" t="s">
        <v>356</v>
      </c>
      <c r="D464" t="s">
        <v>357</v>
      </c>
      <c r="E464">
        <v>2</v>
      </c>
      <c r="F464" s="166">
        <v>429</v>
      </c>
      <c r="G464">
        <v>858</v>
      </c>
    </row>
    <row r="465" spans="1:7">
      <c r="A465" t="s">
        <v>362</v>
      </c>
      <c r="B465" s="165">
        <v>42004</v>
      </c>
      <c r="C465" t="s">
        <v>356</v>
      </c>
      <c r="D465" t="s">
        <v>357</v>
      </c>
      <c r="E465">
        <v>260</v>
      </c>
      <c r="F465" s="166">
        <v>284.55384615384617</v>
      </c>
      <c r="G465">
        <v>73984</v>
      </c>
    </row>
    <row r="466" spans="1:7">
      <c r="A466" t="s">
        <v>362</v>
      </c>
      <c r="B466" s="165">
        <v>42004</v>
      </c>
      <c r="C466" t="s">
        <v>350</v>
      </c>
      <c r="D466" t="s">
        <v>351</v>
      </c>
      <c r="E466">
        <v>1</v>
      </c>
      <c r="F466" s="166">
        <v>429</v>
      </c>
      <c r="G466">
        <v>429</v>
      </c>
    </row>
    <row r="467" spans="1:7">
      <c r="A467" t="s">
        <v>362</v>
      </c>
      <c r="B467" s="165">
        <v>42004</v>
      </c>
      <c r="C467" t="s">
        <v>350</v>
      </c>
      <c r="D467" t="s">
        <v>351</v>
      </c>
      <c r="E467">
        <v>8</v>
      </c>
      <c r="F467" s="166">
        <v>465</v>
      </c>
      <c r="G467">
        <v>3720</v>
      </c>
    </row>
    <row r="468" spans="1:7">
      <c r="A468" t="s">
        <v>362</v>
      </c>
      <c r="B468" s="165">
        <v>42004</v>
      </c>
      <c r="C468" t="s">
        <v>350</v>
      </c>
      <c r="D468" t="s">
        <v>351</v>
      </c>
      <c r="E468">
        <v>52</v>
      </c>
      <c r="F468" s="166">
        <v>1434.5</v>
      </c>
      <c r="G468">
        <v>74594</v>
      </c>
    </row>
    <row r="469" spans="1:7">
      <c r="A469" t="s">
        <v>363</v>
      </c>
      <c r="B469" s="165">
        <v>41739</v>
      </c>
      <c r="C469" t="s">
        <v>350</v>
      </c>
      <c r="D469" t="s">
        <v>351</v>
      </c>
      <c r="E469">
        <v>9</v>
      </c>
      <c r="F469" s="166">
        <v>538.77777777777783</v>
      </c>
      <c r="G469">
        <v>4849</v>
      </c>
    </row>
    <row r="470" spans="1:7">
      <c r="A470" t="s">
        <v>363</v>
      </c>
      <c r="B470" s="165">
        <v>41746</v>
      </c>
      <c r="C470" t="s">
        <v>356</v>
      </c>
      <c r="D470" t="s">
        <v>357</v>
      </c>
      <c r="E470">
        <v>7</v>
      </c>
      <c r="F470" s="166">
        <v>133.28571428571428</v>
      </c>
      <c r="G470">
        <v>933</v>
      </c>
    </row>
    <row r="471" spans="1:7">
      <c r="A471" t="s">
        <v>363</v>
      </c>
      <c r="B471" s="165">
        <v>41746</v>
      </c>
      <c r="C471" t="s">
        <v>350</v>
      </c>
      <c r="D471" t="s">
        <v>351</v>
      </c>
      <c r="E471">
        <v>1</v>
      </c>
      <c r="F471" s="166">
        <v>282</v>
      </c>
      <c r="G471">
        <v>282</v>
      </c>
    </row>
    <row r="472" spans="1:7">
      <c r="A472" t="s">
        <v>363</v>
      </c>
      <c r="B472" s="165">
        <v>41760</v>
      </c>
      <c r="C472" t="s">
        <v>350</v>
      </c>
      <c r="D472" t="s">
        <v>351</v>
      </c>
      <c r="E472">
        <v>2</v>
      </c>
      <c r="F472" s="166">
        <v>358</v>
      </c>
      <c r="G472">
        <v>716</v>
      </c>
    </row>
    <row r="473" spans="1:7">
      <c r="A473" t="s">
        <v>363</v>
      </c>
      <c r="B473" s="165">
        <v>41767</v>
      </c>
      <c r="C473" t="s">
        <v>354</v>
      </c>
      <c r="D473" t="s">
        <v>355</v>
      </c>
      <c r="E473">
        <v>1</v>
      </c>
      <c r="F473" s="166">
        <v>602</v>
      </c>
      <c r="G473">
        <v>602</v>
      </c>
    </row>
    <row r="474" spans="1:7">
      <c r="A474" t="s">
        <v>363</v>
      </c>
      <c r="B474" s="165">
        <v>41767</v>
      </c>
      <c r="C474" t="s">
        <v>356</v>
      </c>
      <c r="D474" t="s">
        <v>357</v>
      </c>
      <c r="E474">
        <v>13</v>
      </c>
      <c r="F474" s="166">
        <v>581</v>
      </c>
      <c r="G474">
        <v>7553</v>
      </c>
    </row>
    <row r="475" spans="1:7">
      <c r="A475" t="s">
        <v>363</v>
      </c>
      <c r="B475" s="165">
        <v>41767</v>
      </c>
      <c r="C475" t="s">
        <v>350</v>
      </c>
      <c r="D475" t="s">
        <v>351</v>
      </c>
      <c r="E475">
        <v>12</v>
      </c>
      <c r="F475" s="166">
        <v>491.25</v>
      </c>
      <c r="G475">
        <v>5895</v>
      </c>
    </row>
    <row r="476" spans="1:7">
      <c r="A476" t="s">
        <v>363</v>
      </c>
      <c r="B476" s="165">
        <v>41774</v>
      </c>
      <c r="C476" t="s">
        <v>356</v>
      </c>
      <c r="D476" t="s">
        <v>357</v>
      </c>
      <c r="E476">
        <v>1</v>
      </c>
      <c r="F476" s="166">
        <v>400</v>
      </c>
      <c r="G476">
        <v>400</v>
      </c>
    </row>
    <row r="477" spans="1:7">
      <c r="A477" t="s">
        <v>363</v>
      </c>
      <c r="B477" s="165">
        <v>41781</v>
      </c>
      <c r="C477" t="s">
        <v>354</v>
      </c>
      <c r="D477" t="s">
        <v>355</v>
      </c>
      <c r="E477">
        <v>2</v>
      </c>
      <c r="F477" s="166">
        <v>570</v>
      </c>
      <c r="G477">
        <v>1140</v>
      </c>
    </row>
    <row r="478" spans="1:7">
      <c r="A478" t="s">
        <v>363</v>
      </c>
      <c r="B478" s="165">
        <v>41781</v>
      </c>
      <c r="C478" t="s">
        <v>350</v>
      </c>
      <c r="D478" t="s">
        <v>351</v>
      </c>
      <c r="E478">
        <v>1</v>
      </c>
      <c r="F478" s="166">
        <v>375</v>
      </c>
      <c r="G478">
        <v>375</v>
      </c>
    </row>
    <row r="479" spans="1:7">
      <c r="A479" t="s">
        <v>363</v>
      </c>
      <c r="B479" s="165">
        <v>41781</v>
      </c>
      <c r="C479" t="s">
        <v>350</v>
      </c>
      <c r="D479" t="s">
        <v>351</v>
      </c>
      <c r="E479">
        <v>20</v>
      </c>
      <c r="F479" s="166">
        <v>509.35</v>
      </c>
      <c r="G479">
        <v>10187</v>
      </c>
    </row>
    <row r="480" spans="1:7">
      <c r="A480" t="s">
        <v>363</v>
      </c>
      <c r="B480" s="165">
        <v>41795</v>
      </c>
      <c r="C480" t="s">
        <v>352</v>
      </c>
      <c r="D480" t="s">
        <v>353</v>
      </c>
      <c r="E480">
        <v>11</v>
      </c>
      <c r="F480" s="166">
        <v>780</v>
      </c>
      <c r="G480">
        <v>8580</v>
      </c>
    </row>
    <row r="481" spans="1:7">
      <c r="A481" t="s">
        <v>363</v>
      </c>
      <c r="B481" s="165">
        <v>41802</v>
      </c>
      <c r="C481" t="s">
        <v>358</v>
      </c>
      <c r="D481" t="s">
        <v>359</v>
      </c>
      <c r="E481">
        <v>4</v>
      </c>
      <c r="F481" s="166">
        <v>132.25</v>
      </c>
      <c r="G481">
        <v>529</v>
      </c>
    </row>
    <row r="482" spans="1:7">
      <c r="A482" t="s">
        <v>363</v>
      </c>
      <c r="B482" s="165">
        <v>41802</v>
      </c>
      <c r="C482" t="s">
        <v>358</v>
      </c>
      <c r="D482" t="s">
        <v>359</v>
      </c>
      <c r="E482">
        <v>1</v>
      </c>
      <c r="F482" s="166">
        <v>641</v>
      </c>
      <c r="G482">
        <v>641</v>
      </c>
    </row>
    <row r="483" spans="1:7">
      <c r="A483" t="s">
        <v>363</v>
      </c>
      <c r="B483" s="165">
        <v>41802</v>
      </c>
      <c r="C483" t="s">
        <v>354</v>
      </c>
      <c r="D483" t="s">
        <v>355</v>
      </c>
      <c r="E483">
        <v>2</v>
      </c>
      <c r="F483" s="166">
        <v>595</v>
      </c>
      <c r="G483">
        <v>1190</v>
      </c>
    </row>
    <row r="484" spans="1:7">
      <c r="A484" t="s">
        <v>363</v>
      </c>
      <c r="B484" s="165">
        <v>41802</v>
      </c>
      <c r="C484" t="s">
        <v>356</v>
      </c>
      <c r="D484" t="s">
        <v>357</v>
      </c>
      <c r="E484">
        <v>8</v>
      </c>
      <c r="F484" s="166">
        <v>197.125</v>
      </c>
      <c r="G484">
        <v>1577</v>
      </c>
    </row>
    <row r="485" spans="1:7">
      <c r="A485" t="s">
        <v>363</v>
      </c>
      <c r="B485" s="165">
        <v>41802</v>
      </c>
      <c r="C485" t="s">
        <v>350</v>
      </c>
      <c r="D485" t="s">
        <v>351</v>
      </c>
      <c r="E485">
        <v>1</v>
      </c>
      <c r="F485" s="166">
        <v>625</v>
      </c>
      <c r="G485">
        <v>625</v>
      </c>
    </row>
    <row r="486" spans="1:7">
      <c r="A486" t="s">
        <v>363</v>
      </c>
      <c r="B486" s="165">
        <v>41802</v>
      </c>
      <c r="C486" t="s">
        <v>350</v>
      </c>
      <c r="D486" t="s">
        <v>351</v>
      </c>
      <c r="E486">
        <v>2</v>
      </c>
      <c r="F486" s="166">
        <v>725</v>
      </c>
      <c r="G486">
        <v>1450</v>
      </c>
    </row>
    <row r="487" spans="1:7">
      <c r="A487" t="s">
        <v>363</v>
      </c>
      <c r="B487" s="165">
        <v>41802</v>
      </c>
      <c r="C487" t="s">
        <v>350</v>
      </c>
      <c r="D487" t="s">
        <v>351</v>
      </c>
      <c r="E487">
        <v>4</v>
      </c>
      <c r="F487" s="166">
        <v>730</v>
      </c>
      <c r="G487">
        <v>2920</v>
      </c>
    </row>
    <row r="488" spans="1:7">
      <c r="A488" t="s">
        <v>363</v>
      </c>
      <c r="B488" s="165">
        <v>41802</v>
      </c>
      <c r="C488" t="s">
        <v>350</v>
      </c>
      <c r="D488" t="s">
        <v>351</v>
      </c>
      <c r="E488">
        <v>15</v>
      </c>
      <c r="F488" s="166">
        <v>407</v>
      </c>
      <c r="G488">
        <v>6105</v>
      </c>
    </row>
    <row r="489" spans="1:7">
      <c r="A489" t="s">
        <v>363</v>
      </c>
      <c r="B489" s="165">
        <v>41810</v>
      </c>
      <c r="C489" t="s">
        <v>358</v>
      </c>
      <c r="D489" t="s">
        <v>359</v>
      </c>
      <c r="E489">
        <v>10</v>
      </c>
      <c r="F489" s="166">
        <v>625</v>
      </c>
      <c r="G489">
        <v>6250</v>
      </c>
    </row>
    <row r="490" spans="1:7">
      <c r="A490" t="s">
        <v>363</v>
      </c>
      <c r="B490" s="165">
        <v>41810</v>
      </c>
      <c r="C490" t="s">
        <v>356</v>
      </c>
      <c r="D490" t="s">
        <v>357</v>
      </c>
      <c r="E490">
        <v>1</v>
      </c>
      <c r="F490" s="166">
        <v>450</v>
      </c>
      <c r="G490">
        <v>450</v>
      </c>
    </row>
    <row r="491" spans="1:7">
      <c r="A491" t="s">
        <v>363</v>
      </c>
      <c r="B491" s="165">
        <v>41810</v>
      </c>
      <c r="C491" t="s">
        <v>350</v>
      </c>
      <c r="D491" t="s">
        <v>351</v>
      </c>
      <c r="E491">
        <v>12</v>
      </c>
      <c r="F491" s="166">
        <v>475</v>
      </c>
      <c r="G491">
        <v>5700</v>
      </c>
    </row>
    <row r="492" spans="1:7">
      <c r="A492" t="s">
        <v>363</v>
      </c>
      <c r="B492" s="165">
        <v>41816</v>
      </c>
      <c r="C492" t="s">
        <v>356</v>
      </c>
      <c r="D492" t="s">
        <v>357</v>
      </c>
      <c r="E492">
        <v>4</v>
      </c>
      <c r="F492" s="166">
        <v>260</v>
      </c>
      <c r="G492">
        <v>1040</v>
      </c>
    </row>
    <row r="493" spans="1:7">
      <c r="A493" t="s">
        <v>363</v>
      </c>
      <c r="B493" s="165">
        <v>41823</v>
      </c>
      <c r="C493" t="s">
        <v>358</v>
      </c>
      <c r="D493" t="s">
        <v>359</v>
      </c>
      <c r="E493">
        <v>10</v>
      </c>
      <c r="F493" s="166">
        <v>331.2</v>
      </c>
      <c r="G493">
        <v>3312</v>
      </c>
    </row>
    <row r="494" spans="1:7">
      <c r="A494" t="s">
        <v>363</v>
      </c>
      <c r="B494" s="165">
        <v>41830</v>
      </c>
      <c r="C494" t="s">
        <v>358</v>
      </c>
      <c r="D494" t="s">
        <v>359</v>
      </c>
      <c r="E494">
        <v>2</v>
      </c>
      <c r="F494" s="166">
        <v>409</v>
      </c>
      <c r="G494">
        <v>818</v>
      </c>
    </row>
    <row r="495" spans="1:7">
      <c r="A495" t="s">
        <v>363</v>
      </c>
      <c r="B495" s="165">
        <v>41830</v>
      </c>
      <c r="C495" t="s">
        <v>356</v>
      </c>
      <c r="D495" t="s">
        <v>357</v>
      </c>
      <c r="E495">
        <v>2</v>
      </c>
      <c r="F495" s="166">
        <v>295</v>
      </c>
      <c r="G495">
        <v>590</v>
      </c>
    </row>
    <row r="496" spans="1:7">
      <c r="A496" t="s">
        <v>363</v>
      </c>
      <c r="B496" s="165">
        <v>41830</v>
      </c>
      <c r="C496" t="s">
        <v>356</v>
      </c>
      <c r="D496" t="s">
        <v>357</v>
      </c>
      <c r="E496">
        <v>2</v>
      </c>
      <c r="F496" s="166">
        <v>339</v>
      </c>
      <c r="G496">
        <v>678</v>
      </c>
    </row>
    <row r="497" spans="1:7">
      <c r="A497" t="s">
        <v>363</v>
      </c>
      <c r="B497" s="165">
        <v>41844</v>
      </c>
      <c r="C497" t="s">
        <v>358</v>
      </c>
      <c r="D497" t="s">
        <v>359</v>
      </c>
      <c r="E497">
        <v>4</v>
      </c>
      <c r="F497" s="166">
        <v>550</v>
      </c>
      <c r="G497">
        <v>2200</v>
      </c>
    </row>
    <row r="498" spans="1:7">
      <c r="A498" t="s">
        <v>363</v>
      </c>
      <c r="B498" s="165">
        <v>41844</v>
      </c>
      <c r="C498" t="s">
        <v>358</v>
      </c>
      <c r="D498" t="s">
        <v>359</v>
      </c>
      <c r="E498">
        <v>5</v>
      </c>
      <c r="F498" s="166">
        <v>677</v>
      </c>
      <c r="G498">
        <v>3385</v>
      </c>
    </row>
    <row r="499" spans="1:7">
      <c r="A499" t="s">
        <v>363</v>
      </c>
      <c r="B499" s="165">
        <v>41844</v>
      </c>
      <c r="C499" t="s">
        <v>354</v>
      </c>
      <c r="D499" t="s">
        <v>355</v>
      </c>
      <c r="E499">
        <v>1</v>
      </c>
      <c r="F499" s="166">
        <v>547</v>
      </c>
      <c r="G499">
        <v>547</v>
      </c>
    </row>
    <row r="500" spans="1:7">
      <c r="A500" t="s">
        <v>363</v>
      </c>
      <c r="B500" s="165">
        <v>41844</v>
      </c>
      <c r="C500" t="s">
        <v>354</v>
      </c>
      <c r="D500" t="s">
        <v>355</v>
      </c>
      <c r="E500">
        <v>5</v>
      </c>
      <c r="F500" s="166">
        <v>732</v>
      </c>
      <c r="G500">
        <v>3660</v>
      </c>
    </row>
    <row r="501" spans="1:7">
      <c r="A501" t="s">
        <v>363</v>
      </c>
      <c r="B501" s="165">
        <v>41844</v>
      </c>
      <c r="C501" t="s">
        <v>352</v>
      </c>
      <c r="D501" t="s">
        <v>353</v>
      </c>
      <c r="E501">
        <v>3</v>
      </c>
      <c r="F501" s="166">
        <v>547.33333333333337</v>
      </c>
      <c r="G501">
        <v>1642</v>
      </c>
    </row>
    <row r="502" spans="1:7">
      <c r="A502" t="s">
        <v>363</v>
      </c>
      <c r="B502" s="165">
        <v>41844</v>
      </c>
      <c r="C502" t="s">
        <v>356</v>
      </c>
      <c r="D502" t="s">
        <v>357</v>
      </c>
      <c r="E502">
        <v>8</v>
      </c>
      <c r="F502" s="166">
        <v>375</v>
      </c>
      <c r="G502">
        <v>3000</v>
      </c>
    </row>
    <row r="503" spans="1:7">
      <c r="A503" t="s">
        <v>363</v>
      </c>
      <c r="B503" s="165">
        <v>41844</v>
      </c>
      <c r="C503" t="s">
        <v>350</v>
      </c>
      <c r="D503" t="s">
        <v>351</v>
      </c>
      <c r="E503">
        <v>1</v>
      </c>
      <c r="F503" s="166">
        <v>375</v>
      </c>
      <c r="G503">
        <v>375</v>
      </c>
    </row>
    <row r="504" spans="1:7">
      <c r="A504" t="s">
        <v>363</v>
      </c>
      <c r="B504" s="165">
        <v>41844</v>
      </c>
      <c r="C504" t="s">
        <v>350</v>
      </c>
      <c r="D504" t="s">
        <v>351</v>
      </c>
      <c r="E504">
        <v>2</v>
      </c>
      <c r="F504" s="166">
        <v>375</v>
      </c>
      <c r="G504">
        <v>750</v>
      </c>
    </row>
    <row r="505" spans="1:7">
      <c r="A505" t="s">
        <v>363</v>
      </c>
      <c r="B505" s="165">
        <v>41844</v>
      </c>
      <c r="C505" t="s">
        <v>350</v>
      </c>
      <c r="D505" t="s">
        <v>351</v>
      </c>
      <c r="E505">
        <v>13</v>
      </c>
      <c r="F505" s="166">
        <v>417.30769230769232</v>
      </c>
      <c r="G505">
        <v>5425</v>
      </c>
    </row>
    <row r="506" spans="1:7">
      <c r="A506" t="s">
        <v>363</v>
      </c>
      <c r="B506" s="165">
        <v>41858</v>
      </c>
      <c r="C506" t="s">
        <v>354</v>
      </c>
      <c r="D506" t="s">
        <v>355</v>
      </c>
      <c r="E506">
        <v>4</v>
      </c>
      <c r="F506" s="166">
        <v>695</v>
      </c>
      <c r="G506">
        <v>2780</v>
      </c>
    </row>
    <row r="507" spans="1:7">
      <c r="A507" t="s">
        <v>363</v>
      </c>
      <c r="B507" s="165">
        <v>41858</v>
      </c>
      <c r="C507" t="s">
        <v>356</v>
      </c>
      <c r="D507" t="s">
        <v>357</v>
      </c>
      <c r="E507">
        <v>6</v>
      </c>
      <c r="F507" s="166">
        <v>225</v>
      </c>
      <c r="G507">
        <v>1350</v>
      </c>
    </row>
    <row r="508" spans="1:7">
      <c r="A508" t="s">
        <v>363</v>
      </c>
      <c r="B508" s="165">
        <v>41858</v>
      </c>
      <c r="C508" t="s">
        <v>350</v>
      </c>
      <c r="D508" t="s">
        <v>351</v>
      </c>
      <c r="E508">
        <v>6</v>
      </c>
      <c r="F508" s="166">
        <v>405</v>
      </c>
      <c r="G508">
        <v>2430</v>
      </c>
    </row>
    <row r="509" spans="1:7">
      <c r="A509" t="s">
        <v>363</v>
      </c>
      <c r="B509" s="165">
        <v>41865</v>
      </c>
      <c r="C509" t="s">
        <v>354</v>
      </c>
      <c r="D509" t="s">
        <v>355</v>
      </c>
      <c r="E509">
        <v>5</v>
      </c>
      <c r="F509" s="166">
        <v>864</v>
      </c>
      <c r="G509">
        <v>4320</v>
      </c>
    </row>
    <row r="510" spans="1:7">
      <c r="A510" t="s">
        <v>363</v>
      </c>
      <c r="B510" s="165">
        <v>41865</v>
      </c>
      <c r="C510" t="s">
        <v>356</v>
      </c>
      <c r="D510" t="s">
        <v>357</v>
      </c>
      <c r="E510">
        <v>4</v>
      </c>
      <c r="F510" s="166">
        <v>264</v>
      </c>
      <c r="G510">
        <v>1056</v>
      </c>
    </row>
    <row r="511" spans="1:7">
      <c r="A511" t="s">
        <v>363</v>
      </c>
      <c r="B511" s="165">
        <v>41865</v>
      </c>
      <c r="C511" t="s">
        <v>350</v>
      </c>
      <c r="D511" t="s">
        <v>351</v>
      </c>
      <c r="E511">
        <v>4</v>
      </c>
      <c r="F511" s="166">
        <v>460</v>
      </c>
      <c r="G511">
        <v>1840</v>
      </c>
    </row>
    <row r="512" spans="1:7">
      <c r="A512" t="s">
        <v>363</v>
      </c>
      <c r="B512" s="165">
        <v>41872</v>
      </c>
      <c r="C512" t="s">
        <v>358</v>
      </c>
      <c r="D512" t="s">
        <v>359</v>
      </c>
      <c r="E512">
        <v>8</v>
      </c>
      <c r="F512" s="166">
        <v>805.75</v>
      </c>
      <c r="G512">
        <v>6446</v>
      </c>
    </row>
    <row r="513" spans="1:7">
      <c r="A513" t="s">
        <v>363</v>
      </c>
      <c r="B513" s="165">
        <v>41872</v>
      </c>
      <c r="C513" t="s">
        <v>356</v>
      </c>
      <c r="D513" t="s">
        <v>357</v>
      </c>
      <c r="E513">
        <v>16</v>
      </c>
      <c r="F513" s="166">
        <v>501.625</v>
      </c>
      <c r="G513">
        <v>8026</v>
      </c>
    </row>
    <row r="514" spans="1:7">
      <c r="A514" t="s">
        <v>363</v>
      </c>
      <c r="B514" s="165">
        <v>41872</v>
      </c>
      <c r="C514" t="s">
        <v>350</v>
      </c>
      <c r="D514" t="s">
        <v>351</v>
      </c>
      <c r="E514">
        <v>26</v>
      </c>
      <c r="F514" s="166">
        <v>746.46153846153845</v>
      </c>
      <c r="G514">
        <v>19408</v>
      </c>
    </row>
    <row r="515" spans="1:7">
      <c r="A515" t="s">
        <v>363</v>
      </c>
      <c r="B515" s="165">
        <v>41879</v>
      </c>
      <c r="C515" t="s">
        <v>356</v>
      </c>
      <c r="D515" t="s">
        <v>357</v>
      </c>
      <c r="E515">
        <v>15</v>
      </c>
      <c r="F515" s="166">
        <v>345</v>
      </c>
      <c r="G515">
        <v>5175</v>
      </c>
    </row>
    <row r="516" spans="1:7">
      <c r="A516" t="s">
        <v>363</v>
      </c>
      <c r="B516" s="165">
        <v>41879</v>
      </c>
      <c r="C516" t="s">
        <v>350</v>
      </c>
      <c r="D516" t="s">
        <v>351</v>
      </c>
      <c r="E516">
        <v>5</v>
      </c>
      <c r="F516" s="166">
        <v>418</v>
      </c>
      <c r="G516">
        <v>2090</v>
      </c>
    </row>
    <row r="517" spans="1:7">
      <c r="A517" t="s">
        <v>363</v>
      </c>
      <c r="B517" s="165">
        <v>41893</v>
      </c>
      <c r="C517" t="s">
        <v>358</v>
      </c>
      <c r="D517" t="s">
        <v>359</v>
      </c>
      <c r="E517">
        <v>1</v>
      </c>
      <c r="F517" s="166">
        <v>650</v>
      </c>
      <c r="G517">
        <v>650</v>
      </c>
    </row>
    <row r="518" spans="1:7">
      <c r="A518" t="s">
        <v>363</v>
      </c>
      <c r="B518" s="165">
        <v>41893</v>
      </c>
      <c r="C518" t="s">
        <v>358</v>
      </c>
      <c r="D518" t="s">
        <v>359</v>
      </c>
      <c r="E518">
        <v>11</v>
      </c>
      <c r="F518" s="166">
        <v>268.18181818181819</v>
      </c>
      <c r="G518">
        <v>2950</v>
      </c>
    </row>
    <row r="519" spans="1:7">
      <c r="A519" t="s">
        <v>363</v>
      </c>
      <c r="B519" s="165">
        <v>41893</v>
      </c>
      <c r="C519" t="s">
        <v>354</v>
      </c>
      <c r="D519" t="s">
        <v>355</v>
      </c>
      <c r="E519">
        <v>6</v>
      </c>
      <c r="F519" s="166">
        <v>1200</v>
      </c>
      <c r="G519">
        <v>7200</v>
      </c>
    </row>
    <row r="520" spans="1:7">
      <c r="A520" t="s">
        <v>363</v>
      </c>
      <c r="B520" s="165">
        <v>41893</v>
      </c>
      <c r="C520" t="s">
        <v>356</v>
      </c>
      <c r="D520" t="s">
        <v>357</v>
      </c>
      <c r="E520">
        <v>1</v>
      </c>
      <c r="F520" s="166">
        <v>445</v>
      </c>
      <c r="G520">
        <v>445</v>
      </c>
    </row>
    <row r="521" spans="1:7">
      <c r="A521" t="s">
        <v>363</v>
      </c>
      <c r="B521" s="165">
        <v>41893</v>
      </c>
      <c r="C521" t="s">
        <v>350</v>
      </c>
      <c r="D521" t="s">
        <v>351</v>
      </c>
      <c r="E521">
        <v>5</v>
      </c>
      <c r="F521" s="166">
        <v>775</v>
      </c>
      <c r="G521">
        <v>3875</v>
      </c>
    </row>
    <row r="522" spans="1:7">
      <c r="A522" t="s">
        <v>363</v>
      </c>
      <c r="B522" s="165">
        <v>41900</v>
      </c>
      <c r="C522" t="s">
        <v>358</v>
      </c>
      <c r="D522" t="s">
        <v>359</v>
      </c>
      <c r="E522">
        <v>5</v>
      </c>
      <c r="F522" s="166">
        <v>674.4</v>
      </c>
      <c r="G522">
        <v>3372</v>
      </c>
    </row>
    <row r="523" spans="1:7">
      <c r="A523" t="s">
        <v>363</v>
      </c>
      <c r="B523" s="165">
        <v>41900</v>
      </c>
      <c r="C523" t="s">
        <v>354</v>
      </c>
      <c r="D523" t="s">
        <v>355</v>
      </c>
      <c r="E523">
        <v>18</v>
      </c>
      <c r="F523" s="166">
        <v>854</v>
      </c>
      <c r="G523">
        <v>15372</v>
      </c>
    </row>
    <row r="524" spans="1:7">
      <c r="A524" t="s">
        <v>363</v>
      </c>
      <c r="B524" s="165">
        <v>41900</v>
      </c>
      <c r="C524" t="s">
        <v>352</v>
      </c>
      <c r="D524" t="s">
        <v>353</v>
      </c>
      <c r="E524">
        <v>12</v>
      </c>
      <c r="F524" s="166">
        <v>885.5</v>
      </c>
      <c r="G524">
        <v>10626</v>
      </c>
    </row>
    <row r="525" spans="1:7">
      <c r="A525" t="s">
        <v>363</v>
      </c>
      <c r="B525" s="165">
        <v>41915</v>
      </c>
      <c r="C525" t="s">
        <v>354</v>
      </c>
      <c r="D525" t="s">
        <v>355</v>
      </c>
      <c r="E525">
        <v>4</v>
      </c>
      <c r="F525" s="166">
        <v>510</v>
      </c>
      <c r="G525">
        <v>2040</v>
      </c>
    </row>
    <row r="526" spans="1:7">
      <c r="A526" t="s">
        <v>363</v>
      </c>
      <c r="B526" s="165">
        <v>41915</v>
      </c>
      <c r="C526" t="s">
        <v>356</v>
      </c>
      <c r="D526" t="s">
        <v>357</v>
      </c>
      <c r="E526">
        <v>6</v>
      </c>
      <c r="F526" s="166">
        <v>230</v>
      </c>
      <c r="G526">
        <v>1380</v>
      </c>
    </row>
    <row r="527" spans="1:7">
      <c r="A527" t="s">
        <v>363</v>
      </c>
      <c r="B527" s="165">
        <v>41915</v>
      </c>
      <c r="C527" t="s">
        <v>356</v>
      </c>
      <c r="D527" t="s">
        <v>357</v>
      </c>
      <c r="E527">
        <v>6</v>
      </c>
      <c r="F527" s="166">
        <v>433.33333333333331</v>
      </c>
      <c r="G527">
        <v>2600</v>
      </c>
    </row>
    <row r="528" spans="1:7">
      <c r="A528" t="s">
        <v>363</v>
      </c>
      <c r="B528" s="165">
        <v>41921</v>
      </c>
      <c r="C528" t="s">
        <v>358</v>
      </c>
      <c r="D528" t="s">
        <v>359</v>
      </c>
      <c r="E528">
        <v>6</v>
      </c>
      <c r="F528" s="166">
        <v>730</v>
      </c>
      <c r="G528">
        <v>4380</v>
      </c>
    </row>
    <row r="529" spans="1:7">
      <c r="A529" t="s">
        <v>363</v>
      </c>
      <c r="B529" s="165">
        <v>41921</v>
      </c>
      <c r="C529" t="s">
        <v>358</v>
      </c>
      <c r="D529" t="s">
        <v>359</v>
      </c>
      <c r="E529">
        <v>10</v>
      </c>
      <c r="F529" s="166">
        <v>450</v>
      </c>
      <c r="G529">
        <v>4500</v>
      </c>
    </row>
    <row r="530" spans="1:7">
      <c r="A530" t="s">
        <v>363</v>
      </c>
      <c r="B530" s="165">
        <v>41921</v>
      </c>
      <c r="C530" t="s">
        <v>358</v>
      </c>
      <c r="D530" t="s">
        <v>359</v>
      </c>
      <c r="E530">
        <v>5</v>
      </c>
      <c r="F530" s="166">
        <v>1000</v>
      </c>
      <c r="G530">
        <v>5000</v>
      </c>
    </row>
    <row r="531" spans="1:7">
      <c r="A531" t="s">
        <v>363</v>
      </c>
      <c r="B531" s="165">
        <v>41921</v>
      </c>
      <c r="C531" t="s">
        <v>354</v>
      </c>
      <c r="D531" t="s">
        <v>355</v>
      </c>
      <c r="E531">
        <v>4</v>
      </c>
      <c r="F531" s="166">
        <v>189.5</v>
      </c>
      <c r="G531">
        <v>758</v>
      </c>
    </row>
    <row r="532" spans="1:7">
      <c r="A532" t="s">
        <v>363</v>
      </c>
      <c r="B532" s="165">
        <v>41921</v>
      </c>
      <c r="C532" t="s">
        <v>354</v>
      </c>
      <c r="D532" t="s">
        <v>355</v>
      </c>
      <c r="E532">
        <v>3</v>
      </c>
      <c r="F532" s="166">
        <v>1000</v>
      </c>
      <c r="G532">
        <v>3000</v>
      </c>
    </row>
    <row r="533" spans="1:7">
      <c r="A533" t="s">
        <v>363</v>
      </c>
      <c r="B533" s="165">
        <v>41921</v>
      </c>
      <c r="C533" t="s">
        <v>354</v>
      </c>
      <c r="D533" t="s">
        <v>355</v>
      </c>
      <c r="E533">
        <v>7</v>
      </c>
      <c r="F533" s="166">
        <v>868</v>
      </c>
      <c r="G533">
        <v>6076</v>
      </c>
    </row>
    <row r="534" spans="1:7">
      <c r="A534" t="s">
        <v>363</v>
      </c>
      <c r="B534" s="165">
        <v>41921</v>
      </c>
      <c r="C534" t="s">
        <v>352</v>
      </c>
      <c r="D534" t="s">
        <v>353</v>
      </c>
      <c r="E534">
        <v>6</v>
      </c>
      <c r="F534" s="166">
        <v>1182</v>
      </c>
      <c r="G534">
        <v>7092</v>
      </c>
    </row>
    <row r="535" spans="1:7">
      <c r="A535" t="s">
        <v>363</v>
      </c>
      <c r="B535" s="165">
        <v>41921</v>
      </c>
      <c r="C535" t="s">
        <v>356</v>
      </c>
      <c r="D535" t="s">
        <v>357</v>
      </c>
      <c r="E535">
        <v>1</v>
      </c>
      <c r="F535" s="166">
        <v>235</v>
      </c>
      <c r="G535">
        <v>235</v>
      </c>
    </row>
    <row r="536" spans="1:7">
      <c r="A536" t="s">
        <v>363</v>
      </c>
      <c r="B536" s="165">
        <v>41921</v>
      </c>
      <c r="C536" t="s">
        <v>356</v>
      </c>
      <c r="D536" t="s">
        <v>357</v>
      </c>
      <c r="E536">
        <v>1</v>
      </c>
      <c r="F536" s="166">
        <v>589</v>
      </c>
      <c r="G536">
        <v>589</v>
      </c>
    </row>
    <row r="537" spans="1:7">
      <c r="A537" t="s">
        <v>363</v>
      </c>
      <c r="B537" s="165">
        <v>41921</v>
      </c>
      <c r="C537" t="s">
        <v>350</v>
      </c>
      <c r="D537" t="s">
        <v>351</v>
      </c>
      <c r="E537">
        <v>1</v>
      </c>
      <c r="F537" s="166">
        <v>600</v>
      </c>
      <c r="G537">
        <v>600</v>
      </c>
    </row>
    <row r="538" spans="1:7">
      <c r="A538" t="s">
        <v>363</v>
      </c>
      <c r="B538" s="165">
        <v>41921</v>
      </c>
      <c r="C538" t="s">
        <v>350</v>
      </c>
      <c r="D538" t="s">
        <v>351</v>
      </c>
      <c r="E538">
        <v>1</v>
      </c>
      <c r="F538" s="166">
        <v>650</v>
      </c>
      <c r="G538">
        <v>650</v>
      </c>
    </row>
    <row r="539" spans="1:7">
      <c r="A539" t="s">
        <v>363</v>
      </c>
      <c r="B539" s="165">
        <v>41921</v>
      </c>
      <c r="C539" t="s">
        <v>350</v>
      </c>
      <c r="D539" t="s">
        <v>351</v>
      </c>
      <c r="E539">
        <v>4</v>
      </c>
      <c r="F539" s="166">
        <v>175</v>
      </c>
      <c r="G539">
        <v>700</v>
      </c>
    </row>
    <row r="540" spans="1:7">
      <c r="A540" t="s">
        <v>363</v>
      </c>
      <c r="B540" s="165">
        <v>41921</v>
      </c>
      <c r="C540" t="s">
        <v>350</v>
      </c>
      <c r="D540" t="s">
        <v>351</v>
      </c>
      <c r="E540">
        <v>11</v>
      </c>
      <c r="F540" s="166">
        <v>450</v>
      </c>
      <c r="G540">
        <v>4950</v>
      </c>
    </row>
    <row r="541" spans="1:7">
      <c r="A541" t="s">
        <v>363</v>
      </c>
      <c r="B541" s="165">
        <v>41936</v>
      </c>
      <c r="C541" t="s">
        <v>354</v>
      </c>
      <c r="D541" t="s">
        <v>355</v>
      </c>
      <c r="E541">
        <v>8</v>
      </c>
      <c r="F541" s="166">
        <v>685</v>
      </c>
      <c r="G541">
        <v>5480</v>
      </c>
    </row>
    <row r="542" spans="1:7">
      <c r="A542" t="s">
        <v>363</v>
      </c>
      <c r="B542" s="165">
        <v>41936</v>
      </c>
      <c r="C542" t="s">
        <v>356</v>
      </c>
      <c r="D542" t="s">
        <v>357</v>
      </c>
      <c r="E542">
        <v>5</v>
      </c>
      <c r="F542" s="166">
        <v>264</v>
      </c>
      <c r="G542">
        <v>1320</v>
      </c>
    </row>
    <row r="543" spans="1:7">
      <c r="A543" t="s">
        <v>363</v>
      </c>
      <c r="B543" s="165">
        <v>41943</v>
      </c>
      <c r="C543" t="s">
        <v>358</v>
      </c>
      <c r="D543" t="s">
        <v>359</v>
      </c>
      <c r="E543">
        <v>4</v>
      </c>
      <c r="F543" s="166">
        <v>670</v>
      </c>
      <c r="G543">
        <v>2680</v>
      </c>
    </row>
    <row r="544" spans="1:7">
      <c r="A544" t="s">
        <v>363</v>
      </c>
      <c r="B544" s="165">
        <v>41943</v>
      </c>
      <c r="C544" t="s">
        <v>354</v>
      </c>
      <c r="D544" t="s">
        <v>355</v>
      </c>
      <c r="E544">
        <v>1</v>
      </c>
      <c r="F544" s="166">
        <v>796</v>
      </c>
      <c r="G544">
        <v>796</v>
      </c>
    </row>
    <row r="545" spans="1:7">
      <c r="A545" t="s">
        <v>363</v>
      </c>
      <c r="B545" s="165">
        <v>41943</v>
      </c>
      <c r="C545" t="s">
        <v>354</v>
      </c>
      <c r="D545" t="s">
        <v>355</v>
      </c>
      <c r="E545">
        <v>10</v>
      </c>
      <c r="F545" s="166">
        <v>796</v>
      </c>
      <c r="G545">
        <v>7960</v>
      </c>
    </row>
    <row r="546" spans="1:7">
      <c r="A546" t="s">
        <v>363</v>
      </c>
      <c r="B546" s="165">
        <v>41943</v>
      </c>
      <c r="C546" t="s">
        <v>350</v>
      </c>
      <c r="D546" t="s">
        <v>351</v>
      </c>
      <c r="E546">
        <v>31</v>
      </c>
      <c r="F546" s="166">
        <v>439.51612903225805</v>
      </c>
      <c r="G546">
        <v>13625</v>
      </c>
    </row>
    <row r="547" spans="1:7">
      <c r="A547" t="s">
        <v>363</v>
      </c>
      <c r="B547" s="165">
        <v>41949</v>
      </c>
      <c r="C547" t="s">
        <v>358</v>
      </c>
      <c r="D547" t="s">
        <v>359</v>
      </c>
      <c r="E547">
        <v>2</v>
      </c>
      <c r="F547" s="166">
        <v>390</v>
      </c>
      <c r="G547">
        <v>780</v>
      </c>
    </row>
    <row r="548" spans="1:7">
      <c r="A548" t="s">
        <v>363</v>
      </c>
      <c r="B548" s="165">
        <v>41949</v>
      </c>
      <c r="C548" t="s">
        <v>354</v>
      </c>
      <c r="D548" t="s">
        <v>355</v>
      </c>
      <c r="E548">
        <v>3</v>
      </c>
      <c r="F548" s="166">
        <v>1950</v>
      </c>
      <c r="G548">
        <v>5850</v>
      </c>
    </row>
    <row r="549" spans="1:7">
      <c r="A549" t="s">
        <v>363</v>
      </c>
      <c r="B549" s="165">
        <v>41949</v>
      </c>
      <c r="C549" t="s">
        <v>352</v>
      </c>
      <c r="D549" t="s">
        <v>353</v>
      </c>
      <c r="E549">
        <v>3</v>
      </c>
      <c r="F549" s="166">
        <v>1900</v>
      </c>
      <c r="G549">
        <v>5700</v>
      </c>
    </row>
    <row r="550" spans="1:7">
      <c r="A550" t="s">
        <v>363</v>
      </c>
      <c r="B550" s="165">
        <v>41949</v>
      </c>
      <c r="C550" t="s">
        <v>352</v>
      </c>
      <c r="D550" t="s">
        <v>353</v>
      </c>
      <c r="E550">
        <v>12</v>
      </c>
      <c r="F550" s="166">
        <v>800</v>
      </c>
      <c r="G550">
        <v>9600</v>
      </c>
    </row>
    <row r="551" spans="1:7">
      <c r="A551" t="s">
        <v>363</v>
      </c>
      <c r="B551" s="165">
        <v>41949</v>
      </c>
      <c r="C551" t="s">
        <v>356</v>
      </c>
      <c r="D551" t="s">
        <v>357</v>
      </c>
      <c r="E551">
        <v>3</v>
      </c>
      <c r="F551" s="166">
        <v>400</v>
      </c>
      <c r="G551">
        <v>1200</v>
      </c>
    </row>
    <row r="552" spans="1:7">
      <c r="A552" t="s">
        <v>363</v>
      </c>
      <c r="B552" s="165">
        <v>41949</v>
      </c>
      <c r="C552" t="s">
        <v>350</v>
      </c>
      <c r="D552" t="s">
        <v>351</v>
      </c>
      <c r="E552">
        <v>5</v>
      </c>
      <c r="F552" s="166">
        <v>400</v>
      </c>
      <c r="G552">
        <v>2000</v>
      </c>
    </row>
    <row r="553" spans="1:7">
      <c r="A553" t="s">
        <v>363</v>
      </c>
      <c r="B553" s="165">
        <v>41949</v>
      </c>
      <c r="C553" t="s">
        <v>350</v>
      </c>
      <c r="D553" t="s">
        <v>351</v>
      </c>
      <c r="E553">
        <v>6</v>
      </c>
      <c r="F553" s="166">
        <v>390</v>
      </c>
      <c r="G553">
        <v>2340</v>
      </c>
    </row>
    <row r="554" spans="1:7">
      <c r="A554" t="s">
        <v>363</v>
      </c>
      <c r="B554" s="165">
        <v>41949</v>
      </c>
      <c r="C554" t="s">
        <v>350</v>
      </c>
      <c r="D554" t="s">
        <v>351</v>
      </c>
      <c r="E554">
        <v>8</v>
      </c>
      <c r="F554" s="166">
        <v>825</v>
      </c>
      <c r="G554">
        <v>6600</v>
      </c>
    </row>
    <row r="555" spans="1:7">
      <c r="A555" t="s">
        <v>363</v>
      </c>
      <c r="B555" s="165">
        <v>41957</v>
      </c>
      <c r="C555" t="s">
        <v>358</v>
      </c>
      <c r="D555" t="s">
        <v>359</v>
      </c>
      <c r="E555">
        <v>2</v>
      </c>
      <c r="F555" s="166">
        <v>680</v>
      </c>
      <c r="G555">
        <v>1360</v>
      </c>
    </row>
    <row r="556" spans="1:7">
      <c r="A556" t="s">
        <v>363</v>
      </c>
      <c r="B556" s="165">
        <v>41957</v>
      </c>
      <c r="C556" t="s">
        <v>354</v>
      </c>
      <c r="D556" t="s">
        <v>355</v>
      </c>
      <c r="E556">
        <v>17</v>
      </c>
      <c r="F556" s="166">
        <v>677.88235294117646</v>
      </c>
      <c r="G556">
        <v>11524</v>
      </c>
    </row>
    <row r="557" spans="1:7">
      <c r="A557" t="s">
        <v>363</v>
      </c>
      <c r="B557" s="165">
        <v>41957</v>
      </c>
      <c r="C557" t="s">
        <v>356</v>
      </c>
      <c r="D557" t="s">
        <v>357</v>
      </c>
      <c r="E557">
        <v>18</v>
      </c>
      <c r="F557" s="166">
        <v>350</v>
      </c>
      <c r="G557">
        <v>6300</v>
      </c>
    </row>
    <row r="558" spans="1:7">
      <c r="A558" t="s">
        <v>363</v>
      </c>
      <c r="B558" s="165">
        <v>41957</v>
      </c>
      <c r="C558" t="s">
        <v>356</v>
      </c>
      <c r="D558" t="s">
        <v>357</v>
      </c>
      <c r="E558">
        <v>22</v>
      </c>
      <c r="F558" s="166">
        <v>309</v>
      </c>
      <c r="G558">
        <v>6798</v>
      </c>
    </row>
    <row r="559" spans="1:7">
      <c r="A559" t="s">
        <v>363</v>
      </c>
      <c r="B559" s="165">
        <v>41963</v>
      </c>
      <c r="C559" t="s">
        <v>358</v>
      </c>
      <c r="D559" t="s">
        <v>359</v>
      </c>
      <c r="E559">
        <v>12</v>
      </c>
      <c r="F559" s="166">
        <v>295</v>
      </c>
      <c r="G559">
        <v>3540</v>
      </c>
    </row>
    <row r="560" spans="1:7">
      <c r="A560" t="s">
        <v>363</v>
      </c>
      <c r="B560" s="165">
        <v>41971</v>
      </c>
      <c r="C560" t="s">
        <v>352</v>
      </c>
      <c r="D560" t="s">
        <v>353</v>
      </c>
      <c r="E560">
        <v>4</v>
      </c>
      <c r="F560" s="166">
        <v>1622.5</v>
      </c>
      <c r="G560">
        <v>6490</v>
      </c>
    </row>
    <row r="561" spans="1:7">
      <c r="A561" t="s">
        <v>363</v>
      </c>
      <c r="B561" s="165">
        <v>41971</v>
      </c>
      <c r="C561" t="s">
        <v>350</v>
      </c>
      <c r="D561" t="s">
        <v>351</v>
      </c>
      <c r="E561">
        <v>1</v>
      </c>
      <c r="F561" s="166">
        <v>225</v>
      </c>
      <c r="G561">
        <v>225</v>
      </c>
    </row>
    <row r="562" spans="1:7">
      <c r="A562" t="s">
        <v>363</v>
      </c>
      <c r="B562" s="165">
        <v>41971</v>
      </c>
      <c r="C562" t="s">
        <v>350</v>
      </c>
      <c r="D562" t="s">
        <v>351</v>
      </c>
      <c r="E562">
        <v>2</v>
      </c>
      <c r="F562" s="166">
        <v>650</v>
      </c>
      <c r="G562">
        <v>1300</v>
      </c>
    </row>
    <row r="563" spans="1:7">
      <c r="A563" t="s">
        <v>363</v>
      </c>
      <c r="B563" s="165">
        <v>41977</v>
      </c>
      <c r="C563" t="s">
        <v>358</v>
      </c>
      <c r="D563" t="s">
        <v>359</v>
      </c>
      <c r="E563">
        <v>17</v>
      </c>
      <c r="F563" s="166">
        <v>690</v>
      </c>
      <c r="G563">
        <v>11730</v>
      </c>
    </row>
    <row r="564" spans="1:7">
      <c r="A564" t="s">
        <v>363</v>
      </c>
      <c r="B564" s="165">
        <v>41977</v>
      </c>
      <c r="C564" t="s">
        <v>358</v>
      </c>
      <c r="D564" t="s">
        <v>359</v>
      </c>
      <c r="E564">
        <v>32</v>
      </c>
      <c r="F564" s="166">
        <v>400</v>
      </c>
      <c r="G564">
        <v>12800</v>
      </c>
    </row>
    <row r="565" spans="1:7">
      <c r="A565" t="s">
        <v>363</v>
      </c>
      <c r="B565" s="165">
        <v>41977</v>
      </c>
      <c r="C565" t="s">
        <v>354</v>
      </c>
      <c r="D565" t="s">
        <v>355</v>
      </c>
      <c r="E565">
        <v>6</v>
      </c>
      <c r="F565" s="166">
        <v>400</v>
      </c>
      <c r="G565">
        <v>2400</v>
      </c>
    </row>
    <row r="566" spans="1:7">
      <c r="A566" t="s">
        <v>363</v>
      </c>
      <c r="B566" s="165">
        <v>41977</v>
      </c>
      <c r="C566" t="s">
        <v>352</v>
      </c>
      <c r="D566" t="s">
        <v>353</v>
      </c>
      <c r="E566">
        <v>288</v>
      </c>
      <c r="F566" s="166">
        <v>847.08333333333337</v>
      </c>
      <c r="G566">
        <v>243960</v>
      </c>
    </row>
    <row r="567" spans="1:7">
      <c r="A567" t="s">
        <v>363</v>
      </c>
      <c r="B567" s="165">
        <v>41977</v>
      </c>
      <c r="C567" t="s">
        <v>350</v>
      </c>
      <c r="D567" t="s">
        <v>351</v>
      </c>
      <c r="E567">
        <v>105</v>
      </c>
      <c r="F567" s="166">
        <v>400</v>
      </c>
      <c r="G567">
        <v>42000</v>
      </c>
    </row>
    <row r="568" spans="1:7">
      <c r="A568" t="s">
        <v>363</v>
      </c>
      <c r="B568" s="165">
        <v>41999</v>
      </c>
      <c r="C568" t="s">
        <v>358</v>
      </c>
      <c r="D568" t="s">
        <v>359</v>
      </c>
      <c r="E568">
        <v>3</v>
      </c>
      <c r="F568" s="166">
        <v>700</v>
      </c>
      <c r="G568">
        <v>2100</v>
      </c>
    </row>
    <row r="569" spans="1:7">
      <c r="A569" t="s">
        <v>363</v>
      </c>
      <c r="B569" s="165">
        <v>41999</v>
      </c>
      <c r="C569" t="s">
        <v>360</v>
      </c>
      <c r="D569" t="s">
        <v>361</v>
      </c>
      <c r="E569">
        <v>2</v>
      </c>
      <c r="F569" s="166">
        <v>980</v>
      </c>
      <c r="G569">
        <v>1960</v>
      </c>
    </row>
    <row r="570" spans="1:7">
      <c r="A570" t="s">
        <v>363</v>
      </c>
      <c r="B570" s="165">
        <v>41999</v>
      </c>
      <c r="C570" t="s">
        <v>356</v>
      </c>
      <c r="D570" t="s">
        <v>357</v>
      </c>
      <c r="E570">
        <v>5</v>
      </c>
      <c r="F570" s="166">
        <v>264.8</v>
      </c>
      <c r="G570">
        <v>1324</v>
      </c>
    </row>
    <row r="571" spans="1:7">
      <c r="A571" t="s">
        <v>363</v>
      </c>
      <c r="B571" s="165">
        <v>41999</v>
      </c>
      <c r="C571" t="s">
        <v>350</v>
      </c>
      <c r="D571" t="s">
        <v>351</v>
      </c>
      <c r="E571">
        <v>12</v>
      </c>
      <c r="F571" s="166">
        <v>469.58333333333331</v>
      </c>
      <c r="G571">
        <v>5635</v>
      </c>
    </row>
    <row r="572" spans="1:7">
      <c r="A572" t="s">
        <v>363</v>
      </c>
      <c r="B572" s="165">
        <v>42004</v>
      </c>
      <c r="C572" t="s">
        <v>354</v>
      </c>
      <c r="D572" t="s">
        <v>355</v>
      </c>
      <c r="E572">
        <v>3</v>
      </c>
      <c r="F572" s="166">
        <v>313.66666666666669</v>
      </c>
      <c r="G572">
        <v>941</v>
      </c>
    </row>
    <row r="573" spans="1:7">
      <c r="A573" t="s">
        <v>363</v>
      </c>
      <c r="B573" s="165">
        <v>42004</v>
      </c>
      <c r="C573" t="s">
        <v>356</v>
      </c>
      <c r="D573" t="s">
        <v>357</v>
      </c>
      <c r="E573">
        <v>11</v>
      </c>
      <c r="F573" s="166">
        <v>225</v>
      </c>
      <c r="G573">
        <v>2475</v>
      </c>
    </row>
    <row r="574" spans="1:7">
      <c r="A574" t="s">
        <v>364</v>
      </c>
      <c r="B574" s="165">
        <v>41872</v>
      </c>
      <c r="C574" t="s">
        <v>356</v>
      </c>
      <c r="D574" t="s">
        <v>357</v>
      </c>
      <c r="E574">
        <v>1</v>
      </c>
      <c r="F574" s="166">
        <v>167</v>
      </c>
      <c r="G574">
        <v>167</v>
      </c>
    </row>
    <row r="575" spans="1:7">
      <c r="A575" t="s">
        <v>364</v>
      </c>
      <c r="B575" s="165">
        <v>41872</v>
      </c>
      <c r="C575" t="s">
        <v>350</v>
      </c>
      <c r="D575" t="s">
        <v>351</v>
      </c>
      <c r="E575">
        <v>7</v>
      </c>
      <c r="F575" s="166">
        <v>454.28571428571428</v>
      </c>
      <c r="G575">
        <v>3180</v>
      </c>
    </row>
    <row r="576" spans="1:7">
      <c r="A576" t="s">
        <v>364</v>
      </c>
      <c r="B576" s="165">
        <v>41977</v>
      </c>
      <c r="C576" t="s">
        <v>360</v>
      </c>
      <c r="D576" t="s">
        <v>361</v>
      </c>
      <c r="E576">
        <v>11</v>
      </c>
      <c r="F576" s="166">
        <v>890.90909090909088</v>
      </c>
      <c r="G576">
        <v>9800</v>
      </c>
    </row>
    <row r="577" spans="1:8">
      <c r="A577" t="s">
        <v>364</v>
      </c>
      <c r="B577" s="165">
        <v>41977</v>
      </c>
      <c r="C577" t="s">
        <v>360</v>
      </c>
      <c r="D577" t="s">
        <v>361</v>
      </c>
      <c r="E577">
        <v>11</v>
      </c>
      <c r="F577" s="166">
        <v>1021.4545454545455</v>
      </c>
      <c r="G577">
        <v>11236</v>
      </c>
    </row>
    <row r="579" spans="1:8">
      <c r="A579" s="171"/>
      <c r="B579" s="171"/>
      <c r="C579" s="171"/>
      <c r="D579" s="171"/>
      <c r="E579" s="171"/>
      <c r="F579" s="171"/>
      <c r="G579" s="171"/>
      <c r="H579" s="171"/>
    </row>
    <row r="580" spans="1:8">
      <c r="A580" s="146" t="s">
        <v>357</v>
      </c>
    </row>
    <row r="581" spans="1:8">
      <c r="A581" t="s">
        <v>342</v>
      </c>
      <c r="B581" s="165" t="s">
        <v>343</v>
      </c>
      <c r="C581" t="s">
        <v>344</v>
      </c>
      <c r="D581" t="s">
        <v>345</v>
      </c>
      <c r="E581" t="s">
        <v>346</v>
      </c>
      <c r="F581" s="166" t="s">
        <v>347</v>
      </c>
      <c r="G581" t="s">
        <v>348</v>
      </c>
    </row>
    <row r="582" spans="1:8">
      <c r="A582" t="s">
        <v>349</v>
      </c>
      <c r="B582" s="165">
        <v>41711</v>
      </c>
      <c r="C582" t="s">
        <v>356</v>
      </c>
      <c r="D582" t="s">
        <v>357</v>
      </c>
      <c r="E582">
        <v>15</v>
      </c>
      <c r="F582" s="166">
        <v>245</v>
      </c>
      <c r="G582">
        <v>3675</v>
      </c>
    </row>
    <row r="583" spans="1:8">
      <c r="A583" t="s">
        <v>349</v>
      </c>
      <c r="B583" s="165">
        <v>41753</v>
      </c>
      <c r="C583" t="s">
        <v>356</v>
      </c>
      <c r="D583" t="s">
        <v>357</v>
      </c>
      <c r="E583">
        <v>2</v>
      </c>
      <c r="F583" s="166">
        <v>349</v>
      </c>
      <c r="G583">
        <v>698</v>
      </c>
    </row>
    <row r="584" spans="1:8">
      <c r="A584" t="s">
        <v>349</v>
      </c>
      <c r="B584" s="165">
        <v>41753</v>
      </c>
      <c r="C584" t="s">
        <v>356</v>
      </c>
      <c r="D584" t="s">
        <v>357</v>
      </c>
      <c r="E584">
        <v>3</v>
      </c>
      <c r="F584" s="166">
        <v>400</v>
      </c>
      <c r="G584">
        <v>1200</v>
      </c>
    </row>
    <row r="585" spans="1:8">
      <c r="A585" t="s">
        <v>349</v>
      </c>
      <c r="B585" s="165">
        <v>41760</v>
      </c>
      <c r="C585" t="s">
        <v>356</v>
      </c>
      <c r="D585" t="s">
        <v>357</v>
      </c>
      <c r="E585">
        <v>4</v>
      </c>
      <c r="F585" s="166">
        <v>226</v>
      </c>
      <c r="G585">
        <v>904</v>
      </c>
    </row>
    <row r="586" spans="1:8">
      <c r="A586" t="s">
        <v>349</v>
      </c>
      <c r="B586" s="165">
        <v>41760</v>
      </c>
      <c r="C586" t="s">
        <v>356</v>
      </c>
      <c r="D586" t="s">
        <v>357</v>
      </c>
      <c r="E586">
        <v>18</v>
      </c>
      <c r="F586" s="166">
        <v>230.33333333333334</v>
      </c>
      <c r="G586">
        <v>4146</v>
      </c>
    </row>
    <row r="587" spans="1:8">
      <c r="A587" t="s">
        <v>349</v>
      </c>
      <c r="B587" s="165">
        <v>41767</v>
      </c>
      <c r="C587" t="s">
        <v>356</v>
      </c>
      <c r="D587" t="s">
        <v>357</v>
      </c>
      <c r="E587">
        <v>4</v>
      </c>
      <c r="F587" s="166">
        <v>273.75</v>
      </c>
      <c r="G587">
        <v>1095</v>
      </c>
    </row>
    <row r="588" spans="1:8">
      <c r="A588" t="s">
        <v>349</v>
      </c>
      <c r="B588" s="165">
        <v>41767</v>
      </c>
      <c r="C588" t="s">
        <v>356</v>
      </c>
      <c r="D588" t="s">
        <v>357</v>
      </c>
      <c r="E588">
        <v>5</v>
      </c>
      <c r="F588" s="166">
        <v>280</v>
      </c>
      <c r="G588">
        <v>1400</v>
      </c>
    </row>
    <row r="589" spans="1:8">
      <c r="A589" t="s">
        <v>349</v>
      </c>
      <c r="B589" s="165">
        <v>41774</v>
      </c>
      <c r="C589" t="s">
        <v>356</v>
      </c>
      <c r="D589" t="s">
        <v>357</v>
      </c>
      <c r="E589">
        <v>2</v>
      </c>
      <c r="F589" s="166">
        <v>164.5</v>
      </c>
      <c r="G589">
        <v>329</v>
      </c>
    </row>
    <row r="590" spans="1:8">
      <c r="A590" t="s">
        <v>349</v>
      </c>
      <c r="B590" s="165">
        <v>41774</v>
      </c>
      <c r="C590" t="s">
        <v>356</v>
      </c>
      <c r="D590" t="s">
        <v>357</v>
      </c>
      <c r="E590">
        <v>28</v>
      </c>
      <c r="F590" s="166">
        <v>325</v>
      </c>
      <c r="G590">
        <v>9100</v>
      </c>
    </row>
    <row r="591" spans="1:8">
      <c r="A591" t="s">
        <v>349</v>
      </c>
      <c r="B591" s="165">
        <v>41781</v>
      </c>
      <c r="C591" t="s">
        <v>356</v>
      </c>
      <c r="D591" t="s">
        <v>357</v>
      </c>
      <c r="E591">
        <v>18</v>
      </c>
      <c r="F591" s="166">
        <v>253.11111111111111</v>
      </c>
      <c r="G591">
        <v>4556</v>
      </c>
    </row>
    <row r="592" spans="1:8">
      <c r="A592" t="s">
        <v>349</v>
      </c>
      <c r="B592" s="165">
        <v>41781</v>
      </c>
      <c r="C592" t="s">
        <v>356</v>
      </c>
      <c r="D592" t="s">
        <v>357</v>
      </c>
      <c r="E592">
        <v>62</v>
      </c>
      <c r="F592" s="166">
        <v>303.22580645161293</v>
      </c>
      <c r="G592">
        <v>18800</v>
      </c>
    </row>
    <row r="593" spans="1:7">
      <c r="A593" t="s">
        <v>349</v>
      </c>
      <c r="B593" s="165">
        <v>41788</v>
      </c>
      <c r="C593" t="s">
        <v>356</v>
      </c>
      <c r="D593" t="s">
        <v>357</v>
      </c>
      <c r="E593">
        <v>1</v>
      </c>
      <c r="F593" s="166">
        <v>150</v>
      </c>
      <c r="G593">
        <v>150</v>
      </c>
    </row>
    <row r="594" spans="1:7">
      <c r="A594" t="s">
        <v>349</v>
      </c>
      <c r="B594" s="165">
        <v>41788</v>
      </c>
      <c r="C594" t="s">
        <v>356</v>
      </c>
      <c r="D594" t="s">
        <v>357</v>
      </c>
      <c r="E594">
        <v>2</v>
      </c>
      <c r="F594" s="166">
        <v>150</v>
      </c>
      <c r="G594">
        <v>300</v>
      </c>
    </row>
    <row r="595" spans="1:7">
      <c r="A595" t="s">
        <v>349</v>
      </c>
      <c r="B595" s="165">
        <v>41795</v>
      </c>
      <c r="C595" t="s">
        <v>356</v>
      </c>
      <c r="D595" t="s">
        <v>357</v>
      </c>
      <c r="E595">
        <v>2</v>
      </c>
      <c r="F595" s="166">
        <v>247</v>
      </c>
      <c r="G595">
        <v>494</v>
      </c>
    </row>
    <row r="596" spans="1:7">
      <c r="A596" t="s">
        <v>349</v>
      </c>
      <c r="B596" s="165">
        <v>41795</v>
      </c>
      <c r="C596" t="s">
        <v>356</v>
      </c>
      <c r="D596" t="s">
        <v>357</v>
      </c>
      <c r="E596">
        <v>38</v>
      </c>
      <c r="F596" s="166">
        <v>185</v>
      </c>
      <c r="G596">
        <v>7030</v>
      </c>
    </row>
    <row r="597" spans="1:7">
      <c r="A597" t="s">
        <v>349</v>
      </c>
      <c r="B597" s="165">
        <v>41830</v>
      </c>
      <c r="C597" t="s">
        <v>356</v>
      </c>
      <c r="D597" t="s">
        <v>357</v>
      </c>
      <c r="E597">
        <v>39</v>
      </c>
      <c r="F597" s="166">
        <v>275</v>
      </c>
      <c r="G597">
        <v>10725</v>
      </c>
    </row>
    <row r="598" spans="1:7">
      <c r="A598" t="s">
        <v>349</v>
      </c>
      <c r="B598" s="165">
        <v>41851</v>
      </c>
      <c r="C598" t="s">
        <v>356</v>
      </c>
      <c r="D598" t="s">
        <v>357</v>
      </c>
      <c r="E598">
        <v>1</v>
      </c>
      <c r="F598" s="166">
        <v>201</v>
      </c>
      <c r="G598">
        <v>201</v>
      </c>
    </row>
    <row r="599" spans="1:7">
      <c r="A599" t="s">
        <v>349</v>
      </c>
      <c r="B599" s="165">
        <v>41851</v>
      </c>
      <c r="C599" t="s">
        <v>356</v>
      </c>
      <c r="D599" t="s">
        <v>357</v>
      </c>
      <c r="E599">
        <v>6</v>
      </c>
      <c r="F599" s="166">
        <v>235.83333333333334</v>
      </c>
      <c r="G599">
        <v>1415</v>
      </c>
    </row>
    <row r="600" spans="1:7">
      <c r="A600" t="s">
        <v>349</v>
      </c>
      <c r="B600" s="165">
        <v>41851</v>
      </c>
      <c r="C600" t="s">
        <v>356</v>
      </c>
      <c r="D600" t="s">
        <v>357</v>
      </c>
      <c r="E600">
        <v>13</v>
      </c>
      <c r="F600" s="166">
        <v>496.61538461538464</v>
      </c>
      <c r="G600">
        <v>6456</v>
      </c>
    </row>
    <row r="601" spans="1:7">
      <c r="A601" t="s">
        <v>349</v>
      </c>
      <c r="B601" s="165">
        <v>41851</v>
      </c>
      <c r="C601" t="s">
        <v>356</v>
      </c>
      <c r="D601" t="s">
        <v>357</v>
      </c>
      <c r="E601">
        <v>47</v>
      </c>
      <c r="F601" s="166">
        <v>270</v>
      </c>
      <c r="G601">
        <v>12690</v>
      </c>
    </row>
    <row r="602" spans="1:7">
      <c r="A602" t="s">
        <v>349</v>
      </c>
      <c r="B602" s="165">
        <v>41872</v>
      </c>
      <c r="C602" t="s">
        <v>356</v>
      </c>
      <c r="D602" t="s">
        <v>357</v>
      </c>
      <c r="E602">
        <v>1</v>
      </c>
      <c r="F602" s="166">
        <v>275</v>
      </c>
      <c r="G602">
        <v>275</v>
      </c>
    </row>
    <row r="603" spans="1:7">
      <c r="A603" t="s">
        <v>349</v>
      </c>
      <c r="B603" s="165">
        <v>41872</v>
      </c>
      <c r="C603" t="s">
        <v>356</v>
      </c>
      <c r="D603" t="s">
        <v>357</v>
      </c>
      <c r="E603">
        <v>7</v>
      </c>
      <c r="F603" s="166">
        <v>289.28571428571428</v>
      </c>
      <c r="G603">
        <v>2025</v>
      </c>
    </row>
    <row r="604" spans="1:7">
      <c r="A604" t="s">
        <v>349</v>
      </c>
      <c r="B604" s="165">
        <v>41879</v>
      </c>
      <c r="C604" t="s">
        <v>356</v>
      </c>
      <c r="D604" t="s">
        <v>357</v>
      </c>
      <c r="E604">
        <v>2</v>
      </c>
      <c r="F604" s="166">
        <v>275</v>
      </c>
      <c r="G604">
        <v>550</v>
      </c>
    </row>
    <row r="605" spans="1:7">
      <c r="A605" t="s">
        <v>349</v>
      </c>
      <c r="B605" s="165">
        <v>41879</v>
      </c>
      <c r="C605" t="s">
        <v>356</v>
      </c>
      <c r="D605" t="s">
        <v>357</v>
      </c>
      <c r="E605">
        <v>2</v>
      </c>
      <c r="F605" s="166">
        <v>316</v>
      </c>
      <c r="G605">
        <v>632</v>
      </c>
    </row>
    <row r="606" spans="1:7">
      <c r="A606" t="s">
        <v>349</v>
      </c>
      <c r="B606" s="165">
        <v>41879</v>
      </c>
      <c r="C606" t="s">
        <v>356</v>
      </c>
      <c r="D606" t="s">
        <v>357</v>
      </c>
      <c r="E606">
        <v>8</v>
      </c>
      <c r="F606" s="166">
        <v>276.25</v>
      </c>
      <c r="G606">
        <v>2210</v>
      </c>
    </row>
    <row r="607" spans="1:7">
      <c r="A607" t="s">
        <v>349</v>
      </c>
      <c r="B607" s="165">
        <v>41879</v>
      </c>
      <c r="C607" t="s">
        <v>356</v>
      </c>
      <c r="D607" t="s">
        <v>357</v>
      </c>
      <c r="E607">
        <v>24</v>
      </c>
      <c r="F607" s="166">
        <v>190</v>
      </c>
      <c r="G607">
        <v>4560</v>
      </c>
    </row>
    <row r="608" spans="1:7">
      <c r="A608" t="s">
        <v>349</v>
      </c>
      <c r="B608" s="165">
        <v>41900</v>
      </c>
      <c r="C608" t="s">
        <v>356</v>
      </c>
      <c r="D608" t="s">
        <v>357</v>
      </c>
      <c r="E608">
        <v>3</v>
      </c>
      <c r="F608" s="166">
        <v>192.66666666666666</v>
      </c>
      <c r="G608">
        <v>578</v>
      </c>
    </row>
    <row r="609" spans="1:7">
      <c r="A609" t="s">
        <v>349</v>
      </c>
      <c r="B609" s="165">
        <v>41907</v>
      </c>
      <c r="C609" t="s">
        <v>356</v>
      </c>
      <c r="D609" t="s">
        <v>357</v>
      </c>
      <c r="E609">
        <v>1</v>
      </c>
      <c r="F609" s="166">
        <v>300</v>
      </c>
      <c r="G609">
        <v>300</v>
      </c>
    </row>
    <row r="610" spans="1:7">
      <c r="A610" t="s">
        <v>349</v>
      </c>
      <c r="B610" s="165">
        <v>41907</v>
      </c>
      <c r="C610" t="s">
        <v>356</v>
      </c>
      <c r="D610" t="s">
        <v>357</v>
      </c>
      <c r="E610">
        <v>1</v>
      </c>
      <c r="F610" s="166">
        <v>450</v>
      </c>
      <c r="G610">
        <v>450</v>
      </c>
    </row>
    <row r="611" spans="1:7">
      <c r="A611" t="s">
        <v>349</v>
      </c>
      <c r="B611" s="165">
        <v>41907</v>
      </c>
      <c r="C611" t="s">
        <v>356</v>
      </c>
      <c r="D611" t="s">
        <v>357</v>
      </c>
      <c r="E611">
        <v>6</v>
      </c>
      <c r="F611" s="166">
        <v>176.5</v>
      </c>
      <c r="G611">
        <v>1059</v>
      </c>
    </row>
    <row r="612" spans="1:7">
      <c r="A612" t="s">
        <v>349</v>
      </c>
      <c r="B612" s="165">
        <v>41907</v>
      </c>
      <c r="C612" t="s">
        <v>356</v>
      </c>
      <c r="D612" t="s">
        <v>357</v>
      </c>
      <c r="E612">
        <v>6</v>
      </c>
      <c r="F612" s="166">
        <v>187</v>
      </c>
      <c r="G612">
        <v>1122</v>
      </c>
    </row>
    <row r="613" spans="1:7">
      <c r="A613" t="s">
        <v>349</v>
      </c>
      <c r="B613" s="165">
        <v>41907</v>
      </c>
      <c r="C613" t="s">
        <v>356</v>
      </c>
      <c r="D613" t="s">
        <v>357</v>
      </c>
      <c r="E613">
        <v>3</v>
      </c>
      <c r="F613" s="166">
        <v>385.33333333333331</v>
      </c>
      <c r="G613">
        <v>1156</v>
      </c>
    </row>
    <row r="614" spans="1:7">
      <c r="A614" t="s">
        <v>349</v>
      </c>
      <c r="B614" s="165">
        <v>41907</v>
      </c>
      <c r="C614" t="s">
        <v>356</v>
      </c>
      <c r="D614" t="s">
        <v>357</v>
      </c>
      <c r="E614">
        <v>21</v>
      </c>
      <c r="F614" s="166">
        <v>226.28571428571428</v>
      </c>
      <c r="G614">
        <v>4752</v>
      </c>
    </row>
    <row r="615" spans="1:7">
      <c r="A615" t="s">
        <v>349</v>
      </c>
      <c r="B615" s="165">
        <v>41907</v>
      </c>
      <c r="C615" t="s">
        <v>356</v>
      </c>
      <c r="D615" t="s">
        <v>357</v>
      </c>
      <c r="E615">
        <v>13</v>
      </c>
      <c r="F615" s="166">
        <v>386</v>
      </c>
      <c r="G615">
        <v>5018</v>
      </c>
    </row>
    <row r="616" spans="1:7">
      <c r="A616" t="s">
        <v>349</v>
      </c>
      <c r="B616" s="165">
        <v>41907</v>
      </c>
      <c r="C616" t="s">
        <v>356</v>
      </c>
      <c r="D616" t="s">
        <v>357</v>
      </c>
      <c r="E616">
        <v>52</v>
      </c>
      <c r="F616" s="166">
        <v>500</v>
      </c>
      <c r="G616">
        <v>26000</v>
      </c>
    </row>
    <row r="617" spans="1:7">
      <c r="A617" t="s">
        <v>349</v>
      </c>
      <c r="B617" s="165">
        <v>41921</v>
      </c>
      <c r="C617" t="s">
        <v>356</v>
      </c>
      <c r="D617" t="s">
        <v>357</v>
      </c>
      <c r="E617">
        <v>1</v>
      </c>
      <c r="F617" s="166">
        <v>250</v>
      </c>
      <c r="G617">
        <v>250</v>
      </c>
    </row>
    <row r="618" spans="1:7">
      <c r="A618" t="s">
        <v>349</v>
      </c>
      <c r="B618" s="165">
        <v>41936</v>
      </c>
      <c r="C618" t="s">
        <v>356</v>
      </c>
      <c r="D618" t="s">
        <v>357</v>
      </c>
      <c r="E618">
        <v>1</v>
      </c>
      <c r="F618" s="166">
        <v>479</v>
      </c>
      <c r="G618">
        <v>479</v>
      </c>
    </row>
    <row r="619" spans="1:7">
      <c r="A619" t="s">
        <v>349</v>
      </c>
      <c r="B619" s="165">
        <v>41943</v>
      </c>
      <c r="C619" t="s">
        <v>356</v>
      </c>
      <c r="D619" t="s">
        <v>357</v>
      </c>
      <c r="E619">
        <v>2</v>
      </c>
      <c r="F619" s="166">
        <v>200</v>
      </c>
      <c r="G619">
        <v>400</v>
      </c>
    </row>
    <row r="620" spans="1:7">
      <c r="A620" t="s">
        <v>349</v>
      </c>
      <c r="B620" s="165">
        <v>41943</v>
      </c>
      <c r="C620" t="s">
        <v>356</v>
      </c>
      <c r="D620" t="s">
        <v>357</v>
      </c>
      <c r="E620">
        <v>3</v>
      </c>
      <c r="F620" s="166">
        <v>260</v>
      </c>
      <c r="G620">
        <v>780</v>
      </c>
    </row>
    <row r="621" spans="1:7">
      <c r="A621" t="s">
        <v>349</v>
      </c>
      <c r="B621" s="165">
        <v>41943</v>
      </c>
      <c r="C621" t="s">
        <v>356</v>
      </c>
      <c r="D621" t="s">
        <v>357</v>
      </c>
      <c r="E621">
        <v>21</v>
      </c>
      <c r="F621" s="166">
        <v>265.66666666666669</v>
      </c>
      <c r="G621">
        <v>5579</v>
      </c>
    </row>
    <row r="622" spans="1:7">
      <c r="A622" t="s">
        <v>349</v>
      </c>
      <c r="B622" s="165">
        <v>41949</v>
      </c>
      <c r="C622" t="s">
        <v>356</v>
      </c>
      <c r="D622" t="s">
        <v>357</v>
      </c>
      <c r="E622">
        <v>2</v>
      </c>
      <c r="F622" s="166">
        <v>350</v>
      </c>
      <c r="G622">
        <v>700</v>
      </c>
    </row>
    <row r="623" spans="1:7">
      <c r="A623" t="s">
        <v>349</v>
      </c>
      <c r="B623" s="165">
        <v>41949</v>
      </c>
      <c r="C623" t="s">
        <v>356</v>
      </c>
      <c r="D623" t="s">
        <v>357</v>
      </c>
      <c r="E623">
        <v>9</v>
      </c>
      <c r="F623" s="166">
        <v>295.11111111111109</v>
      </c>
      <c r="G623">
        <v>2656</v>
      </c>
    </row>
    <row r="624" spans="1:7">
      <c r="A624" t="s">
        <v>349</v>
      </c>
      <c r="B624" s="165">
        <v>41949</v>
      </c>
      <c r="C624" t="s">
        <v>356</v>
      </c>
      <c r="D624" t="s">
        <v>357</v>
      </c>
      <c r="E624">
        <v>10</v>
      </c>
      <c r="F624" s="166">
        <v>320.2</v>
      </c>
      <c r="G624">
        <v>3202</v>
      </c>
    </row>
    <row r="625" spans="1:7">
      <c r="A625" t="s">
        <v>349</v>
      </c>
      <c r="B625" s="165">
        <v>41949</v>
      </c>
      <c r="C625" t="s">
        <v>356</v>
      </c>
      <c r="D625" t="s">
        <v>357</v>
      </c>
      <c r="E625">
        <v>18</v>
      </c>
      <c r="F625" s="166">
        <v>353.33333333333331</v>
      </c>
      <c r="G625">
        <v>6360</v>
      </c>
    </row>
    <row r="626" spans="1:7">
      <c r="A626" t="s">
        <v>349</v>
      </c>
      <c r="B626" s="165">
        <v>41949</v>
      </c>
      <c r="C626" t="s">
        <v>356</v>
      </c>
      <c r="D626" t="s">
        <v>357</v>
      </c>
      <c r="E626">
        <v>27</v>
      </c>
      <c r="F626" s="166">
        <v>452</v>
      </c>
      <c r="G626">
        <v>12204</v>
      </c>
    </row>
    <row r="627" spans="1:7">
      <c r="A627" t="s">
        <v>349</v>
      </c>
      <c r="B627" s="165">
        <v>41957</v>
      </c>
      <c r="C627" t="s">
        <v>356</v>
      </c>
      <c r="D627" t="s">
        <v>357</v>
      </c>
      <c r="E627">
        <v>1</v>
      </c>
      <c r="F627" s="166">
        <v>350</v>
      </c>
      <c r="G627">
        <v>350</v>
      </c>
    </row>
    <row r="628" spans="1:7">
      <c r="A628" t="s">
        <v>349</v>
      </c>
      <c r="B628" s="165">
        <v>41957</v>
      </c>
      <c r="C628" t="s">
        <v>356</v>
      </c>
      <c r="D628" t="s">
        <v>357</v>
      </c>
      <c r="E628">
        <v>1</v>
      </c>
      <c r="F628" s="166">
        <v>370</v>
      </c>
      <c r="G628">
        <v>370</v>
      </c>
    </row>
    <row r="629" spans="1:7">
      <c r="A629" t="s">
        <v>349</v>
      </c>
      <c r="B629" s="165">
        <v>41957</v>
      </c>
      <c r="C629" t="s">
        <v>356</v>
      </c>
      <c r="D629" t="s">
        <v>357</v>
      </c>
      <c r="E629">
        <v>7</v>
      </c>
      <c r="F629" s="166">
        <v>303.28571428571428</v>
      </c>
      <c r="G629">
        <v>2123</v>
      </c>
    </row>
    <row r="630" spans="1:7">
      <c r="A630" t="s">
        <v>349</v>
      </c>
      <c r="B630" s="165">
        <v>41963</v>
      </c>
      <c r="C630" t="s">
        <v>356</v>
      </c>
      <c r="D630" t="s">
        <v>357</v>
      </c>
      <c r="E630">
        <v>1</v>
      </c>
      <c r="F630" s="166">
        <v>237</v>
      </c>
      <c r="G630">
        <v>237</v>
      </c>
    </row>
    <row r="631" spans="1:7">
      <c r="A631" t="s">
        <v>349</v>
      </c>
      <c r="B631" s="165">
        <v>41963</v>
      </c>
      <c r="C631" t="s">
        <v>356</v>
      </c>
      <c r="D631" t="s">
        <v>357</v>
      </c>
      <c r="E631">
        <v>7</v>
      </c>
      <c r="F631" s="166">
        <v>287</v>
      </c>
      <c r="G631">
        <v>2009</v>
      </c>
    </row>
    <row r="632" spans="1:7">
      <c r="A632" t="s">
        <v>349</v>
      </c>
      <c r="B632" s="165">
        <v>41963</v>
      </c>
      <c r="C632" t="s">
        <v>356</v>
      </c>
      <c r="D632" t="s">
        <v>357</v>
      </c>
      <c r="E632">
        <v>29</v>
      </c>
      <c r="F632" s="166">
        <v>155</v>
      </c>
      <c r="G632">
        <v>4495</v>
      </c>
    </row>
    <row r="633" spans="1:7">
      <c r="A633" t="s">
        <v>349</v>
      </c>
      <c r="B633" s="165">
        <v>41971</v>
      </c>
      <c r="C633" t="s">
        <v>356</v>
      </c>
      <c r="D633" t="s">
        <v>357</v>
      </c>
      <c r="E633">
        <v>1</v>
      </c>
      <c r="F633" s="166">
        <v>420</v>
      </c>
      <c r="G633">
        <v>420</v>
      </c>
    </row>
    <row r="634" spans="1:7">
      <c r="A634" t="s">
        <v>349</v>
      </c>
      <c r="B634" s="165">
        <v>41971</v>
      </c>
      <c r="C634" t="s">
        <v>356</v>
      </c>
      <c r="D634" t="s">
        <v>357</v>
      </c>
      <c r="E634">
        <v>5</v>
      </c>
      <c r="F634" s="166">
        <v>175</v>
      </c>
      <c r="G634">
        <v>875</v>
      </c>
    </row>
    <row r="635" spans="1:7">
      <c r="A635" t="s">
        <v>349</v>
      </c>
      <c r="B635" s="165">
        <v>41977</v>
      </c>
      <c r="C635" t="s">
        <v>356</v>
      </c>
      <c r="D635" t="s">
        <v>357</v>
      </c>
      <c r="E635">
        <v>2</v>
      </c>
      <c r="F635" s="166">
        <v>132.5</v>
      </c>
      <c r="G635">
        <v>265</v>
      </c>
    </row>
    <row r="636" spans="1:7">
      <c r="A636" t="s">
        <v>349</v>
      </c>
      <c r="B636" s="165">
        <v>41977</v>
      </c>
      <c r="C636" t="s">
        <v>356</v>
      </c>
      <c r="D636" t="s">
        <v>357</v>
      </c>
      <c r="E636">
        <v>4</v>
      </c>
      <c r="F636" s="166">
        <v>375</v>
      </c>
      <c r="G636">
        <v>1500</v>
      </c>
    </row>
    <row r="637" spans="1:7">
      <c r="A637" t="s">
        <v>349</v>
      </c>
      <c r="B637" s="165">
        <v>41977</v>
      </c>
      <c r="C637" t="s">
        <v>356</v>
      </c>
      <c r="D637" t="s">
        <v>357</v>
      </c>
      <c r="E637">
        <v>6</v>
      </c>
      <c r="F637" s="166">
        <v>400.16666666666669</v>
      </c>
      <c r="G637">
        <v>2401</v>
      </c>
    </row>
    <row r="638" spans="1:7">
      <c r="A638" t="s">
        <v>349</v>
      </c>
      <c r="B638" s="165">
        <v>41984</v>
      </c>
      <c r="C638" t="s">
        <v>356</v>
      </c>
      <c r="D638" t="s">
        <v>357</v>
      </c>
      <c r="E638">
        <v>3</v>
      </c>
      <c r="F638" s="166">
        <v>176.33333333333334</v>
      </c>
      <c r="G638">
        <v>529</v>
      </c>
    </row>
    <row r="639" spans="1:7">
      <c r="A639" t="s">
        <v>349</v>
      </c>
      <c r="B639" s="165">
        <v>41984</v>
      </c>
      <c r="C639" t="s">
        <v>356</v>
      </c>
      <c r="D639" t="s">
        <v>357</v>
      </c>
      <c r="E639">
        <v>4</v>
      </c>
      <c r="F639" s="166">
        <v>238.75</v>
      </c>
      <c r="G639">
        <v>955</v>
      </c>
    </row>
    <row r="640" spans="1:7">
      <c r="A640" t="s">
        <v>349</v>
      </c>
      <c r="B640" s="165">
        <v>41991</v>
      </c>
      <c r="C640" t="s">
        <v>356</v>
      </c>
      <c r="D640" t="s">
        <v>357</v>
      </c>
      <c r="E640">
        <v>3</v>
      </c>
      <c r="F640" s="166">
        <v>275.33333333333331</v>
      </c>
      <c r="G640">
        <v>826</v>
      </c>
    </row>
    <row r="641" spans="1:7">
      <c r="A641" t="s">
        <v>349</v>
      </c>
      <c r="B641" s="165">
        <v>41999</v>
      </c>
      <c r="C641" t="s">
        <v>356</v>
      </c>
      <c r="D641" t="s">
        <v>357</v>
      </c>
      <c r="E641">
        <v>2</v>
      </c>
      <c r="F641" s="166">
        <v>585</v>
      </c>
      <c r="G641">
        <v>1170</v>
      </c>
    </row>
    <row r="642" spans="1:7">
      <c r="A642" t="s">
        <v>349</v>
      </c>
      <c r="B642" s="165">
        <v>41999</v>
      </c>
      <c r="C642" t="s">
        <v>356</v>
      </c>
      <c r="D642" t="s">
        <v>357</v>
      </c>
      <c r="E642">
        <v>15</v>
      </c>
      <c r="F642" s="166">
        <v>304.39999999999998</v>
      </c>
      <c r="G642">
        <v>4566</v>
      </c>
    </row>
    <row r="643" spans="1:7">
      <c r="A643" t="s">
        <v>349</v>
      </c>
      <c r="B643" s="165">
        <v>41999</v>
      </c>
      <c r="C643" t="s">
        <v>356</v>
      </c>
      <c r="D643" t="s">
        <v>357</v>
      </c>
      <c r="E643">
        <v>43</v>
      </c>
      <c r="F643" s="166">
        <v>154</v>
      </c>
      <c r="G643">
        <v>6622</v>
      </c>
    </row>
    <row r="644" spans="1:7">
      <c r="A644" t="s">
        <v>349</v>
      </c>
      <c r="B644" s="165">
        <v>41999</v>
      </c>
      <c r="C644" t="s">
        <v>356</v>
      </c>
      <c r="D644" t="s">
        <v>357</v>
      </c>
      <c r="E644">
        <v>18</v>
      </c>
      <c r="F644" s="166">
        <v>389.27777777777777</v>
      </c>
      <c r="G644">
        <v>7007</v>
      </c>
    </row>
    <row r="645" spans="1:7">
      <c r="A645" t="s">
        <v>349</v>
      </c>
      <c r="B645" s="165">
        <v>42004</v>
      </c>
      <c r="C645" t="s">
        <v>356</v>
      </c>
      <c r="D645" t="s">
        <v>357</v>
      </c>
      <c r="E645">
        <v>2</v>
      </c>
      <c r="F645" s="166">
        <v>385</v>
      </c>
      <c r="G645">
        <v>770</v>
      </c>
    </row>
    <row r="646" spans="1:7">
      <c r="A646" t="s">
        <v>349</v>
      </c>
      <c r="B646" s="165">
        <v>42004</v>
      </c>
      <c r="C646" t="s">
        <v>356</v>
      </c>
      <c r="D646" t="s">
        <v>357</v>
      </c>
      <c r="E646">
        <v>4</v>
      </c>
      <c r="F646" s="166">
        <v>250</v>
      </c>
      <c r="G646">
        <v>1000</v>
      </c>
    </row>
    <row r="647" spans="1:7">
      <c r="A647" t="s">
        <v>349</v>
      </c>
      <c r="B647" s="165">
        <v>42004</v>
      </c>
      <c r="C647" t="s">
        <v>356</v>
      </c>
      <c r="D647" t="s">
        <v>357</v>
      </c>
      <c r="E647">
        <v>4</v>
      </c>
      <c r="F647" s="166">
        <v>264.75</v>
      </c>
      <c r="G647">
        <v>1059</v>
      </c>
    </row>
    <row r="648" spans="1:7">
      <c r="A648" t="s">
        <v>362</v>
      </c>
      <c r="B648" s="165">
        <v>41697</v>
      </c>
      <c r="C648" t="s">
        <v>356</v>
      </c>
      <c r="D648" t="s">
        <v>357</v>
      </c>
      <c r="E648">
        <v>37</v>
      </c>
      <c r="F648" s="166">
        <v>275.24324324324323</v>
      </c>
      <c r="G648">
        <v>10184</v>
      </c>
    </row>
    <row r="649" spans="1:7">
      <c r="A649" t="s">
        <v>362</v>
      </c>
      <c r="B649" s="165">
        <v>41704</v>
      </c>
      <c r="C649" t="s">
        <v>356</v>
      </c>
      <c r="D649" t="s">
        <v>357</v>
      </c>
      <c r="E649">
        <v>20</v>
      </c>
      <c r="F649" s="166">
        <v>597</v>
      </c>
      <c r="G649">
        <v>11940</v>
      </c>
    </row>
    <row r="650" spans="1:7">
      <c r="A650" t="s">
        <v>362</v>
      </c>
      <c r="B650" s="165">
        <v>41704</v>
      </c>
      <c r="C650" t="s">
        <v>356</v>
      </c>
      <c r="D650" t="s">
        <v>357</v>
      </c>
      <c r="E650">
        <v>92</v>
      </c>
      <c r="F650" s="166">
        <v>415.76086956521738</v>
      </c>
      <c r="G650">
        <v>38250</v>
      </c>
    </row>
    <row r="651" spans="1:7">
      <c r="A651" t="s">
        <v>362</v>
      </c>
      <c r="B651" s="165">
        <v>41711</v>
      </c>
      <c r="C651" t="s">
        <v>356</v>
      </c>
      <c r="D651" t="s">
        <v>357</v>
      </c>
      <c r="E651">
        <v>8</v>
      </c>
      <c r="F651" s="166">
        <v>364</v>
      </c>
      <c r="G651">
        <v>2912</v>
      </c>
    </row>
    <row r="652" spans="1:7">
      <c r="A652" t="s">
        <v>362</v>
      </c>
      <c r="B652" s="165">
        <v>41732</v>
      </c>
      <c r="C652" t="s">
        <v>356</v>
      </c>
      <c r="D652" t="s">
        <v>357</v>
      </c>
      <c r="E652">
        <v>5</v>
      </c>
      <c r="F652" s="166">
        <v>495</v>
      </c>
      <c r="G652">
        <v>2475</v>
      </c>
    </row>
    <row r="653" spans="1:7">
      <c r="A653" t="s">
        <v>362</v>
      </c>
      <c r="B653" s="165">
        <v>41732</v>
      </c>
      <c r="C653" t="s">
        <v>356</v>
      </c>
      <c r="D653" t="s">
        <v>357</v>
      </c>
      <c r="E653">
        <v>8</v>
      </c>
      <c r="F653" s="166">
        <v>330.75</v>
      </c>
      <c r="G653">
        <v>2646</v>
      </c>
    </row>
    <row r="654" spans="1:7">
      <c r="A654" t="s">
        <v>362</v>
      </c>
      <c r="B654" s="165">
        <v>41760</v>
      </c>
      <c r="C654" t="s">
        <v>356</v>
      </c>
      <c r="D654" t="s">
        <v>357</v>
      </c>
      <c r="E654">
        <v>37</v>
      </c>
      <c r="F654" s="166">
        <v>159</v>
      </c>
      <c r="G654">
        <v>5883</v>
      </c>
    </row>
    <row r="655" spans="1:7">
      <c r="A655" t="s">
        <v>362</v>
      </c>
      <c r="B655" s="165">
        <v>41760</v>
      </c>
      <c r="C655" t="s">
        <v>356</v>
      </c>
      <c r="D655" t="s">
        <v>357</v>
      </c>
      <c r="E655">
        <v>65</v>
      </c>
      <c r="F655" s="166">
        <v>302</v>
      </c>
      <c r="G655">
        <v>19630</v>
      </c>
    </row>
    <row r="656" spans="1:7">
      <c r="A656" t="s">
        <v>362</v>
      </c>
      <c r="B656" s="165">
        <v>41788</v>
      </c>
      <c r="C656" t="s">
        <v>356</v>
      </c>
      <c r="D656" t="s">
        <v>357</v>
      </c>
      <c r="E656">
        <v>4</v>
      </c>
      <c r="F656" s="166">
        <v>263</v>
      </c>
      <c r="G656">
        <v>1052</v>
      </c>
    </row>
    <row r="657" spans="1:7">
      <c r="A657" t="s">
        <v>362</v>
      </c>
      <c r="B657" s="165">
        <v>41788</v>
      </c>
      <c r="C657" t="s">
        <v>356</v>
      </c>
      <c r="D657" t="s">
        <v>357</v>
      </c>
      <c r="E657">
        <v>4</v>
      </c>
      <c r="F657" s="166">
        <v>292</v>
      </c>
      <c r="G657">
        <v>1168</v>
      </c>
    </row>
    <row r="658" spans="1:7">
      <c r="A658" t="s">
        <v>362</v>
      </c>
      <c r="B658" s="165">
        <v>41788</v>
      </c>
      <c r="C658" t="s">
        <v>356</v>
      </c>
      <c r="D658" t="s">
        <v>357</v>
      </c>
      <c r="E658">
        <v>12</v>
      </c>
      <c r="F658" s="166">
        <v>264.83333333333331</v>
      </c>
      <c r="G658">
        <v>3178</v>
      </c>
    </row>
    <row r="659" spans="1:7">
      <c r="A659" t="s">
        <v>362</v>
      </c>
      <c r="B659" s="165">
        <v>41788</v>
      </c>
      <c r="C659" t="s">
        <v>356</v>
      </c>
      <c r="D659" t="s">
        <v>357</v>
      </c>
      <c r="E659">
        <v>22</v>
      </c>
      <c r="F659" s="166">
        <v>222</v>
      </c>
      <c r="G659">
        <v>4884</v>
      </c>
    </row>
    <row r="660" spans="1:7">
      <c r="A660" t="s">
        <v>362</v>
      </c>
      <c r="B660" s="165">
        <v>41810</v>
      </c>
      <c r="C660" t="s">
        <v>356</v>
      </c>
      <c r="D660" t="s">
        <v>357</v>
      </c>
      <c r="E660">
        <v>37</v>
      </c>
      <c r="F660" s="166">
        <v>188.24324324324326</v>
      </c>
      <c r="G660">
        <v>6965</v>
      </c>
    </row>
    <row r="661" spans="1:7">
      <c r="A661" t="s">
        <v>362</v>
      </c>
      <c r="B661" s="165">
        <v>41865</v>
      </c>
      <c r="C661" t="s">
        <v>356</v>
      </c>
      <c r="D661" t="s">
        <v>357</v>
      </c>
      <c r="E661">
        <v>19</v>
      </c>
      <c r="F661" s="166">
        <v>316</v>
      </c>
      <c r="G661">
        <v>6004</v>
      </c>
    </row>
    <row r="662" spans="1:7">
      <c r="A662" t="s">
        <v>362</v>
      </c>
      <c r="B662" s="165">
        <v>41928</v>
      </c>
      <c r="C662" t="s">
        <v>356</v>
      </c>
      <c r="D662" t="s">
        <v>357</v>
      </c>
      <c r="E662">
        <v>2</v>
      </c>
      <c r="F662" s="166">
        <v>295</v>
      </c>
      <c r="G662">
        <v>590</v>
      </c>
    </row>
    <row r="663" spans="1:7">
      <c r="A663" t="s">
        <v>362</v>
      </c>
      <c r="B663" s="165">
        <v>41928</v>
      </c>
      <c r="C663" t="s">
        <v>356</v>
      </c>
      <c r="D663" t="s">
        <v>357</v>
      </c>
      <c r="E663">
        <v>2</v>
      </c>
      <c r="F663" s="166">
        <v>405.5</v>
      </c>
      <c r="G663">
        <v>811</v>
      </c>
    </row>
    <row r="664" spans="1:7">
      <c r="A664" t="s">
        <v>362</v>
      </c>
      <c r="B664" s="165">
        <v>41928</v>
      </c>
      <c r="C664" t="s">
        <v>356</v>
      </c>
      <c r="D664" t="s">
        <v>357</v>
      </c>
      <c r="E664">
        <v>3</v>
      </c>
      <c r="F664" s="166">
        <v>295</v>
      </c>
      <c r="G664">
        <v>885</v>
      </c>
    </row>
    <row r="665" spans="1:7">
      <c r="A665" t="s">
        <v>362</v>
      </c>
      <c r="B665" s="165">
        <v>41928</v>
      </c>
      <c r="C665" t="s">
        <v>356</v>
      </c>
      <c r="D665" t="s">
        <v>357</v>
      </c>
      <c r="E665">
        <v>5</v>
      </c>
      <c r="F665" s="166">
        <v>234.2</v>
      </c>
      <c r="G665">
        <v>1171</v>
      </c>
    </row>
    <row r="666" spans="1:7">
      <c r="A666" t="s">
        <v>362</v>
      </c>
      <c r="B666" s="165">
        <v>41928</v>
      </c>
      <c r="C666" t="s">
        <v>356</v>
      </c>
      <c r="D666" t="s">
        <v>357</v>
      </c>
      <c r="E666">
        <v>4</v>
      </c>
      <c r="F666" s="166">
        <v>328</v>
      </c>
      <c r="G666">
        <v>1312</v>
      </c>
    </row>
    <row r="667" spans="1:7">
      <c r="A667" t="s">
        <v>362</v>
      </c>
      <c r="B667" s="165">
        <v>41928</v>
      </c>
      <c r="C667" t="s">
        <v>356</v>
      </c>
      <c r="D667" t="s">
        <v>357</v>
      </c>
      <c r="E667">
        <v>5</v>
      </c>
      <c r="F667" s="166">
        <v>315</v>
      </c>
      <c r="G667">
        <v>1575</v>
      </c>
    </row>
    <row r="668" spans="1:7">
      <c r="A668" t="s">
        <v>362</v>
      </c>
      <c r="B668" s="165">
        <v>41928</v>
      </c>
      <c r="C668" t="s">
        <v>356</v>
      </c>
      <c r="D668" t="s">
        <v>357</v>
      </c>
      <c r="E668">
        <v>5</v>
      </c>
      <c r="F668" s="166">
        <v>321</v>
      </c>
      <c r="G668">
        <v>1605</v>
      </c>
    </row>
    <row r="669" spans="1:7">
      <c r="A669" t="s">
        <v>362</v>
      </c>
      <c r="B669" s="165">
        <v>41928</v>
      </c>
      <c r="C669" t="s">
        <v>356</v>
      </c>
      <c r="D669" t="s">
        <v>357</v>
      </c>
      <c r="E669">
        <v>6</v>
      </c>
      <c r="F669" s="166">
        <v>317.5</v>
      </c>
      <c r="G669">
        <v>1905</v>
      </c>
    </row>
    <row r="670" spans="1:7">
      <c r="A670" t="s">
        <v>362</v>
      </c>
      <c r="B670" s="165">
        <v>41928</v>
      </c>
      <c r="C670" t="s">
        <v>356</v>
      </c>
      <c r="D670" t="s">
        <v>357</v>
      </c>
      <c r="E670">
        <v>9</v>
      </c>
      <c r="F670" s="166">
        <v>280.88888888888891</v>
      </c>
      <c r="G670">
        <v>2528</v>
      </c>
    </row>
    <row r="671" spans="1:7">
      <c r="A671" t="s">
        <v>362</v>
      </c>
      <c r="B671" s="165">
        <v>41928</v>
      </c>
      <c r="C671" t="s">
        <v>356</v>
      </c>
      <c r="D671" t="s">
        <v>357</v>
      </c>
      <c r="E671">
        <v>23</v>
      </c>
      <c r="F671" s="166">
        <v>263</v>
      </c>
      <c r="G671">
        <v>6049</v>
      </c>
    </row>
    <row r="672" spans="1:7">
      <c r="A672" t="s">
        <v>362</v>
      </c>
      <c r="B672" s="165">
        <v>41943</v>
      </c>
      <c r="C672" t="s">
        <v>356</v>
      </c>
      <c r="D672" t="s">
        <v>357</v>
      </c>
      <c r="E672">
        <v>1</v>
      </c>
      <c r="F672" s="166">
        <v>287</v>
      </c>
      <c r="G672">
        <v>287</v>
      </c>
    </row>
    <row r="673" spans="1:7">
      <c r="A673" t="s">
        <v>362</v>
      </c>
      <c r="B673" s="165">
        <v>41943</v>
      </c>
      <c r="C673" t="s">
        <v>356</v>
      </c>
      <c r="D673" t="s">
        <v>357</v>
      </c>
      <c r="E673">
        <v>9</v>
      </c>
      <c r="F673" s="166">
        <v>269.22222222222223</v>
      </c>
      <c r="G673">
        <v>2423</v>
      </c>
    </row>
    <row r="674" spans="1:7">
      <c r="A674" t="s">
        <v>362</v>
      </c>
      <c r="B674" s="165">
        <v>41943</v>
      </c>
      <c r="C674" t="s">
        <v>356</v>
      </c>
      <c r="D674" t="s">
        <v>357</v>
      </c>
      <c r="E674">
        <v>15</v>
      </c>
      <c r="F674" s="166">
        <v>285</v>
      </c>
      <c r="G674">
        <v>4275</v>
      </c>
    </row>
    <row r="675" spans="1:7">
      <c r="A675" t="s">
        <v>362</v>
      </c>
      <c r="B675" s="165">
        <v>41949</v>
      </c>
      <c r="C675" t="s">
        <v>356</v>
      </c>
      <c r="D675" t="s">
        <v>357</v>
      </c>
      <c r="E675">
        <v>4</v>
      </c>
      <c r="F675" s="166">
        <v>506.75</v>
      </c>
      <c r="G675">
        <v>2027</v>
      </c>
    </row>
    <row r="676" spans="1:7">
      <c r="A676" t="s">
        <v>362</v>
      </c>
      <c r="B676" s="165">
        <v>41963</v>
      </c>
      <c r="C676" t="s">
        <v>356</v>
      </c>
      <c r="D676" t="s">
        <v>357</v>
      </c>
      <c r="E676">
        <v>11</v>
      </c>
      <c r="F676" s="166">
        <v>195</v>
      </c>
      <c r="G676">
        <v>2145</v>
      </c>
    </row>
    <row r="677" spans="1:7">
      <c r="A677" t="s">
        <v>362</v>
      </c>
      <c r="B677" s="165">
        <v>41977</v>
      </c>
      <c r="C677" t="s">
        <v>356</v>
      </c>
      <c r="D677" t="s">
        <v>357</v>
      </c>
      <c r="E677">
        <v>1</v>
      </c>
      <c r="F677" s="166">
        <v>400</v>
      </c>
      <c r="G677">
        <v>400</v>
      </c>
    </row>
    <row r="678" spans="1:7">
      <c r="A678" t="s">
        <v>362</v>
      </c>
      <c r="B678" s="165">
        <v>42004</v>
      </c>
      <c r="C678" t="s">
        <v>356</v>
      </c>
      <c r="D678" t="s">
        <v>357</v>
      </c>
      <c r="E678">
        <v>2</v>
      </c>
      <c r="F678" s="166">
        <v>292.5</v>
      </c>
      <c r="G678">
        <v>585</v>
      </c>
    </row>
    <row r="679" spans="1:7">
      <c r="A679" t="s">
        <v>362</v>
      </c>
      <c r="B679" s="165">
        <v>42004</v>
      </c>
      <c r="C679" t="s">
        <v>356</v>
      </c>
      <c r="D679" t="s">
        <v>357</v>
      </c>
      <c r="E679">
        <v>3</v>
      </c>
      <c r="F679" s="166">
        <v>206.66666666666666</v>
      </c>
      <c r="G679">
        <v>620</v>
      </c>
    </row>
    <row r="680" spans="1:7">
      <c r="A680" t="s">
        <v>362</v>
      </c>
      <c r="B680" s="165">
        <v>42004</v>
      </c>
      <c r="C680" t="s">
        <v>356</v>
      </c>
      <c r="D680" t="s">
        <v>357</v>
      </c>
      <c r="E680">
        <v>2</v>
      </c>
      <c r="F680" s="166">
        <v>429</v>
      </c>
      <c r="G680">
        <v>858</v>
      </c>
    </row>
    <row r="681" spans="1:7">
      <c r="A681" t="s">
        <v>362</v>
      </c>
      <c r="B681" s="165">
        <v>42004</v>
      </c>
      <c r="C681" t="s">
        <v>356</v>
      </c>
      <c r="D681" t="s">
        <v>357</v>
      </c>
      <c r="E681">
        <v>260</v>
      </c>
      <c r="F681" s="166">
        <v>284.55384615384617</v>
      </c>
      <c r="G681">
        <v>73984</v>
      </c>
    </row>
    <row r="682" spans="1:7">
      <c r="A682" t="s">
        <v>363</v>
      </c>
      <c r="B682" s="165">
        <v>41746</v>
      </c>
      <c r="C682" t="s">
        <v>356</v>
      </c>
      <c r="D682" t="s">
        <v>357</v>
      </c>
      <c r="E682">
        <v>7</v>
      </c>
      <c r="F682" s="166">
        <v>133.28571428571428</v>
      </c>
      <c r="G682">
        <v>933</v>
      </c>
    </row>
    <row r="683" spans="1:7">
      <c r="A683" t="s">
        <v>363</v>
      </c>
      <c r="B683" s="165">
        <v>41767</v>
      </c>
      <c r="C683" t="s">
        <v>356</v>
      </c>
      <c r="D683" t="s">
        <v>357</v>
      </c>
      <c r="E683">
        <v>13</v>
      </c>
      <c r="F683" s="166">
        <v>581</v>
      </c>
      <c r="G683">
        <v>7553</v>
      </c>
    </row>
    <row r="684" spans="1:7">
      <c r="A684" t="s">
        <v>363</v>
      </c>
      <c r="B684" s="165">
        <v>41774</v>
      </c>
      <c r="C684" t="s">
        <v>356</v>
      </c>
      <c r="D684" t="s">
        <v>357</v>
      </c>
      <c r="E684">
        <v>1</v>
      </c>
      <c r="F684" s="166">
        <v>400</v>
      </c>
      <c r="G684">
        <v>400</v>
      </c>
    </row>
    <row r="685" spans="1:7">
      <c r="A685" t="s">
        <v>363</v>
      </c>
      <c r="B685" s="165">
        <v>41802</v>
      </c>
      <c r="C685" t="s">
        <v>356</v>
      </c>
      <c r="D685" t="s">
        <v>357</v>
      </c>
      <c r="E685">
        <v>8</v>
      </c>
      <c r="F685" s="166">
        <v>197.125</v>
      </c>
      <c r="G685">
        <v>1577</v>
      </c>
    </row>
    <row r="686" spans="1:7">
      <c r="A686" t="s">
        <v>363</v>
      </c>
      <c r="B686" s="165">
        <v>41810</v>
      </c>
      <c r="C686" t="s">
        <v>356</v>
      </c>
      <c r="D686" t="s">
        <v>357</v>
      </c>
      <c r="E686">
        <v>1</v>
      </c>
      <c r="F686" s="166">
        <v>450</v>
      </c>
      <c r="G686">
        <v>450</v>
      </c>
    </row>
    <row r="687" spans="1:7">
      <c r="A687" t="s">
        <v>363</v>
      </c>
      <c r="B687" s="165">
        <v>41816</v>
      </c>
      <c r="C687" t="s">
        <v>356</v>
      </c>
      <c r="D687" t="s">
        <v>357</v>
      </c>
      <c r="E687">
        <v>4</v>
      </c>
      <c r="F687" s="166">
        <v>260</v>
      </c>
      <c r="G687">
        <v>1040</v>
      </c>
    </row>
    <row r="688" spans="1:7">
      <c r="A688" t="s">
        <v>363</v>
      </c>
      <c r="B688" s="165">
        <v>41830</v>
      </c>
      <c r="C688" t="s">
        <v>356</v>
      </c>
      <c r="D688" t="s">
        <v>357</v>
      </c>
      <c r="E688">
        <v>2</v>
      </c>
      <c r="F688" s="166">
        <v>295</v>
      </c>
      <c r="G688">
        <v>590</v>
      </c>
    </row>
    <row r="689" spans="1:7">
      <c r="A689" t="s">
        <v>363</v>
      </c>
      <c r="B689" s="165">
        <v>41830</v>
      </c>
      <c r="C689" t="s">
        <v>356</v>
      </c>
      <c r="D689" t="s">
        <v>357</v>
      </c>
      <c r="E689">
        <v>2</v>
      </c>
      <c r="F689" s="166">
        <v>339</v>
      </c>
      <c r="G689">
        <v>678</v>
      </c>
    </row>
    <row r="690" spans="1:7">
      <c r="A690" t="s">
        <v>363</v>
      </c>
      <c r="B690" s="165">
        <v>41844</v>
      </c>
      <c r="C690" t="s">
        <v>356</v>
      </c>
      <c r="D690" t="s">
        <v>357</v>
      </c>
      <c r="E690">
        <v>8</v>
      </c>
      <c r="F690" s="166">
        <v>375</v>
      </c>
      <c r="G690">
        <v>3000</v>
      </c>
    </row>
    <row r="691" spans="1:7">
      <c r="A691" t="s">
        <v>363</v>
      </c>
      <c r="B691" s="165">
        <v>41858</v>
      </c>
      <c r="C691" t="s">
        <v>356</v>
      </c>
      <c r="D691" t="s">
        <v>357</v>
      </c>
      <c r="E691">
        <v>6</v>
      </c>
      <c r="F691" s="166">
        <v>225</v>
      </c>
      <c r="G691">
        <v>1350</v>
      </c>
    </row>
    <row r="692" spans="1:7">
      <c r="A692" t="s">
        <v>363</v>
      </c>
      <c r="B692" s="165">
        <v>41865</v>
      </c>
      <c r="C692" t="s">
        <v>356</v>
      </c>
      <c r="D692" t="s">
        <v>357</v>
      </c>
      <c r="E692">
        <v>4</v>
      </c>
      <c r="F692" s="166">
        <v>264</v>
      </c>
      <c r="G692">
        <v>1056</v>
      </c>
    </row>
    <row r="693" spans="1:7">
      <c r="A693" t="s">
        <v>363</v>
      </c>
      <c r="B693" s="165">
        <v>41872</v>
      </c>
      <c r="C693" t="s">
        <v>356</v>
      </c>
      <c r="D693" t="s">
        <v>357</v>
      </c>
      <c r="E693">
        <v>16</v>
      </c>
      <c r="F693" s="166">
        <v>501.625</v>
      </c>
      <c r="G693">
        <v>8026</v>
      </c>
    </row>
    <row r="694" spans="1:7">
      <c r="A694" t="s">
        <v>363</v>
      </c>
      <c r="B694" s="165">
        <v>41879</v>
      </c>
      <c r="C694" t="s">
        <v>356</v>
      </c>
      <c r="D694" t="s">
        <v>357</v>
      </c>
      <c r="E694">
        <v>15</v>
      </c>
      <c r="F694" s="166">
        <v>345</v>
      </c>
      <c r="G694">
        <v>5175</v>
      </c>
    </row>
    <row r="695" spans="1:7">
      <c r="A695" t="s">
        <v>363</v>
      </c>
      <c r="B695" s="165">
        <v>41893</v>
      </c>
      <c r="C695" t="s">
        <v>356</v>
      </c>
      <c r="D695" t="s">
        <v>357</v>
      </c>
      <c r="E695">
        <v>1</v>
      </c>
      <c r="F695" s="166">
        <v>445</v>
      </c>
      <c r="G695">
        <v>445</v>
      </c>
    </row>
    <row r="696" spans="1:7">
      <c r="A696" t="s">
        <v>363</v>
      </c>
      <c r="B696" s="165">
        <v>41915</v>
      </c>
      <c r="C696" t="s">
        <v>356</v>
      </c>
      <c r="D696" t="s">
        <v>357</v>
      </c>
      <c r="E696">
        <v>6</v>
      </c>
      <c r="F696" s="166">
        <v>230</v>
      </c>
      <c r="G696">
        <v>1380</v>
      </c>
    </row>
    <row r="697" spans="1:7">
      <c r="A697" t="s">
        <v>363</v>
      </c>
      <c r="B697" s="165">
        <v>41915</v>
      </c>
      <c r="C697" t="s">
        <v>356</v>
      </c>
      <c r="D697" t="s">
        <v>357</v>
      </c>
      <c r="E697">
        <v>6</v>
      </c>
      <c r="F697" s="166">
        <v>433.33333333333331</v>
      </c>
      <c r="G697">
        <v>2600</v>
      </c>
    </row>
    <row r="698" spans="1:7">
      <c r="A698" t="s">
        <v>363</v>
      </c>
      <c r="B698" s="165">
        <v>41921</v>
      </c>
      <c r="C698" t="s">
        <v>356</v>
      </c>
      <c r="D698" t="s">
        <v>357</v>
      </c>
      <c r="E698">
        <v>1</v>
      </c>
      <c r="F698" s="166">
        <v>235</v>
      </c>
      <c r="G698">
        <v>235</v>
      </c>
    </row>
    <row r="699" spans="1:7">
      <c r="A699" t="s">
        <v>363</v>
      </c>
      <c r="B699" s="165">
        <v>41921</v>
      </c>
      <c r="C699" t="s">
        <v>356</v>
      </c>
      <c r="D699" t="s">
        <v>357</v>
      </c>
      <c r="E699">
        <v>1</v>
      </c>
      <c r="F699" s="166">
        <v>589</v>
      </c>
      <c r="G699">
        <v>589</v>
      </c>
    </row>
    <row r="700" spans="1:7">
      <c r="A700" t="s">
        <v>363</v>
      </c>
      <c r="B700" s="165">
        <v>41936</v>
      </c>
      <c r="C700" t="s">
        <v>356</v>
      </c>
      <c r="D700" t="s">
        <v>357</v>
      </c>
      <c r="E700">
        <v>5</v>
      </c>
      <c r="F700" s="166">
        <v>264</v>
      </c>
      <c r="G700">
        <v>1320</v>
      </c>
    </row>
    <row r="701" spans="1:7">
      <c r="A701" t="s">
        <v>363</v>
      </c>
      <c r="B701" s="165">
        <v>41949</v>
      </c>
      <c r="C701" t="s">
        <v>356</v>
      </c>
      <c r="D701" t="s">
        <v>357</v>
      </c>
      <c r="E701">
        <v>3</v>
      </c>
      <c r="F701" s="166">
        <v>400</v>
      </c>
      <c r="G701">
        <v>1200</v>
      </c>
    </row>
    <row r="702" spans="1:7">
      <c r="A702" t="s">
        <v>363</v>
      </c>
      <c r="B702" s="165">
        <v>41957</v>
      </c>
      <c r="C702" t="s">
        <v>356</v>
      </c>
      <c r="D702" t="s">
        <v>357</v>
      </c>
      <c r="E702">
        <v>18</v>
      </c>
      <c r="F702" s="166">
        <v>350</v>
      </c>
      <c r="G702">
        <v>6300</v>
      </c>
    </row>
    <row r="703" spans="1:7">
      <c r="A703" t="s">
        <v>363</v>
      </c>
      <c r="B703" s="165">
        <v>41957</v>
      </c>
      <c r="C703" t="s">
        <v>356</v>
      </c>
      <c r="D703" t="s">
        <v>357</v>
      </c>
      <c r="E703">
        <v>22</v>
      </c>
      <c r="F703" s="166">
        <v>309</v>
      </c>
      <c r="G703">
        <v>6798</v>
      </c>
    </row>
    <row r="704" spans="1:7">
      <c r="A704" t="s">
        <v>363</v>
      </c>
      <c r="B704" s="165">
        <v>41999</v>
      </c>
      <c r="C704" t="s">
        <v>356</v>
      </c>
      <c r="D704" t="s">
        <v>357</v>
      </c>
      <c r="E704">
        <v>5</v>
      </c>
      <c r="F704" s="166">
        <v>264.8</v>
      </c>
      <c r="G704">
        <v>1324</v>
      </c>
    </row>
    <row r="705" spans="1:8">
      <c r="A705" t="s">
        <v>363</v>
      </c>
      <c r="B705" s="165">
        <v>42004</v>
      </c>
      <c r="C705" t="s">
        <v>356</v>
      </c>
      <c r="D705" t="s">
        <v>357</v>
      </c>
      <c r="E705">
        <v>11</v>
      </c>
      <c r="F705" s="166">
        <v>225</v>
      </c>
      <c r="G705">
        <v>2475</v>
      </c>
    </row>
    <row r="706" spans="1:8">
      <c r="A706" t="s">
        <v>364</v>
      </c>
      <c r="B706" s="165">
        <v>41872</v>
      </c>
      <c r="C706" t="s">
        <v>356</v>
      </c>
      <c r="D706" t="s">
        <v>357</v>
      </c>
      <c r="E706">
        <v>1</v>
      </c>
      <c r="F706" s="166">
        <v>167</v>
      </c>
      <c r="G706">
        <v>167</v>
      </c>
    </row>
    <row r="707" spans="1:8">
      <c r="E707" s="119" t="s">
        <v>373</v>
      </c>
      <c r="F707" s="166">
        <f>AVERAGE(F582:F706)</f>
        <v>304.90063755887883</v>
      </c>
    </row>
    <row r="708" spans="1:8">
      <c r="E708" s="119" t="s">
        <v>374</v>
      </c>
      <c r="F708" s="166">
        <f>MEDIAN($F$582:$F$706)</f>
        <v>287</v>
      </c>
    </row>
    <row r="709" spans="1:8">
      <c r="E709" s="119" t="s">
        <v>375</v>
      </c>
      <c r="F709" s="166">
        <f>PERCENTILE($F$582:$F$706,0.25)</f>
        <v>235.83333333333334</v>
      </c>
    </row>
    <row r="710" spans="1:8">
      <c r="E710" s="119"/>
      <c r="F710" s="166"/>
    </row>
    <row r="711" spans="1:8">
      <c r="A711" s="171"/>
      <c r="B711" s="171"/>
      <c r="C711" s="171"/>
      <c r="D711" s="171"/>
      <c r="E711" s="171"/>
      <c r="F711" s="171"/>
      <c r="G711" s="171"/>
      <c r="H711" s="171"/>
    </row>
    <row r="712" spans="1:8">
      <c r="A712" s="146" t="s">
        <v>351</v>
      </c>
    </row>
    <row r="713" spans="1:8">
      <c r="A713" t="s">
        <v>342</v>
      </c>
      <c r="B713" s="165" t="s">
        <v>343</v>
      </c>
      <c r="C713" t="s">
        <v>344</v>
      </c>
      <c r="D713" t="s">
        <v>345</v>
      </c>
      <c r="E713" t="s">
        <v>346</v>
      </c>
      <c r="F713" s="166" t="s">
        <v>347</v>
      </c>
      <c r="G713" t="s">
        <v>348</v>
      </c>
    </row>
    <row r="714" spans="1:8">
      <c r="A714" t="s">
        <v>349</v>
      </c>
      <c r="B714" s="165">
        <v>41683</v>
      </c>
      <c r="C714" t="s">
        <v>350</v>
      </c>
      <c r="D714" t="s">
        <v>351</v>
      </c>
      <c r="E714">
        <v>3</v>
      </c>
      <c r="F714" s="166">
        <v>695</v>
      </c>
      <c r="G714">
        <v>2085</v>
      </c>
    </row>
    <row r="715" spans="1:8">
      <c r="A715" t="s">
        <v>349</v>
      </c>
      <c r="B715" s="165">
        <v>41690</v>
      </c>
      <c r="C715" t="s">
        <v>350</v>
      </c>
      <c r="D715" t="s">
        <v>351</v>
      </c>
      <c r="E715">
        <v>4</v>
      </c>
      <c r="F715" s="166">
        <v>348.25</v>
      </c>
      <c r="G715">
        <v>1393</v>
      </c>
    </row>
    <row r="716" spans="1:8">
      <c r="A716" t="s">
        <v>349</v>
      </c>
      <c r="B716" s="165">
        <v>41697</v>
      </c>
      <c r="C716" t="s">
        <v>350</v>
      </c>
      <c r="D716" t="s">
        <v>351</v>
      </c>
      <c r="E716">
        <v>2</v>
      </c>
      <c r="F716" s="166">
        <v>425</v>
      </c>
      <c r="G716">
        <v>850</v>
      </c>
    </row>
    <row r="717" spans="1:8">
      <c r="A717" t="s">
        <v>349</v>
      </c>
      <c r="B717" s="165">
        <v>41697</v>
      </c>
      <c r="C717" t="s">
        <v>350</v>
      </c>
      <c r="D717" t="s">
        <v>351</v>
      </c>
      <c r="E717">
        <v>3</v>
      </c>
      <c r="F717" s="166">
        <v>625</v>
      </c>
      <c r="G717">
        <v>1875</v>
      </c>
    </row>
    <row r="718" spans="1:8">
      <c r="A718" t="s">
        <v>349</v>
      </c>
      <c r="B718" s="165">
        <v>41704</v>
      </c>
      <c r="C718" t="s">
        <v>350</v>
      </c>
      <c r="D718" t="s">
        <v>351</v>
      </c>
      <c r="E718">
        <v>8</v>
      </c>
      <c r="F718" s="166">
        <v>725</v>
      </c>
      <c r="G718">
        <v>5800</v>
      </c>
    </row>
    <row r="719" spans="1:8">
      <c r="A719" t="s">
        <v>349</v>
      </c>
      <c r="B719" s="165">
        <v>41711</v>
      </c>
      <c r="C719" t="s">
        <v>350</v>
      </c>
      <c r="D719" t="s">
        <v>351</v>
      </c>
      <c r="E719">
        <v>2</v>
      </c>
      <c r="F719" s="166">
        <v>450</v>
      </c>
      <c r="G719">
        <v>900</v>
      </c>
    </row>
    <row r="720" spans="1:8">
      <c r="A720" t="s">
        <v>349</v>
      </c>
      <c r="B720" s="165">
        <v>41711</v>
      </c>
      <c r="C720" t="s">
        <v>350</v>
      </c>
      <c r="D720" t="s">
        <v>351</v>
      </c>
      <c r="E720">
        <v>5</v>
      </c>
      <c r="F720" s="166">
        <v>342</v>
      </c>
      <c r="G720">
        <v>1710</v>
      </c>
    </row>
    <row r="721" spans="1:7">
      <c r="A721" t="s">
        <v>349</v>
      </c>
      <c r="B721" s="165">
        <v>41711</v>
      </c>
      <c r="C721" t="s">
        <v>350</v>
      </c>
      <c r="D721" t="s">
        <v>351</v>
      </c>
      <c r="E721">
        <v>10</v>
      </c>
      <c r="F721" s="166">
        <v>475</v>
      </c>
      <c r="G721">
        <v>4750</v>
      </c>
    </row>
    <row r="722" spans="1:7">
      <c r="A722" t="s">
        <v>349</v>
      </c>
      <c r="B722" s="165">
        <v>41718</v>
      </c>
      <c r="C722" t="s">
        <v>350</v>
      </c>
      <c r="D722" t="s">
        <v>351</v>
      </c>
      <c r="E722">
        <v>8</v>
      </c>
      <c r="F722" s="166">
        <v>489</v>
      </c>
      <c r="G722">
        <v>3912</v>
      </c>
    </row>
    <row r="723" spans="1:7">
      <c r="A723" t="s">
        <v>349</v>
      </c>
      <c r="B723" s="165">
        <v>41718</v>
      </c>
      <c r="C723" t="s">
        <v>350</v>
      </c>
      <c r="D723" t="s">
        <v>351</v>
      </c>
      <c r="E723">
        <v>10</v>
      </c>
      <c r="F723" s="166">
        <v>494.4</v>
      </c>
      <c r="G723">
        <v>4944</v>
      </c>
    </row>
    <row r="724" spans="1:7">
      <c r="A724" t="s">
        <v>349</v>
      </c>
      <c r="B724" s="165">
        <v>41739</v>
      </c>
      <c r="C724" t="s">
        <v>350</v>
      </c>
      <c r="D724" t="s">
        <v>351</v>
      </c>
      <c r="E724">
        <v>4</v>
      </c>
      <c r="F724" s="166">
        <v>306</v>
      </c>
      <c r="G724">
        <v>1224</v>
      </c>
    </row>
    <row r="725" spans="1:7">
      <c r="A725" t="s">
        <v>349</v>
      </c>
      <c r="B725" s="165">
        <v>41739</v>
      </c>
      <c r="C725" t="s">
        <v>350</v>
      </c>
      <c r="D725" t="s">
        <v>351</v>
      </c>
      <c r="E725">
        <v>3</v>
      </c>
      <c r="F725" s="166">
        <v>625</v>
      </c>
      <c r="G725">
        <v>1875</v>
      </c>
    </row>
    <row r="726" spans="1:7">
      <c r="A726" t="s">
        <v>349</v>
      </c>
      <c r="B726" s="165">
        <v>41739</v>
      </c>
      <c r="C726" t="s">
        <v>350</v>
      </c>
      <c r="D726" t="s">
        <v>351</v>
      </c>
      <c r="E726">
        <v>4</v>
      </c>
      <c r="F726" s="166">
        <v>1034.75</v>
      </c>
      <c r="G726">
        <v>4139</v>
      </c>
    </row>
    <row r="727" spans="1:7">
      <c r="A727" t="s">
        <v>349</v>
      </c>
      <c r="B727" s="165">
        <v>41746</v>
      </c>
      <c r="C727" t="s">
        <v>350</v>
      </c>
      <c r="D727" t="s">
        <v>351</v>
      </c>
      <c r="E727">
        <v>10</v>
      </c>
      <c r="F727" s="166">
        <v>480</v>
      </c>
      <c r="G727">
        <v>4800</v>
      </c>
    </row>
    <row r="728" spans="1:7">
      <c r="A728" t="s">
        <v>349</v>
      </c>
      <c r="B728" s="165">
        <v>41753</v>
      </c>
      <c r="C728" t="s">
        <v>350</v>
      </c>
      <c r="D728" t="s">
        <v>351</v>
      </c>
      <c r="E728">
        <v>8</v>
      </c>
      <c r="F728" s="166">
        <v>387.75</v>
      </c>
      <c r="G728">
        <v>3102</v>
      </c>
    </row>
    <row r="729" spans="1:7">
      <c r="A729" t="s">
        <v>349</v>
      </c>
      <c r="B729" s="165">
        <v>41753</v>
      </c>
      <c r="C729" t="s">
        <v>350</v>
      </c>
      <c r="D729" t="s">
        <v>351</v>
      </c>
      <c r="E729">
        <v>8</v>
      </c>
      <c r="F729" s="166">
        <v>603.125</v>
      </c>
      <c r="G729">
        <v>4825</v>
      </c>
    </row>
    <row r="730" spans="1:7">
      <c r="A730" t="s">
        <v>349</v>
      </c>
      <c r="B730" s="165">
        <v>41760</v>
      </c>
      <c r="C730" t="s">
        <v>350</v>
      </c>
      <c r="D730" t="s">
        <v>351</v>
      </c>
      <c r="E730">
        <v>8</v>
      </c>
      <c r="F730" s="166">
        <v>350</v>
      </c>
      <c r="G730">
        <v>2800</v>
      </c>
    </row>
    <row r="731" spans="1:7">
      <c r="A731" t="s">
        <v>349</v>
      </c>
      <c r="B731" s="165">
        <v>41760</v>
      </c>
      <c r="C731" t="s">
        <v>350</v>
      </c>
      <c r="D731" t="s">
        <v>351</v>
      </c>
      <c r="E731">
        <v>11</v>
      </c>
      <c r="F731" s="166">
        <v>500</v>
      </c>
      <c r="G731">
        <v>5500</v>
      </c>
    </row>
    <row r="732" spans="1:7">
      <c r="A732" t="s">
        <v>349</v>
      </c>
      <c r="B732" s="165">
        <v>41767</v>
      </c>
      <c r="C732" t="s">
        <v>350</v>
      </c>
      <c r="D732" t="s">
        <v>351</v>
      </c>
      <c r="E732">
        <v>12</v>
      </c>
      <c r="F732" s="166">
        <v>485.41666666666669</v>
      </c>
      <c r="G732">
        <v>5825</v>
      </c>
    </row>
    <row r="733" spans="1:7">
      <c r="A733" t="s">
        <v>349</v>
      </c>
      <c r="B733" s="165">
        <v>41774</v>
      </c>
      <c r="C733" t="s">
        <v>350</v>
      </c>
      <c r="D733" t="s">
        <v>351</v>
      </c>
      <c r="E733">
        <v>1</v>
      </c>
      <c r="F733" s="166">
        <v>365</v>
      </c>
      <c r="G733">
        <v>365</v>
      </c>
    </row>
    <row r="734" spans="1:7">
      <c r="A734" t="s">
        <v>349</v>
      </c>
      <c r="B734" s="165">
        <v>41774</v>
      </c>
      <c r="C734" t="s">
        <v>350</v>
      </c>
      <c r="D734" t="s">
        <v>351</v>
      </c>
      <c r="E734">
        <v>1</v>
      </c>
      <c r="F734" s="166">
        <v>471</v>
      </c>
      <c r="G734">
        <v>471</v>
      </c>
    </row>
    <row r="735" spans="1:7">
      <c r="A735" t="s">
        <v>349</v>
      </c>
      <c r="B735" s="165">
        <v>41774</v>
      </c>
      <c r="C735" t="s">
        <v>350</v>
      </c>
      <c r="D735" t="s">
        <v>351</v>
      </c>
      <c r="E735">
        <v>7</v>
      </c>
      <c r="F735" s="166">
        <v>575</v>
      </c>
      <c r="G735">
        <v>4025</v>
      </c>
    </row>
    <row r="736" spans="1:7">
      <c r="A736" t="s">
        <v>349</v>
      </c>
      <c r="B736" s="165">
        <v>41774</v>
      </c>
      <c r="C736" t="s">
        <v>350</v>
      </c>
      <c r="D736" t="s">
        <v>351</v>
      </c>
      <c r="E736">
        <v>12</v>
      </c>
      <c r="F736" s="166">
        <v>525</v>
      </c>
      <c r="G736">
        <v>6300</v>
      </c>
    </row>
    <row r="737" spans="1:7">
      <c r="A737" t="s">
        <v>349</v>
      </c>
      <c r="B737" s="165">
        <v>41781</v>
      </c>
      <c r="C737" t="s">
        <v>350</v>
      </c>
      <c r="D737" t="s">
        <v>351</v>
      </c>
      <c r="E737">
        <v>7</v>
      </c>
      <c r="F737" s="166">
        <v>475</v>
      </c>
      <c r="G737">
        <v>3325</v>
      </c>
    </row>
    <row r="738" spans="1:7">
      <c r="A738" t="s">
        <v>349</v>
      </c>
      <c r="B738" s="165">
        <v>41788</v>
      </c>
      <c r="C738" t="s">
        <v>350</v>
      </c>
      <c r="D738" t="s">
        <v>351</v>
      </c>
      <c r="E738">
        <v>2</v>
      </c>
      <c r="F738" s="166">
        <v>360</v>
      </c>
      <c r="G738">
        <v>720</v>
      </c>
    </row>
    <row r="739" spans="1:7">
      <c r="A739" t="s">
        <v>349</v>
      </c>
      <c r="B739" s="165">
        <v>41788</v>
      </c>
      <c r="C739" t="s">
        <v>350</v>
      </c>
      <c r="D739" t="s">
        <v>351</v>
      </c>
      <c r="E739">
        <v>17</v>
      </c>
      <c r="F739" s="166">
        <v>795</v>
      </c>
      <c r="G739">
        <v>13515</v>
      </c>
    </row>
    <row r="740" spans="1:7">
      <c r="A740" t="s">
        <v>349</v>
      </c>
      <c r="B740" s="165">
        <v>41795</v>
      </c>
      <c r="C740" t="s">
        <v>350</v>
      </c>
      <c r="D740" t="s">
        <v>351</v>
      </c>
      <c r="E740">
        <v>2</v>
      </c>
      <c r="F740" s="166">
        <v>675</v>
      </c>
      <c r="G740">
        <v>1350</v>
      </c>
    </row>
    <row r="741" spans="1:7">
      <c r="A741" t="s">
        <v>349</v>
      </c>
      <c r="B741" s="165">
        <v>41795</v>
      </c>
      <c r="C741" t="s">
        <v>350</v>
      </c>
      <c r="D741" t="s">
        <v>351</v>
      </c>
      <c r="E741">
        <v>11</v>
      </c>
      <c r="F741" s="166">
        <v>499</v>
      </c>
      <c r="G741">
        <v>5489</v>
      </c>
    </row>
    <row r="742" spans="1:7">
      <c r="A742" t="s">
        <v>349</v>
      </c>
      <c r="B742" s="165">
        <v>41795</v>
      </c>
      <c r="C742" t="s">
        <v>350</v>
      </c>
      <c r="D742" t="s">
        <v>351</v>
      </c>
      <c r="E742">
        <v>20</v>
      </c>
      <c r="F742" s="166">
        <v>517</v>
      </c>
      <c r="G742">
        <v>10340</v>
      </c>
    </row>
    <row r="743" spans="1:7">
      <c r="A743" t="s">
        <v>349</v>
      </c>
      <c r="B743" s="165">
        <v>41802</v>
      </c>
      <c r="C743" t="s">
        <v>350</v>
      </c>
      <c r="D743" t="s">
        <v>351</v>
      </c>
      <c r="E743">
        <v>4</v>
      </c>
      <c r="F743" s="166">
        <v>525</v>
      </c>
      <c r="G743">
        <v>2100</v>
      </c>
    </row>
    <row r="744" spans="1:7">
      <c r="A744" t="s">
        <v>349</v>
      </c>
      <c r="B744" s="165">
        <v>41810</v>
      </c>
      <c r="C744" t="s">
        <v>350</v>
      </c>
      <c r="D744" t="s">
        <v>351</v>
      </c>
      <c r="E744">
        <v>1</v>
      </c>
      <c r="F744" s="166">
        <v>355</v>
      </c>
      <c r="G744">
        <v>355</v>
      </c>
    </row>
    <row r="745" spans="1:7">
      <c r="A745" t="s">
        <v>349</v>
      </c>
      <c r="B745" s="165">
        <v>41816</v>
      </c>
      <c r="C745" t="s">
        <v>350</v>
      </c>
      <c r="D745" t="s">
        <v>351</v>
      </c>
      <c r="E745">
        <v>8</v>
      </c>
      <c r="F745" s="166">
        <v>175.375</v>
      </c>
      <c r="G745">
        <v>1403</v>
      </c>
    </row>
    <row r="746" spans="1:7">
      <c r="A746" t="s">
        <v>349</v>
      </c>
      <c r="B746" s="165">
        <v>41816</v>
      </c>
      <c r="C746" t="s">
        <v>350</v>
      </c>
      <c r="D746" t="s">
        <v>351</v>
      </c>
      <c r="E746">
        <v>2</v>
      </c>
      <c r="F746" s="166">
        <v>875</v>
      </c>
      <c r="G746">
        <v>1750</v>
      </c>
    </row>
    <row r="747" spans="1:7">
      <c r="A747" t="s">
        <v>349</v>
      </c>
      <c r="B747" s="165">
        <v>41816</v>
      </c>
      <c r="C747" t="s">
        <v>350</v>
      </c>
      <c r="D747" t="s">
        <v>351</v>
      </c>
      <c r="E747">
        <v>6</v>
      </c>
      <c r="F747" s="166">
        <v>322.66666666666669</v>
      </c>
      <c r="G747">
        <v>1936</v>
      </c>
    </row>
    <row r="748" spans="1:7">
      <c r="A748" t="s">
        <v>349</v>
      </c>
      <c r="B748" s="165">
        <v>41816</v>
      </c>
      <c r="C748" t="s">
        <v>350</v>
      </c>
      <c r="D748" t="s">
        <v>351</v>
      </c>
      <c r="E748">
        <v>5</v>
      </c>
      <c r="F748" s="166">
        <v>675</v>
      </c>
      <c r="G748">
        <v>3375</v>
      </c>
    </row>
    <row r="749" spans="1:7">
      <c r="A749" t="s">
        <v>349</v>
      </c>
      <c r="B749" s="165">
        <v>41816</v>
      </c>
      <c r="C749" t="s">
        <v>350</v>
      </c>
      <c r="D749" t="s">
        <v>351</v>
      </c>
      <c r="E749">
        <v>13</v>
      </c>
      <c r="F749" s="166">
        <v>519</v>
      </c>
      <c r="G749">
        <v>6747</v>
      </c>
    </row>
    <row r="750" spans="1:7">
      <c r="A750" t="s">
        <v>349</v>
      </c>
      <c r="B750" s="165">
        <v>41823</v>
      </c>
      <c r="C750" t="s">
        <v>350</v>
      </c>
      <c r="D750" t="s">
        <v>351</v>
      </c>
      <c r="E750">
        <v>1</v>
      </c>
      <c r="F750" s="166">
        <v>250</v>
      </c>
      <c r="G750">
        <v>250</v>
      </c>
    </row>
    <row r="751" spans="1:7">
      <c r="A751" t="s">
        <v>349</v>
      </c>
      <c r="B751" s="165">
        <v>41823</v>
      </c>
      <c r="C751" t="s">
        <v>350</v>
      </c>
      <c r="D751" t="s">
        <v>351</v>
      </c>
      <c r="E751">
        <v>2</v>
      </c>
      <c r="F751" s="166">
        <v>480</v>
      </c>
      <c r="G751">
        <v>960</v>
      </c>
    </row>
    <row r="752" spans="1:7">
      <c r="A752" t="s">
        <v>349</v>
      </c>
      <c r="B752" s="165">
        <v>41823</v>
      </c>
      <c r="C752" t="s">
        <v>350</v>
      </c>
      <c r="D752" t="s">
        <v>351</v>
      </c>
      <c r="E752">
        <v>2</v>
      </c>
      <c r="F752" s="166">
        <v>685</v>
      </c>
      <c r="G752">
        <v>1370</v>
      </c>
    </row>
    <row r="753" spans="1:7">
      <c r="A753" t="s">
        <v>349</v>
      </c>
      <c r="B753" s="165">
        <v>41823</v>
      </c>
      <c r="C753" t="s">
        <v>350</v>
      </c>
      <c r="D753" t="s">
        <v>351</v>
      </c>
      <c r="E753">
        <v>4</v>
      </c>
      <c r="F753" s="166">
        <v>800</v>
      </c>
      <c r="G753">
        <v>3200</v>
      </c>
    </row>
    <row r="754" spans="1:7">
      <c r="A754" t="s">
        <v>349</v>
      </c>
      <c r="B754" s="165">
        <v>41823</v>
      </c>
      <c r="C754" t="s">
        <v>350</v>
      </c>
      <c r="D754" t="s">
        <v>351</v>
      </c>
      <c r="E754">
        <v>8</v>
      </c>
      <c r="F754" s="166">
        <v>425</v>
      </c>
      <c r="G754">
        <v>3400</v>
      </c>
    </row>
    <row r="755" spans="1:7">
      <c r="A755" t="s">
        <v>349</v>
      </c>
      <c r="B755" s="165">
        <v>41823</v>
      </c>
      <c r="C755" t="s">
        <v>350</v>
      </c>
      <c r="D755" t="s">
        <v>351</v>
      </c>
      <c r="E755">
        <v>8</v>
      </c>
      <c r="F755" s="166">
        <v>494</v>
      </c>
      <c r="G755">
        <v>3952</v>
      </c>
    </row>
    <row r="756" spans="1:7">
      <c r="A756" t="s">
        <v>349</v>
      </c>
      <c r="B756" s="165">
        <v>41823</v>
      </c>
      <c r="C756" t="s">
        <v>350</v>
      </c>
      <c r="D756" t="s">
        <v>351</v>
      </c>
      <c r="E756">
        <v>19</v>
      </c>
      <c r="F756" s="166">
        <v>425</v>
      </c>
      <c r="G756">
        <v>8075</v>
      </c>
    </row>
    <row r="757" spans="1:7">
      <c r="A757" t="s">
        <v>349</v>
      </c>
      <c r="B757" s="165">
        <v>41823</v>
      </c>
      <c r="C757" t="s">
        <v>350</v>
      </c>
      <c r="D757" t="s">
        <v>351</v>
      </c>
      <c r="E757">
        <v>15</v>
      </c>
      <c r="F757" s="166">
        <v>544.20000000000005</v>
      </c>
      <c r="G757">
        <v>8163</v>
      </c>
    </row>
    <row r="758" spans="1:7">
      <c r="A758" t="s">
        <v>349</v>
      </c>
      <c r="B758" s="165">
        <v>41830</v>
      </c>
      <c r="C758" t="s">
        <v>350</v>
      </c>
      <c r="D758" t="s">
        <v>351</v>
      </c>
      <c r="E758">
        <v>12</v>
      </c>
      <c r="F758" s="166">
        <v>525</v>
      </c>
      <c r="G758">
        <v>6300</v>
      </c>
    </row>
    <row r="759" spans="1:7">
      <c r="A759" t="s">
        <v>349</v>
      </c>
      <c r="B759" s="165">
        <v>41837</v>
      </c>
      <c r="C759" t="s">
        <v>350</v>
      </c>
      <c r="D759" t="s">
        <v>351</v>
      </c>
      <c r="E759">
        <v>4</v>
      </c>
      <c r="F759" s="166">
        <v>534.5</v>
      </c>
      <c r="G759">
        <v>2138</v>
      </c>
    </row>
    <row r="760" spans="1:7">
      <c r="A760" t="s">
        <v>349</v>
      </c>
      <c r="B760" s="165">
        <v>41837</v>
      </c>
      <c r="C760" t="s">
        <v>350</v>
      </c>
      <c r="D760" t="s">
        <v>351</v>
      </c>
      <c r="E760">
        <v>10</v>
      </c>
      <c r="F760" s="166">
        <v>597.5</v>
      </c>
      <c r="G760">
        <v>5975</v>
      </c>
    </row>
    <row r="761" spans="1:7">
      <c r="A761" t="s">
        <v>349</v>
      </c>
      <c r="B761" s="165">
        <v>41837</v>
      </c>
      <c r="C761" t="s">
        <v>350</v>
      </c>
      <c r="D761" t="s">
        <v>351</v>
      </c>
      <c r="E761">
        <v>18</v>
      </c>
      <c r="F761" s="166">
        <v>437</v>
      </c>
      <c r="G761">
        <v>7866</v>
      </c>
    </row>
    <row r="762" spans="1:7">
      <c r="A762" t="s">
        <v>349</v>
      </c>
      <c r="B762" s="165">
        <v>41851</v>
      </c>
      <c r="C762" t="s">
        <v>350</v>
      </c>
      <c r="D762" t="s">
        <v>351</v>
      </c>
      <c r="E762">
        <v>1</v>
      </c>
      <c r="F762" s="166">
        <v>685</v>
      </c>
      <c r="G762">
        <v>685</v>
      </c>
    </row>
    <row r="763" spans="1:7">
      <c r="A763" t="s">
        <v>349</v>
      </c>
      <c r="B763" s="165">
        <v>41851</v>
      </c>
      <c r="C763" t="s">
        <v>350</v>
      </c>
      <c r="D763" t="s">
        <v>351</v>
      </c>
      <c r="E763">
        <v>4</v>
      </c>
      <c r="F763" s="166">
        <v>270</v>
      </c>
      <c r="G763">
        <v>1080</v>
      </c>
    </row>
    <row r="764" spans="1:7">
      <c r="A764" t="s">
        <v>349</v>
      </c>
      <c r="B764" s="165">
        <v>41851</v>
      </c>
      <c r="C764" t="s">
        <v>350</v>
      </c>
      <c r="D764" t="s">
        <v>351</v>
      </c>
      <c r="E764">
        <v>10</v>
      </c>
      <c r="F764" s="166">
        <v>272.7</v>
      </c>
      <c r="G764">
        <v>2727</v>
      </c>
    </row>
    <row r="765" spans="1:7">
      <c r="A765" t="s">
        <v>349</v>
      </c>
      <c r="B765" s="165">
        <v>41851</v>
      </c>
      <c r="C765" t="s">
        <v>350</v>
      </c>
      <c r="D765" t="s">
        <v>351</v>
      </c>
      <c r="E765">
        <v>8</v>
      </c>
      <c r="F765" s="166">
        <v>354.75</v>
      </c>
      <c r="G765">
        <v>2838</v>
      </c>
    </row>
    <row r="766" spans="1:7">
      <c r="A766" t="s">
        <v>349</v>
      </c>
      <c r="B766" s="165">
        <v>41851</v>
      </c>
      <c r="C766" t="s">
        <v>350</v>
      </c>
      <c r="D766" t="s">
        <v>351</v>
      </c>
      <c r="E766">
        <v>10</v>
      </c>
      <c r="F766" s="166">
        <v>315</v>
      </c>
      <c r="G766">
        <v>3150</v>
      </c>
    </row>
    <row r="767" spans="1:7">
      <c r="A767" t="s">
        <v>349</v>
      </c>
      <c r="B767" s="165">
        <v>41851</v>
      </c>
      <c r="C767" t="s">
        <v>350</v>
      </c>
      <c r="D767" t="s">
        <v>351</v>
      </c>
      <c r="E767">
        <v>10</v>
      </c>
      <c r="F767" s="166">
        <v>550</v>
      </c>
      <c r="G767">
        <v>5500</v>
      </c>
    </row>
    <row r="768" spans="1:7">
      <c r="A768" t="s">
        <v>349</v>
      </c>
      <c r="B768" s="165">
        <v>41851</v>
      </c>
      <c r="C768" t="s">
        <v>350</v>
      </c>
      <c r="D768" t="s">
        <v>351</v>
      </c>
      <c r="E768">
        <v>12</v>
      </c>
      <c r="F768" s="166">
        <v>558.33333333333337</v>
      </c>
      <c r="G768">
        <v>6700</v>
      </c>
    </row>
    <row r="769" spans="1:7">
      <c r="A769" t="s">
        <v>349</v>
      </c>
      <c r="B769" s="165">
        <v>41851</v>
      </c>
      <c r="C769" t="s">
        <v>350</v>
      </c>
      <c r="D769" t="s">
        <v>351</v>
      </c>
      <c r="E769">
        <v>10</v>
      </c>
      <c r="F769" s="166">
        <v>767</v>
      </c>
      <c r="G769">
        <v>7670</v>
      </c>
    </row>
    <row r="770" spans="1:7">
      <c r="A770" t="s">
        <v>349</v>
      </c>
      <c r="B770" s="165">
        <v>41858</v>
      </c>
      <c r="C770" t="s">
        <v>350</v>
      </c>
      <c r="D770" t="s">
        <v>351</v>
      </c>
      <c r="E770">
        <v>4</v>
      </c>
      <c r="F770" s="166">
        <v>625</v>
      </c>
      <c r="G770">
        <v>2500</v>
      </c>
    </row>
    <row r="771" spans="1:7">
      <c r="A771" t="s">
        <v>349</v>
      </c>
      <c r="B771" s="165">
        <v>41858</v>
      </c>
      <c r="C771" t="s">
        <v>350</v>
      </c>
      <c r="D771" t="s">
        <v>351</v>
      </c>
      <c r="E771">
        <v>4</v>
      </c>
      <c r="F771" s="166">
        <v>732.5</v>
      </c>
      <c r="G771">
        <v>2930</v>
      </c>
    </row>
    <row r="772" spans="1:7">
      <c r="A772" t="s">
        <v>349</v>
      </c>
      <c r="B772" s="165">
        <v>41858</v>
      </c>
      <c r="C772" t="s">
        <v>350</v>
      </c>
      <c r="D772" t="s">
        <v>351</v>
      </c>
      <c r="E772">
        <v>8</v>
      </c>
      <c r="F772" s="166">
        <v>370</v>
      </c>
      <c r="G772">
        <v>2960</v>
      </c>
    </row>
    <row r="773" spans="1:7">
      <c r="A773" t="s">
        <v>349</v>
      </c>
      <c r="B773" s="165">
        <v>41865</v>
      </c>
      <c r="C773" t="s">
        <v>350</v>
      </c>
      <c r="D773" t="s">
        <v>351</v>
      </c>
      <c r="E773">
        <v>41</v>
      </c>
      <c r="F773" s="166">
        <v>395</v>
      </c>
      <c r="G773">
        <v>16195</v>
      </c>
    </row>
    <row r="774" spans="1:7">
      <c r="A774" t="s">
        <v>349</v>
      </c>
      <c r="B774" s="165">
        <v>41872</v>
      </c>
      <c r="C774" t="s">
        <v>350</v>
      </c>
      <c r="D774" t="s">
        <v>351</v>
      </c>
      <c r="E774">
        <v>4</v>
      </c>
      <c r="F774" s="166">
        <v>525</v>
      </c>
      <c r="G774">
        <v>2100</v>
      </c>
    </row>
    <row r="775" spans="1:7">
      <c r="A775" t="s">
        <v>349</v>
      </c>
      <c r="B775" s="165">
        <v>41872</v>
      </c>
      <c r="C775" t="s">
        <v>350</v>
      </c>
      <c r="D775" t="s">
        <v>351</v>
      </c>
      <c r="E775">
        <v>4</v>
      </c>
      <c r="F775" s="166">
        <v>550</v>
      </c>
      <c r="G775">
        <v>2200</v>
      </c>
    </row>
    <row r="776" spans="1:7">
      <c r="A776" t="s">
        <v>349</v>
      </c>
      <c r="B776" s="165">
        <v>41872</v>
      </c>
      <c r="C776" t="s">
        <v>350</v>
      </c>
      <c r="D776" t="s">
        <v>351</v>
      </c>
      <c r="E776">
        <v>2</v>
      </c>
      <c r="F776" s="166">
        <v>1395</v>
      </c>
      <c r="G776">
        <v>2790</v>
      </c>
    </row>
    <row r="777" spans="1:7">
      <c r="A777" t="s">
        <v>349</v>
      </c>
      <c r="B777" s="165">
        <v>41872</v>
      </c>
      <c r="C777" t="s">
        <v>350</v>
      </c>
      <c r="D777" t="s">
        <v>351</v>
      </c>
      <c r="E777">
        <v>8</v>
      </c>
      <c r="F777" s="166">
        <v>381.875</v>
      </c>
      <c r="G777">
        <v>3055</v>
      </c>
    </row>
    <row r="778" spans="1:7">
      <c r="A778" t="s">
        <v>349</v>
      </c>
      <c r="B778" s="165">
        <v>41872</v>
      </c>
      <c r="C778" t="s">
        <v>350</v>
      </c>
      <c r="D778" t="s">
        <v>351</v>
      </c>
      <c r="E778">
        <v>9</v>
      </c>
      <c r="F778" s="166">
        <v>503.33333333333331</v>
      </c>
      <c r="G778">
        <v>4530</v>
      </c>
    </row>
    <row r="779" spans="1:7">
      <c r="A779" t="s">
        <v>349</v>
      </c>
      <c r="B779" s="165">
        <v>41872</v>
      </c>
      <c r="C779" t="s">
        <v>350</v>
      </c>
      <c r="D779" t="s">
        <v>351</v>
      </c>
      <c r="E779">
        <v>10</v>
      </c>
      <c r="F779" s="166">
        <v>480.3</v>
      </c>
      <c r="G779">
        <v>4803</v>
      </c>
    </row>
    <row r="780" spans="1:7">
      <c r="A780" t="s">
        <v>349</v>
      </c>
      <c r="B780" s="165">
        <v>41879</v>
      </c>
      <c r="C780" t="s">
        <v>350</v>
      </c>
      <c r="D780" t="s">
        <v>351</v>
      </c>
      <c r="E780">
        <v>7</v>
      </c>
      <c r="F780" s="166">
        <v>411.28571428571428</v>
      </c>
      <c r="G780">
        <v>2879</v>
      </c>
    </row>
    <row r="781" spans="1:7">
      <c r="A781" t="s">
        <v>349</v>
      </c>
      <c r="B781" s="165">
        <v>41879</v>
      </c>
      <c r="C781" t="s">
        <v>350</v>
      </c>
      <c r="D781" t="s">
        <v>351</v>
      </c>
      <c r="E781">
        <v>15</v>
      </c>
      <c r="F781" s="166">
        <v>375.66666666666669</v>
      </c>
      <c r="G781">
        <v>5635</v>
      </c>
    </row>
    <row r="782" spans="1:7">
      <c r="A782" t="s">
        <v>349</v>
      </c>
      <c r="B782" s="165">
        <v>41893</v>
      </c>
      <c r="C782" t="s">
        <v>350</v>
      </c>
      <c r="D782" t="s">
        <v>351</v>
      </c>
      <c r="E782">
        <v>8</v>
      </c>
      <c r="F782" s="166">
        <v>334.875</v>
      </c>
      <c r="G782">
        <v>2679</v>
      </c>
    </row>
    <row r="783" spans="1:7">
      <c r="A783" t="s">
        <v>349</v>
      </c>
      <c r="B783" s="165">
        <v>41900</v>
      </c>
      <c r="C783" t="s">
        <v>350</v>
      </c>
      <c r="D783" t="s">
        <v>351</v>
      </c>
      <c r="E783">
        <v>1</v>
      </c>
      <c r="F783" s="166">
        <v>600</v>
      </c>
      <c r="G783">
        <v>600</v>
      </c>
    </row>
    <row r="784" spans="1:7">
      <c r="A784" t="s">
        <v>349</v>
      </c>
      <c r="B784" s="165">
        <v>41900</v>
      </c>
      <c r="C784" t="s">
        <v>350</v>
      </c>
      <c r="D784" t="s">
        <v>351</v>
      </c>
      <c r="E784">
        <v>3</v>
      </c>
      <c r="F784" s="166">
        <v>495</v>
      </c>
      <c r="G784">
        <v>1485</v>
      </c>
    </row>
    <row r="785" spans="1:7">
      <c r="A785" t="s">
        <v>349</v>
      </c>
      <c r="B785" s="165">
        <v>41900</v>
      </c>
      <c r="C785" t="s">
        <v>350</v>
      </c>
      <c r="D785" t="s">
        <v>351</v>
      </c>
      <c r="E785">
        <v>3</v>
      </c>
      <c r="F785" s="166">
        <v>555</v>
      </c>
      <c r="G785">
        <v>1665</v>
      </c>
    </row>
    <row r="786" spans="1:7">
      <c r="A786" t="s">
        <v>349</v>
      </c>
      <c r="B786" s="165">
        <v>41900</v>
      </c>
      <c r="C786" t="s">
        <v>350</v>
      </c>
      <c r="D786" t="s">
        <v>351</v>
      </c>
      <c r="E786">
        <v>5</v>
      </c>
      <c r="F786" s="166">
        <v>384</v>
      </c>
      <c r="G786">
        <v>1920</v>
      </c>
    </row>
    <row r="787" spans="1:7">
      <c r="A787" t="s">
        <v>349</v>
      </c>
      <c r="B787" s="165">
        <v>41900</v>
      </c>
      <c r="C787" t="s">
        <v>350</v>
      </c>
      <c r="D787" t="s">
        <v>351</v>
      </c>
      <c r="E787">
        <v>9</v>
      </c>
      <c r="F787" s="166">
        <v>720</v>
      </c>
      <c r="G787">
        <v>6480</v>
      </c>
    </row>
    <row r="788" spans="1:7">
      <c r="A788" t="s">
        <v>349</v>
      </c>
      <c r="B788" s="165">
        <v>41900</v>
      </c>
      <c r="C788" t="s">
        <v>350</v>
      </c>
      <c r="D788" t="s">
        <v>351</v>
      </c>
      <c r="E788">
        <v>12</v>
      </c>
      <c r="F788" s="166">
        <v>566.66666666666663</v>
      </c>
      <c r="G788">
        <v>6800</v>
      </c>
    </row>
    <row r="789" spans="1:7">
      <c r="A789" t="s">
        <v>349</v>
      </c>
      <c r="B789" s="165">
        <v>41907</v>
      </c>
      <c r="C789" t="s">
        <v>350</v>
      </c>
      <c r="D789" t="s">
        <v>351</v>
      </c>
      <c r="E789">
        <v>9</v>
      </c>
      <c r="F789" s="166">
        <v>200</v>
      </c>
      <c r="G789">
        <v>1800</v>
      </c>
    </row>
    <row r="790" spans="1:7">
      <c r="A790" t="s">
        <v>349</v>
      </c>
      <c r="B790" s="165">
        <v>41907</v>
      </c>
      <c r="C790" t="s">
        <v>350</v>
      </c>
      <c r="D790" t="s">
        <v>351</v>
      </c>
      <c r="E790">
        <v>11</v>
      </c>
      <c r="F790" s="166">
        <v>590.90909090909088</v>
      </c>
      <c r="G790">
        <v>6500</v>
      </c>
    </row>
    <row r="791" spans="1:7">
      <c r="A791" t="s">
        <v>349</v>
      </c>
      <c r="B791" s="165">
        <v>41907</v>
      </c>
      <c r="C791" t="s">
        <v>350</v>
      </c>
      <c r="D791" t="s">
        <v>351</v>
      </c>
      <c r="E791">
        <v>17</v>
      </c>
      <c r="F791" s="166">
        <v>560</v>
      </c>
      <c r="G791">
        <v>9520</v>
      </c>
    </row>
    <row r="792" spans="1:7">
      <c r="A792" t="s">
        <v>349</v>
      </c>
      <c r="B792" s="165">
        <v>41921</v>
      </c>
      <c r="C792" t="s">
        <v>350</v>
      </c>
      <c r="D792" t="s">
        <v>351</v>
      </c>
      <c r="E792">
        <v>9</v>
      </c>
      <c r="F792" s="166">
        <v>561.11111111111109</v>
      </c>
      <c r="G792">
        <v>5050</v>
      </c>
    </row>
    <row r="793" spans="1:7">
      <c r="A793" t="s">
        <v>349</v>
      </c>
      <c r="B793" s="165">
        <v>41921</v>
      </c>
      <c r="C793" t="s">
        <v>350</v>
      </c>
      <c r="D793" t="s">
        <v>351</v>
      </c>
      <c r="E793">
        <v>14</v>
      </c>
      <c r="F793" s="166">
        <v>696.42857142857144</v>
      </c>
      <c r="G793">
        <v>9750</v>
      </c>
    </row>
    <row r="794" spans="1:7">
      <c r="A794" t="s">
        <v>349</v>
      </c>
      <c r="B794" s="165">
        <v>41928</v>
      </c>
      <c r="C794" t="s">
        <v>350</v>
      </c>
      <c r="D794" t="s">
        <v>351</v>
      </c>
      <c r="E794">
        <v>7</v>
      </c>
      <c r="F794" s="166">
        <v>359.28571428571428</v>
      </c>
      <c r="G794">
        <v>2515</v>
      </c>
    </row>
    <row r="795" spans="1:7">
      <c r="A795" t="s">
        <v>349</v>
      </c>
      <c r="B795" s="165">
        <v>41936</v>
      </c>
      <c r="C795" t="s">
        <v>350</v>
      </c>
      <c r="D795" t="s">
        <v>351</v>
      </c>
      <c r="E795">
        <v>3</v>
      </c>
      <c r="F795" s="166">
        <v>200</v>
      </c>
      <c r="G795">
        <v>600</v>
      </c>
    </row>
    <row r="796" spans="1:7">
      <c r="A796" t="s">
        <v>349</v>
      </c>
      <c r="B796" s="165">
        <v>41936</v>
      </c>
      <c r="C796" t="s">
        <v>350</v>
      </c>
      <c r="D796" t="s">
        <v>351</v>
      </c>
      <c r="E796">
        <v>2</v>
      </c>
      <c r="F796" s="166">
        <v>323</v>
      </c>
      <c r="G796">
        <v>646</v>
      </c>
    </row>
    <row r="797" spans="1:7">
      <c r="A797" t="s">
        <v>349</v>
      </c>
      <c r="B797" s="165">
        <v>41936</v>
      </c>
      <c r="C797" t="s">
        <v>350</v>
      </c>
      <c r="D797" t="s">
        <v>351</v>
      </c>
      <c r="E797">
        <v>5</v>
      </c>
      <c r="F797" s="166">
        <v>600</v>
      </c>
      <c r="G797">
        <v>3000</v>
      </c>
    </row>
    <row r="798" spans="1:7">
      <c r="A798" t="s">
        <v>349</v>
      </c>
      <c r="B798" s="165">
        <v>41936</v>
      </c>
      <c r="C798" t="s">
        <v>350</v>
      </c>
      <c r="D798" t="s">
        <v>351</v>
      </c>
      <c r="E798">
        <v>12</v>
      </c>
      <c r="F798" s="166">
        <v>489</v>
      </c>
      <c r="G798">
        <v>5868</v>
      </c>
    </row>
    <row r="799" spans="1:7">
      <c r="A799" t="s">
        <v>349</v>
      </c>
      <c r="B799" s="165">
        <v>41936</v>
      </c>
      <c r="C799" t="s">
        <v>350</v>
      </c>
      <c r="D799" t="s">
        <v>351</v>
      </c>
      <c r="E799">
        <v>8</v>
      </c>
      <c r="F799" s="166">
        <v>787.875</v>
      </c>
      <c r="G799">
        <v>6303</v>
      </c>
    </row>
    <row r="800" spans="1:7">
      <c r="A800" t="s">
        <v>349</v>
      </c>
      <c r="B800" s="165">
        <v>41936</v>
      </c>
      <c r="C800" t="s">
        <v>350</v>
      </c>
      <c r="D800" t="s">
        <v>351</v>
      </c>
      <c r="E800">
        <v>10</v>
      </c>
      <c r="F800" s="166">
        <v>637</v>
      </c>
      <c r="G800">
        <v>6370</v>
      </c>
    </row>
    <row r="801" spans="1:7">
      <c r="A801" t="s">
        <v>349</v>
      </c>
      <c r="B801" s="165">
        <v>41943</v>
      </c>
      <c r="C801" t="s">
        <v>350</v>
      </c>
      <c r="D801" t="s">
        <v>351</v>
      </c>
      <c r="E801">
        <v>2</v>
      </c>
      <c r="F801" s="166">
        <v>198.5</v>
      </c>
      <c r="G801">
        <v>397</v>
      </c>
    </row>
    <row r="802" spans="1:7">
      <c r="A802" t="s">
        <v>349</v>
      </c>
      <c r="B802" s="165">
        <v>41943</v>
      </c>
      <c r="C802" t="s">
        <v>350</v>
      </c>
      <c r="D802" t="s">
        <v>351</v>
      </c>
      <c r="E802">
        <v>3</v>
      </c>
      <c r="F802" s="166">
        <v>399</v>
      </c>
      <c r="G802">
        <v>1197</v>
      </c>
    </row>
    <row r="803" spans="1:7">
      <c r="A803" t="s">
        <v>349</v>
      </c>
      <c r="B803" s="165">
        <v>41943</v>
      </c>
      <c r="C803" t="s">
        <v>350</v>
      </c>
      <c r="D803" t="s">
        <v>351</v>
      </c>
      <c r="E803">
        <v>9</v>
      </c>
      <c r="F803" s="166">
        <v>227.33333333333334</v>
      </c>
      <c r="G803">
        <v>2046</v>
      </c>
    </row>
    <row r="804" spans="1:7">
      <c r="A804" t="s">
        <v>349</v>
      </c>
      <c r="B804" s="165">
        <v>41943</v>
      </c>
      <c r="C804" t="s">
        <v>350</v>
      </c>
      <c r="D804" t="s">
        <v>351</v>
      </c>
      <c r="E804">
        <v>6</v>
      </c>
      <c r="F804" s="166">
        <v>650</v>
      </c>
      <c r="G804">
        <v>3900</v>
      </c>
    </row>
    <row r="805" spans="1:7">
      <c r="A805" t="s">
        <v>349</v>
      </c>
      <c r="B805" s="165">
        <v>41943</v>
      </c>
      <c r="C805" t="s">
        <v>350</v>
      </c>
      <c r="D805" t="s">
        <v>351</v>
      </c>
      <c r="E805">
        <v>15</v>
      </c>
      <c r="F805" s="166">
        <v>722</v>
      </c>
      <c r="G805">
        <v>10830</v>
      </c>
    </row>
    <row r="806" spans="1:7">
      <c r="A806" t="s">
        <v>349</v>
      </c>
      <c r="B806" s="165">
        <v>41949</v>
      </c>
      <c r="C806" t="s">
        <v>350</v>
      </c>
      <c r="D806" t="s">
        <v>351</v>
      </c>
      <c r="E806">
        <v>1</v>
      </c>
      <c r="F806" s="166">
        <v>330</v>
      </c>
      <c r="G806">
        <v>330</v>
      </c>
    </row>
    <row r="807" spans="1:7">
      <c r="A807" t="s">
        <v>349</v>
      </c>
      <c r="B807" s="165">
        <v>41949</v>
      </c>
      <c r="C807" t="s">
        <v>350</v>
      </c>
      <c r="D807" t="s">
        <v>351</v>
      </c>
      <c r="E807">
        <v>2</v>
      </c>
      <c r="F807" s="166">
        <v>350</v>
      </c>
      <c r="G807">
        <v>700</v>
      </c>
    </row>
    <row r="808" spans="1:7">
      <c r="A808" t="s">
        <v>349</v>
      </c>
      <c r="B808" s="165">
        <v>41949</v>
      </c>
      <c r="C808" t="s">
        <v>350</v>
      </c>
      <c r="D808" t="s">
        <v>351</v>
      </c>
      <c r="E808">
        <v>1</v>
      </c>
      <c r="F808" s="166">
        <v>795</v>
      </c>
      <c r="G808">
        <v>795</v>
      </c>
    </row>
    <row r="809" spans="1:7">
      <c r="A809" t="s">
        <v>349</v>
      </c>
      <c r="B809" s="165">
        <v>41949</v>
      </c>
      <c r="C809" t="s">
        <v>350</v>
      </c>
      <c r="D809" t="s">
        <v>351</v>
      </c>
      <c r="E809">
        <v>2</v>
      </c>
      <c r="F809" s="166">
        <v>422.5</v>
      </c>
      <c r="G809">
        <v>845</v>
      </c>
    </row>
    <row r="810" spans="1:7">
      <c r="A810" t="s">
        <v>349</v>
      </c>
      <c r="B810" s="165">
        <v>41949</v>
      </c>
      <c r="C810" t="s">
        <v>350</v>
      </c>
      <c r="D810" t="s">
        <v>351</v>
      </c>
      <c r="E810">
        <v>4</v>
      </c>
      <c r="F810" s="166">
        <v>615</v>
      </c>
      <c r="G810">
        <v>2460</v>
      </c>
    </row>
    <row r="811" spans="1:7">
      <c r="A811" t="s">
        <v>349</v>
      </c>
      <c r="B811" s="165">
        <v>41949</v>
      </c>
      <c r="C811" t="s">
        <v>350</v>
      </c>
      <c r="D811" t="s">
        <v>351</v>
      </c>
      <c r="E811">
        <v>8</v>
      </c>
      <c r="F811" s="166">
        <v>550</v>
      </c>
      <c r="G811">
        <v>4400</v>
      </c>
    </row>
    <row r="812" spans="1:7">
      <c r="A812" t="s">
        <v>349</v>
      </c>
      <c r="B812" s="165">
        <v>41949</v>
      </c>
      <c r="C812" t="s">
        <v>350</v>
      </c>
      <c r="D812" t="s">
        <v>351</v>
      </c>
      <c r="E812">
        <v>13</v>
      </c>
      <c r="F812" s="166">
        <v>392.30769230769232</v>
      </c>
      <c r="G812">
        <v>5100</v>
      </c>
    </row>
    <row r="813" spans="1:7">
      <c r="A813" t="s">
        <v>349</v>
      </c>
      <c r="B813" s="165">
        <v>41949</v>
      </c>
      <c r="C813" t="s">
        <v>350</v>
      </c>
      <c r="D813" t="s">
        <v>351</v>
      </c>
      <c r="E813">
        <v>15</v>
      </c>
      <c r="F813" s="166">
        <v>705.6</v>
      </c>
      <c r="G813">
        <v>10584</v>
      </c>
    </row>
    <row r="814" spans="1:7">
      <c r="A814" t="s">
        <v>349</v>
      </c>
      <c r="B814" s="165">
        <v>41963</v>
      </c>
      <c r="C814" t="s">
        <v>350</v>
      </c>
      <c r="D814" t="s">
        <v>351</v>
      </c>
      <c r="E814">
        <v>1</v>
      </c>
      <c r="F814" s="166">
        <v>385</v>
      </c>
      <c r="G814">
        <v>385</v>
      </c>
    </row>
    <row r="815" spans="1:7">
      <c r="A815" t="s">
        <v>349</v>
      </c>
      <c r="B815" s="165">
        <v>41963</v>
      </c>
      <c r="C815" t="s">
        <v>350</v>
      </c>
      <c r="D815" t="s">
        <v>351</v>
      </c>
      <c r="E815">
        <v>2</v>
      </c>
      <c r="F815" s="166">
        <v>510</v>
      </c>
      <c r="G815">
        <v>1020</v>
      </c>
    </row>
    <row r="816" spans="1:7">
      <c r="A816" t="s">
        <v>349</v>
      </c>
      <c r="B816" s="165">
        <v>41963</v>
      </c>
      <c r="C816" t="s">
        <v>350</v>
      </c>
      <c r="D816" t="s">
        <v>351</v>
      </c>
      <c r="E816">
        <v>2</v>
      </c>
      <c r="F816" s="166">
        <v>552</v>
      </c>
      <c r="G816">
        <v>1104</v>
      </c>
    </row>
    <row r="817" spans="1:7">
      <c r="A817" t="s">
        <v>349</v>
      </c>
      <c r="B817" s="165">
        <v>41963</v>
      </c>
      <c r="C817" t="s">
        <v>350</v>
      </c>
      <c r="D817" t="s">
        <v>351</v>
      </c>
      <c r="E817">
        <v>5</v>
      </c>
      <c r="F817" s="166">
        <v>300</v>
      </c>
      <c r="G817">
        <v>1500</v>
      </c>
    </row>
    <row r="818" spans="1:7">
      <c r="A818" t="s">
        <v>349</v>
      </c>
      <c r="B818" s="165">
        <v>41963</v>
      </c>
      <c r="C818" t="s">
        <v>350</v>
      </c>
      <c r="D818" t="s">
        <v>351</v>
      </c>
      <c r="E818">
        <v>2</v>
      </c>
      <c r="F818" s="166">
        <v>916.5</v>
      </c>
      <c r="G818">
        <v>1833</v>
      </c>
    </row>
    <row r="819" spans="1:7">
      <c r="A819" t="s">
        <v>349</v>
      </c>
      <c r="B819" s="165">
        <v>41963</v>
      </c>
      <c r="C819" t="s">
        <v>350</v>
      </c>
      <c r="D819" t="s">
        <v>351</v>
      </c>
      <c r="E819">
        <v>16</v>
      </c>
      <c r="F819" s="166">
        <v>217.5</v>
      </c>
      <c r="G819">
        <v>3480</v>
      </c>
    </row>
    <row r="820" spans="1:7">
      <c r="A820" t="s">
        <v>349</v>
      </c>
      <c r="B820" s="165">
        <v>41963</v>
      </c>
      <c r="C820" t="s">
        <v>350</v>
      </c>
      <c r="D820" t="s">
        <v>351</v>
      </c>
      <c r="E820">
        <v>13</v>
      </c>
      <c r="F820" s="166">
        <v>366.69230769230768</v>
      </c>
      <c r="G820">
        <v>4767</v>
      </c>
    </row>
    <row r="821" spans="1:7">
      <c r="A821" t="s">
        <v>349</v>
      </c>
      <c r="B821" s="165">
        <v>41963</v>
      </c>
      <c r="C821" t="s">
        <v>350</v>
      </c>
      <c r="D821" t="s">
        <v>351</v>
      </c>
      <c r="E821">
        <v>11</v>
      </c>
      <c r="F821" s="166">
        <v>654.5454545454545</v>
      </c>
      <c r="G821">
        <v>7200</v>
      </c>
    </row>
    <row r="822" spans="1:7">
      <c r="A822" t="s">
        <v>349</v>
      </c>
      <c r="B822" s="165">
        <v>41963</v>
      </c>
      <c r="C822" t="s">
        <v>350</v>
      </c>
      <c r="D822" t="s">
        <v>351</v>
      </c>
      <c r="E822">
        <v>13</v>
      </c>
      <c r="F822" s="166">
        <v>714</v>
      </c>
      <c r="G822">
        <v>9282</v>
      </c>
    </row>
    <row r="823" spans="1:7">
      <c r="A823" t="s">
        <v>349</v>
      </c>
      <c r="B823" s="165">
        <v>41963</v>
      </c>
      <c r="C823" t="s">
        <v>350</v>
      </c>
      <c r="D823" t="s">
        <v>351</v>
      </c>
      <c r="E823">
        <v>17</v>
      </c>
      <c r="F823" s="166">
        <v>733.35294117647061</v>
      </c>
      <c r="G823">
        <v>12467</v>
      </c>
    </row>
    <row r="824" spans="1:7">
      <c r="A824" t="s">
        <v>349</v>
      </c>
      <c r="B824" s="165">
        <v>41971</v>
      </c>
      <c r="C824" t="s">
        <v>350</v>
      </c>
      <c r="D824" t="s">
        <v>351</v>
      </c>
      <c r="E824">
        <v>1</v>
      </c>
      <c r="F824" s="166">
        <v>685</v>
      </c>
      <c r="G824">
        <v>685</v>
      </c>
    </row>
    <row r="825" spans="1:7">
      <c r="A825" t="s">
        <v>349</v>
      </c>
      <c r="B825" s="165">
        <v>41971</v>
      </c>
      <c r="C825" t="s">
        <v>350</v>
      </c>
      <c r="D825" t="s">
        <v>351</v>
      </c>
      <c r="E825">
        <v>8</v>
      </c>
      <c r="F825" s="166">
        <v>306</v>
      </c>
      <c r="G825">
        <v>2448</v>
      </c>
    </row>
    <row r="826" spans="1:7">
      <c r="A826" t="s">
        <v>349</v>
      </c>
      <c r="B826" s="165">
        <v>41971</v>
      </c>
      <c r="C826" t="s">
        <v>350</v>
      </c>
      <c r="D826" t="s">
        <v>351</v>
      </c>
      <c r="E826">
        <v>9</v>
      </c>
      <c r="F826" s="166">
        <v>448</v>
      </c>
      <c r="G826">
        <v>4032</v>
      </c>
    </row>
    <row r="827" spans="1:7">
      <c r="A827" t="s">
        <v>349</v>
      </c>
      <c r="B827" s="165">
        <v>41977</v>
      </c>
      <c r="C827" t="s">
        <v>350</v>
      </c>
      <c r="D827" t="s">
        <v>351</v>
      </c>
      <c r="E827">
        <v>4</v>
      </c>
      <c r="F827" s="166">
        <v>296</v>
      </c>
      <c r="G827">
        <v>1184</v>
      </c>
    </row>
    <row r="828" spans="1:7">
      <c r="A828" t="s">
        <v>349</v>
      </c>
      <c r="B828" s="165">
        <v>41977</v>
      </c>
      <c r="C828" t="s">
        <v>350</v>
      </c>
      <c r="D828" t="s">
        <v>351</v>
      </c>
      <c r="E828">
        <v>14</v>
      </c>
      <c r="F828" s="166">
        <v>450</v>
      </c>
      <c r="G828">
        <v>6300</v>
      </c>
    </row>
    <row r="829" spans="1:7">
      <c r="A829" t="s">
        <v>349</v>
      </c>
      <c r="B829" s="165">
        <v>41984</v>
      </c>
      <c r="C829" t="s">
        <v>350</v>
      </c>
      <c r="D829" t="s">
        <v>351</v>
      </c>
      <c r="E829">
        <v>4</v>
      </c>
      <c r="F829" s="166">
        <v>675</v>
      </c>
      <c r="G829">
        <v>2700</v>
      </c>
    </row>
    <row r="830" spans="1:7">
      <c r="A830" t="s">
        <v>349</v>
      </c>
      <c r="B830" s="165">
        <v>41984</v>
      </c>
      <c r="C830" t="s">
        <v>350</v>
      </c>
      <c r="D830" t="s">
        <v>351</v>
      </c>
      <c r="E830">
        <v>6</v>
      </c>
      <c r="F830" s="166">
        <v>630</v>
      </c>
      <c r="G830">
        <v>3780</v>
      </c>
    </row>
    <row r="831" spans="1:7">
      <c r="A831" t="s">
        <v>349</v>
      </c>
      <c r="B831" s="165">
        <v>41991</v>
      </c>
      <c r="C831" t="s">
        <v>350</v>
      </c>
      <c r="D831" t="s">
        <v>351</v>
      </c>
      <c r="E831">
        <v>4</v>
      </c>
      <c r="F831" s="166">
        <v>1460.5</v>
      </c>
      <c r="G831">
        <v>5842</v>
      </c>
    </row>
    <row r="832" spans="1:7">
      <c r="A832" t="s">
        <v>349</v>
      </c>
      <c r="B832" s="165">
        <v>41991</v>
      </c>
      <c r="C832" t="s">
        <v>350</v>
      </c>
      <c r="D832" t="s">
        <v>351</v>
      </c>
      <c r="E832">
        <v>31</v>
      </c>
      <c r="F832" s="166">
        <v>321.25806451612902</v>
      </c>
      <c r="G832">
        <v>9959</v>
      </c>
    </row>
    <row r="833" spans="1:7">
      <c r="A833" t="s">
        <v>349</v>
      </c>
      <c r="B833" s="165">
        <v>41991</v>
      </c>
      <c r="C833" t="s">
        <v>350</v>
      </c>
      <c r="D833" t="s">
        <v>351</v>
      </c>
      <c r="E833">
        <v>18</v>
      </c>
      <c r="F833" s="166">
        <v>613.22222222222217</v>
      </c>
      <c r="G833">
        <v>11038</v>
      </c>
    </row>
    <row r="834" spans="1:7">
      <c r="A834" t="s">
        <v>349</v>
      </c>
      <c r="B834" s="165">
        <v>41991</v>
      </c>
      <c r="C834" t="s">
        <v>350</v>
      </c>
      <c r="D834" t="s">
        <v>351</v>
      </c>
      <c r="E834">
        <v>37</v>
      </c>
      <c r="F834" s="166">
        <v>300</v>
      </c>
      <c r="G834">
        <v>11100</v>
      </c>
    </row>
    <row r="835" spans="1:7">
      <c r="A835" t="s">
        <v>349</v>
      </c>
      <c r="B835" s="165">
        <v>41999</v>
      </c>
      <c r="C835" t="s">
        <v>350</v>
      </c>
      <c r="D835" t="s">
        <v>351</v>
      </c>
      <c r="E835">
        <v>2</v>
      </c>
      <c r="F835" s="166">
        <v>357</v>
      </c>
      <c r="G835">
        <v>714</v>
      </c>
    </row>
    <row r="836" spans="1:7">
      <c r="A836" t="s">
        <v>349</v>
      </c>
      <c r="B836" s="165">
        <v>41999</v>
      </c>
      <c r="C836" t="s">
        <v>350</v>
      </c>
      <c r="D836" t="s">
        <v>351</v>
      </c>
      <c r="E836">
        <v>4</v>
      </c>
      <c r="F836" s="166">
        <v>270</v>
      </c>
      <c r="G836">
        <v>1080</v>
      </c>
    </row>
    <row r="837" spans="1:7">
      <c r="A837" t="s">
        <v>349</v>
      </c>
      <c r="B837" s="165">
        <v>41999</v>
      </c>
      <c r="C837" t="s">
        <v>350</v>
      </c>
      <c r="D837" t="s">
        <v>351</v>
      </c>
      <c r="E837">
        <v>23</v>
      </c>
      <c r="F837" s="166">
        <v>532.52173913043475</v>
      </c>
      <c r="G837">
        <v>12248</v>
      </c>
    </row>
    <row r="838" spans="1:7">
      <c r="A838" t="s">
        <v>349</v>
      </c>
      <c r="B838" s="165">
        <v>41999</v>
      </c>
      <c r="C838" t="s">
        <v>350</v>
      </c>
      <c r="D838" t="s">
        <v>351</v>
      </c>
      <c r="E838">
        <v>39</v>
      </c>
      <c r="F838" s="166">
        <v>381.89743589743591</v>
      </c>
      <c r="G838">
        <v>14894</v>
      </c>
    </row>
    <row r="839" spans="1:7">
      <c r="A839" t="s">
        <v>349</v>
      </c>
      <c r="B839" s="165">
        <v>42004</v>
      </c>
      <c r="C839" t="s">
        <v>350</v>
      </c>
      <c r="D839" t="s">
        <v>351</v>
      </c>
      <c r="E839">
        <v>1</v>
      </c>
      <c r="F839" s="166">
        <v>250</v>
      </c>
      <c r="G839">
        <v>250</v>
      </c>
    </row>
    <row r="840" spans="1:7">
      <c r="A840" t="s">
        <v>349</v>
      </c>
      <c r="B840" s="165">
        <v>42004</v>
      </c>
      <c r="C840" t="s">
        <v>350</v>
      </c>
      <c r="D840" t="s">
        <v>351</v>
      </c>
      <c r="E840">
        <v>2</v>
      </c>
      <c r="F840" s="166">
        <v>257</v>
      </c>
      <c r="G840">
        <v>514</v>
      </c>
    </row>
    <row r="841" spans="1:7">
      <c r="A841" t="s">
        <v>349</v>
      </c>
      <c r="B841" s="165">
        <v>42004</v>
      </c>
      <c r="C841" t="s">
        <v>350</v>
      </c>
      <c r="D841" t="s">
        <v>351</v>
      </c>
      <c r="E841">
        <v>1</v>
      </c>
      <c r="F841" s="166">
        <v>550</v>
      </c>
      <c r="G841">
        <v>550</v>
      </c>
    </row>
    <row r="842" spans="1:7">
      <c r="A842" t="s">
        <v>349</v>
      </c>
      <c r="B842" s="165">
        <v>42004</v>
      </c>
      <c r="C842" t="s">
        <v>350</v>
      </c>
      <c r="D842" t="s">
        <v>351</v>
      </c>
      <c r="E842">
        <v>2</v>
      </c>
      <c r="F842" s="166">
        <v>396</v>
      </c>
      <c r="G842">
        <v>792</v>
      </c>
    </row>
    <row r="843" spans="1:7">
      <c r="A843" t="s">
        <v>349</v>
      </c>
      <c r="B843" s="165">
        <v>42004</v>
      </c>
      <c r="C843" t="s">
        <v>350</v>
      </c>
      <c r="D843" t="s">
        <v>351</v>
      </c>
      <c r="E843">
        <v>1</v>
      </c>
      <c r="F843" s="166">
        <v>865</v>
      </c>
      <c r="G843">
        <v>865</v>
      </c>
    </row>
    <row r="844" spans="1:7">
      <c r="A844" t="s">
        <v>349</v>
      </c>
      <c r="B844" s="165">
        <v>42004</v>
      </c>
      <c r="C844" t="s">
        <v>350</v>
      </c>
      <c r="D844" t="s">
        <v>351</v>
      </c>
      <c r="E844">
        <v>1</v>
      </c>
      <c r="F844" s="166">
        <v>1190</v>
      </c>
      <c r="G844">
        <v>1190</v>
      </c>
    </row>
    <row r="845" spans="1:7">
      <c r="A845" t="s">
        <v>349</v>
      </c>
      <c r="B845" s="165">
        <v>42004</v>
      </c>
      <c r="C845" t="s">
        <v>350</v>
      </c>
      <c r="D845" t="s">
        <v>351</v>
      </c>
      <c r="E845">
        <v>2</v>
      </c>
      <c r="F845" s="166">
        <v>750</v>
      </c>
      <c r="G845">
        <v>1500</v>
      </c>
    </row>
    <row r="846" spans="1:7">
      <c r="A846" t="s">
        <v>349</v>
      </c>
      <c r="B846" s="165">
        <v>42004</v>
      </c>
      <c r="C846" t="s">
        <v>350</v>
      </c>
      <c r="D846" t="s">
        <v>351</v>
      </c>
      <c r="E846">
        <v>10</v>
      </c>
      <c r="F846" s="166">
        <v>570</v>
      </c>
      <c r="G846">
        <v>5700</v>
      </c>
    </row>
    <row r="847" spans="1:7">
      <c r="A847" t="s">
        <v>349</v>
      </c>
      <c r="B847" s="165">
        <v>42004</v>
      </c>
      <c r="C847" t="s">
        <v>350</v>
      </c>
      <c r="D847" t="s">
        <v>351</v>
      </c>
      <c r="E847">
        <v>10</v>
      </c>
      <c r="F847" s="166">
        <v>570</v>
      </c>
      <c r="G847">
        <v>5700</v>
      </c>
    </row>
    <row r="848" spans="1:7">
      <c r="A848" t="s">
        <v>349</v>
      </c>
      <c r="B848" s="165">
        <v>42004</v>
      </c>
      <c r="C848" t="s">
        <v>350</v>
      </c>
      <c r="D848" t="s">
        <v>351</v>
      </c>
      <c r="E848">
        <v>15</v>
      </c>
      <c r="F848" s="166">
        <v>388</v>
      </c>
      <c r="G848">
        <v>5820</v>
      </c>
    </row>
    <row r="849" spans="1:7">
      <c r="A849" t="s">
        <v>349</v>
      </c>
      <c r="B849" s="165">
        <v>42004</v>
      </c>
      <c r="C849" t="s">
        <v>350</v>
      </c>
      <c r="D849" t="s">
        <v>351</v>
      </c>
      <c r="E849">
        <v>26</v>
      </c>
      <c r="F849" s="166">
        <v>891.84615384615381</v>
      </c>
      <c r="G849">
        <v>23188</v>
      </c>
    </row>
    <row r="850" spans="1:7">
      <c r="A850" t="s">
        <v>349</v>
      </c>
      <c r="B850" s="165">
        <v>42004</v>
      </c>
      <c r="C850" t="s">
        <v>350</v>
      </c>
      <c r="D850" t="s">
        <v>351</v>
      </c>
      <c r="E850">
        <v>120</v>
      </c>
      <c r="F850" s="166">
        <v>346</v>
      </c>
      <c r="G850">
        <v>41520</v>
      </c>
    </row>
    <row r="851" spans="1:7">
      <c r="A851" t="s">
        <v>362</v>
      </c>
      <c r="B851" s="165">
        <v>41690</v>
      </c>
      <c r="C851" t="s">
        <v>350</v>
      </c>
      <c r="D851" t="s">
        <v>351</v>
      </c>
      <c r="E851">
        <v>15</v>
      </c>
      <c r="F851" s="166">
        <v>697.66666666666663</v>
      </c>
      <c r="G851">
        <v>10465</v>
      </c>
    </row>
    <row r="852" spans="1:7">
      <c r="A852" t="s">
        <v>362</v>
      </c>
      <c r="B852" s="165">
        <v>41732</v>
      </c>
      <c r="C852" t="s">
        <v>350</v>
      </c>
      <c r="D852" t="s">
        <v>351</v>
      </c>
      <c r="E852">
        <v>5</v>
      </c>
      <c r="F852" s="166">
        <v>485.4</v>
      </c>
      <c r="G852">
        <v>2427</v>
      </c>
    </row>
    <row r="853" spans="1:7">
      <c r="A853" t="s">
        <v>362</v>
      </c>
      <c r="B853" s="165">
        <v>41732</v>
      </c>
      <c r="C853" t="s">
        <v>350</v>
      </c>
      <c r="D853" t="s">
        <v>351</v>
      </c>
      <c r="E853">
        <v>9</v>
      </c>
      <c r="F853" s="166">
        <v>362.44444444444446</v>
      </c>
      <c r="G853">
        <v>3262</v>
      </c>
    </row>
    <row r="854" spans="1:7">
      <c r="A854" t="s">
        <v>362</v>
      </c>
      <c r="B854" s="165">
        <v>41732</v>
      </c>
      <c r="C854" t="s">
        <v>350</v>
      </c>
      <c r="D854" t="s">
        <v>351</v>
      </c>
      <c r="E854">
        <v>8</v>
      </c>
      <c r="F854" s="166">
        <v>664.375</v>
      </c>
      <c r="G854">
        <v>5315</v>
      </c>
    </row>
    <row r="855" spans="1:7">
      <c r="A855" t="s">
        <v>362</v>
      </c>
      <c r="B855" s="165">
        <v>41767</v>
      </c>
      <c r="C855" t="s">
        <v>350</v>
      </c>
      <c r="D855" t="s">
        <v>351</v>
      </c>
      <c r="E855">
        <v>27</v>
      </c>
      <c r="F855" s="166">
        <v>250</v>
      </c>
      <c r="G855">
        <v>6750</v>
      </c>
    </row>
    <row r="856" spans="1:7">
      <c r="A856" t="s">
        <v>362</v>
      </c>
      <c r="B856" s="165">
        <v>41788</v>
      </c>
      <c r="C856" t="s">
        <v>350</v>
      </c>
      <c r="D856" t="s">
        <v>351</v>
      </c>
      <c r="E856">
        <v>1</v>
      </c>
      <c r="F856" s="166">
        <v>249</v>
      </c>
      <c r="G856">
        <v>249</v>
      </c>
    </row>
    <row r="857" spans="1:7">
      <c r="A857" t="s">
        <v>362</v>
      </c>
      <c r="B857" s="165">
        <v>41788</v>
      </c>
      <c r="C857" t="s">
        <v>350</v>
      </c>
      <c r="D857" t="s">
        <v>351</v>
      </c>
      <c r="E857">
        <v>11</v>
      </c>
      <c r="F857" s="166">
        <v>282</v>
      </c>
      <c r="G857">
        <v>3102</v>
      </c>
    </row>
    <row r="858" spans="1:7">
      <c r="A858" t="s">
        <v>362</v>
      </c>
      <c r="B858" s="165">
        <v>41788</v>
      </c>
      <c r="C858" t="s">
        <v>350</v>
      </c>
      <c r="D858" t="s">
        <v>351</v>
      </c>
      <c r="E858">
        <v>20</v>
      </c>
      <c r="F858" s="166">
        <v>299</v>
      </c>
      <c r="G858">
        <v>5980</v>
      </c>
    </row>
    <row r="859" spans="1:7">
      <c r="A859" t="s">
        <v>362</v>
      </c>
      <c r="B859" s="165">
        <v>41795</v>
      </c>
      <c r="C859" t="s">
        <v>350</v>
      </c>
      <c r="D859" t="s">
        <v>351</v>
      </c>
      <c r="E859">
        <v>10</v>
      </c>
      <c r="F859" s="166">
        <v>302</v>
      </c>
      <c r="G859">
        <v>3020</v>
      </c>
    </row>
    <row r="860" spans="1:7">
      <c r="A860" t="s">
        <v>362</v>
      </c>
      <c r="B860" s="165">
        <v>41858</v>
      </c>
      <c r="C860" t="s">
        <v>350</v>
      </c>
      <c r="D860" t="s">
        <v>351</v>
      </c>
      <c r="E860">
        <v>22</v>
      </c>
      <c r="F860" s="166">
        <v>1435</v>
      </c>
      <c r="G860">
        <v>31570</v>
      </c>
    </row>
    <row r="861" spans="1:7">
      <c r="A861" t="s">
        <v>362</v>
      </c>
      <c r="B861" s="165">
        <v>41879</v>
      </c>
      <c r="C861" t="s">
        <v>350</v>
      </c>
      <c r="D861" t="s">
        <v>351</v>
      </c>
      <c r="E861">
        <v>3</v>
      </c>
      <c r="F861" s="166">
        <v>571.25</v>
      </c>
      <c r="G861">
        <v>1713.75</v>
      </c>
    </row>
    <row r="862" spans="1:7">
      <c r="A862" t="s">
        <v>362</v>
      </c>
      <c r="B862" s="165">
        <v>41879</v>
      </c>
      <c r="C862" t="s">
        <v>350</v>
      </c>
      <c r="D862" t="s">
        <v>351</v>
      </c>
      <c r="E862">
        <v>3</v>
      </c>
      <c r="F862" s="166">
        <v>2103</v>
      </c>
      <c r="G862">
        <v>6309</v>
      </c>
    </row>
    <row r="863" spans="1:7">
      <c r="A863" t="s">
        <v>362</v>
      </c>
      <c r="B863" s="165">
        <v>41928</v>
      </c>
      <c r="C863" t="s">
        <v>350</v>
      </c>
      <c r="D863" t="s">
        <v>351</v>
      </c>
      <c r="E863">
        <v>1</v>
      </c>
      <c r="F863" s="166">
        <v>328</v>
      </c>
      <c r="G863">
        <v>328</v>
      </c>
    </row>
    <row r="864" spans="1:7">
      <c r="A864" t="s">
        <v>362</v>
      </c>
      <c r="B864" s="165">
        <v>41928</v>
      </c>
      <c r="C864" t="s">
        <v>350</v>
      </c>
      <c r="D864" t="s">
        <v>351</v>
      </c>
      <c r="E864">
        <v>1</v>
      </c>
      <c r="F864" s="166">
        <v>886</v>
      </c>
      <c r="G864">
        <v>886</v>
      </c>
    </row>
    <row r="865" spans="1:7">
      <c r="A865" t="s">
        <v>362</v>
      </c>
      <c r="B865" s="165">
        <v>41936</v>
      </c>
      <c r="C865" t="s">
        <v>350</v>
      </c>
      <c r="D865" t="s">
        <v>351</v>
      </c>
      <c r="E865">
        <v>104</v>
      </c>
      <c r="F865" s="166">
        <v>732.42307692307691</v>
      </c>
      <c r="G865">
        <v>76172</v>
      </c>
    </row>
    <row r="866" spans="1:7">
      <c r="A866" t="s">
        <v>362</v>
      </c>
      <c r="B866" s="165">
        <v>41943</v>
      </c>
      <c r="C866" t="s">
        <v>350</v>
      </c>
      <c r="D866" t="s">
        <v>351</v>
      </c>
      <c r="E866">
        <v>1</v>
      </c>
      <c r="F866" s="166">
        <v>526</v>
      </c>
      <c r="G866">
        <v>526</v>
      </c>
    </row>
    <row r="867" spans="1:7">
      <c r="A867" t="s">
        <v>362</v>
      </c>
      <c r="B867" s="165">
        <v>41943</v>
      </c>
      <c r="C867" t="s">
        <v>350</v>
      </c>
      <c r="D867" t="s">
        <v>351</v>
      </c>
      <c r="E867">
        <v>6</v>
      </c>
      <c r="F867" s="166">
        <v>345</v>
      </c>
      <c r="G867">
        <v>2070</v>
      </c>
    </row>
    <row r="868" spans="1:7">
      <c r="A868" t="s">
        <v>362</v>
      </c>
      <c r="B868" s="165">
        <v>41943</v>
      </c>
      <c r="C868" t="s">
        <v>350</v>
      </c>
      <c r="D868" t="s">
        <v>351</v>
      </c>
      <c r="E868">
        <v>6</v>
      </c>
      <c r="F868" s="166">
        <v>459</v>
      </c>
      <c r="G868">
        <v>2754</v>
      </c>
    </row>
    <row r="869" spans="1:7">
      <c r="A869" t="s">
        <v>362</v>
      </c>
      <c r="B869" s="165">
        <v>41943</v>
      </c>
      <c r="C869" t="s">
        <v>350</v>
      </c>
      <c r="D869" t="s">
        <v>351</v>
      </c>
      <c r="E869">
        <v>11</v>
      </c>
      <c r="F869" s="166">
        <v>336</v>
      </c>
      <c r="G869">
        <v>3696</v>
      </c>
    </row>
    <row r="870" spans="1:7">
      <c r="A870" t="s">
        <v>362</v>
      </c>
      <c r="B870" s="165">
        <v>42004</v>
      </c>
      <c r="C870" t="s">
        <v>350</v>
      </c>
      <c r="D870" t="s">
        <v>351</v>
      </c>
      <c r="E870">
        <v>1</v>
      </c>
      <c r="F870" s="166">
        <v>429</v>
      </c>
      <c r="G870">
        <v>429</v>
      </c>
    </row>
    <row r="871" spans="1:7">
      <c r="A871" t="s">
        <v>362</v>
      </c>
      <c r="B871" s="165">
        <v>42004</v>
      </c>
      <c r="C871" t="s">
        <v>350</v>
      </c>
      <c r="D871" t="s">
        <v>351</v>
      </c>
      <c r="E871">
        <v>8</v>
      </c>
      <c r="F871" s="166">
        <v>465</v>
      </c>
      <c r="G871">
        <v>3720</v>
      </c>
    </row>
    <row r="872" spans="1:7">
      <c r="A872" t="s">
        <v>362</v>
      </c>
      <c r="B872" s="165">
        <v>42004</v>
      </c>
      <c r="C872" t="s">
        <v>350</v>
      </c>
      <c r="D872" t="s">
        <v>351</v>
      </c>
      <c r="E872">
        <v>52</v>
      </c>
      <c r="F872" s="166">
        <v>1434.5</v>
      </c>
      <c r="G872">
        <v>74594</v>
      </c>
    </row>
    <row r="873" spans="1:7">
      <c r="A873" t="s">
        <v>363</v>
      </c>
      <c r="B873" s="165">
        <v>41739</v>
      </c>
      <c r="C873" t="s">
        <v>350</v>
      </c>
      <c r="D873" t="s">
        <v>351</v>
      </c>
      <c r="E873">
        <v>9</v>
      </c>
      <c r="F873" s="166">
        <v>538.77777777777783</v>
      </c>
      <c r="G873">
        <v>4849</v>
      </c>
    </row>
    <row r="874" spans="1:7">
      <c r="A874" t="s">
        <v>363</v>
      </c>
      <c r="B874" s="165">
        <v>41746</v>
      </c>
      <c r="C874" t="s">
        <v>350</v>
      </c>
      <c r="D874" t="s">
        <v>351</v>
      </c>
      <c r="E874">
        <v>1</v>
      </c>
      <c r="F874" s="166">
        <v>282</v>
      </c>
      <c r="G874">
        <v>282</v>
      </c>
    </row>
    <row r="875" spans="1:7">
      <c r="A875" t="s">
        <v>363</v>
      </c>
      <c r="B875" s="165">
        <v>41760</v>
      </c>
      <c r="C875" t="s">
        <v>350</v>
      </c>
      <c r="D875" t="s">
        <v>351</v>
      </c>
      <c r="E875">
        <v>2</v>
      </c>
      <c r="F875" s="166">
        <v>358</v>
      </c>
      <c r="G875">
        <v>716</v>
      </c>
    </row>
    <row r="876" spans="1:7">
      <c r="A876" t="s">
        <v>363</v>
      </c>
      <c r="B876" s="165">
        <v>41767</v>
      </c>
      <c r="C876" t="s">
        <v>350</v>
      </c>
      <c r="D876" t="s">
        <v>351</v>
      </c>
      <c r="E876">
        <v>12</v>
      </c>
      <c r="F876" s="166">
        <v>491.25</v>
      </c>
      <c r="G876">
        <v>5895</v>
      </c>
    </row>
    <row r="877" spans="1:7">
      <c r="A877" t="s">
        <v>363</v>
      </c>
      <c r="B877" s="165">
        <v>41781</v>
      </c>
      <c r="C877" t="s">
        <v>350</v>
      </c>
      <c r="D877" t="s">
        <v>351</v>
      </c>
      <c r="E877">
        <v>1</v>
      </c>
      <c r="F877" s="166">
        <v>375</v>
      </c>
      <c r="G877">
        <v>375</v>
      </c>
    </row>
    <row r="878" spans="1:7">
      <c r="A878" t="s">
        <v>363</v>
      </c>
      <c r="B878" s="165">
        <v>41781</v>
      </c>
      <c r="C878" t="s">
        <v>350</v>
      </c>
      <c r="D878" t="s">
        <v>351</v>
      </c>
      <c r="E878">
        <v>20</v>
      </c>
      <c r="F878" s="166">
        <v>509.35</v>
      </c>
      <c r="G878">
        <v>10187</v>
      </c>
    </row>
    <row r="879" spans="1:7">
      <c r="A879" t="s">
        <v>363</v>
      </c>
      <c r="B879" s="165">
        <v>41802</v>
      </c>
      <c r="C879" t="s">
        <v>350</v>
      </c>
      <c r="D879" t="s">
        <v>351</v>
      </c>
      <c r="E879">
        <v>1</v>
      </c>
      <c r="F879" s="166">
        <v>625</v>
      </c>
      <c r="G879">
        <v>625</v>
      </c>
    </row>
    <row r="880" spans="1:7">
      <c r="A880" t="s">
        <v>363</v>
      </c>
      <c r="B880" s="165">
        <v>41802</v>
      </c>
      <c r="C880" t="s">
        <v>350</v>
      </c>
      <c r="D880" t="s">
        <v>351</v>
      </c>
      <c r="E880">
        <v>2</v>
      </c>
      <c r="F880" s="166">
        <v>725</v>
      </c>
      <c r="G880">
        <v>1450</v>
      </c>
    </row>
    <row r="881" spans="1:7">
      <c r="A881" t="s">
        <v>363</v>
      </c>
      <c r="B881" s="165">
        <v>41802</v>
      </c>
      <c r="C881" t="s">
        <v>350</v>
      </c>
      <c r="D881" t="s">
        <v>351</v>
      </c>
      <c r="E881">
        <v>4</v>
      </c>
      <c r="F881" s="166">
        <v>730</v>
      </c>
      <c r="G881">
        <v>2920</v>
      </c>
    </row>
    <row r="882" spans="1:7">
      <c r="A882" t="s">
        <v>363</v>
      </c>
      <c r="B882" s="165">
        <v>41802</v>
      </c>
      <c r="C882" t="s">
        <v>350</v>
      </c>
      <c r="D882" t="s">
        <v>351</v>
      </c>
      <c r="E882">
        <v>15</v>
      </c>
      <c r="F882" s="166">
        <v>407</v>
      </c>
      <c r="G882">
        <v>6105</v>
      </c>
    </row>
    <row r="883" spans="1:7">
      <c r="A883" t="s">
        <v>363</v>
      </c>
      <c r="B883" s="165">
        <v>41810</v>
      </c>
      <c r="C883" t="s">
        <v>350</v>
      </c>
      <c r="D883" t="s">
        <v>351</v>
      </c>
      <c r="E883">
        <v>12</v>
      </c>
      <c r="F883" s="166">
        <v>475</v>
      </c>
      <c r="G883">
        <v>5700</v>
      </c>
    </row>
    <row r="884" spans="1:7">
      <c r="A884" t="s">
        <v>363</v>
      </c>
      <c r="B884" s="165">
        <v>41844</v>
      </c>
      <c r="C884" t="s">
        <v>350</v>
      </c>
      <c r="D884" t="s">
        <v>351</v>
      </c>
      <c r="E884">
        <v>1</v>
      </c>
      <c r="F884" s="166">
        <v>375</v>
      </c>
      <c r="G884">
        <v>375</v>
      </c>
    </row>
    <row r="885" spans="1:7">
      <c r="A885" t="s">
        <v>363</v>
      </c>
      <c r="B885" s="165">
        <v>41844</v>
      </c>
      <c r="C885" t="s">
        <v>350</v>
      </c>
      <c r="D885" t="s">
        <v>351</v>
      </c>
      <c r="E885">
        <v>2</v>
      </c>
      <c r="F885" s="166">
        <v>375</v>
      </c>
      <c r="G885">
        <v>750</v>
      </c>
    </row>
    <row r="886" spans="1:7">
      <c r="A886" t="s">
        <v>363</v>
      </c>
      <c r="B886" s="165">
        <v>41844</v>
      </c>
      <c r="C886" t="s">
        <v>350</v>
      </c>
      <c r="D886" t="s">
        <v>351</v>
      </c>
      <c r="E886">
        <v>13</v>
      </c>
      <c r="F886" s="166">
        <v>417.30769230769232</v>
      </c>
      <c r="G886">
        <v>5425</v>
      </c>
    </row>
    <row r="887" spans="1:7">
      <c r="A887" t="s">
        <v>363</v>
      </c>
      <c r="B887" s="165">
        <v>41858</v>
      </c>
      <c r="C887" t="s">
        <v>350</v>
      </c>
      <c r="D887" t="s">
        <v>351</v>
      </c>
      <c r="E887">
        <v>6</v>
      </c>
      <c r="F887" s="166">
        <v>405</v>
      </c>
      <c r="G887">
        <v>2430</v>
      </c>
    </row>
    <row r="888" spans="1:7">
      <c r="A888" t="s">
        <v>363</v>
      </c>
      <c r="B888" s="165">
        <v>41865</v>
      </c>
      <c r="C888" t="s">
        <v>350</v>
      </c>
      <c r="D888" t="s">
        <v>351</v>
      </c>
      <c r="E888">
        <v>4</v>
      </c>
      <c r="F888" s="166">
        <v>460</v>
      </c>
      <c r="G888">
        <v>1840</v>
      </c>
    </row>
    <row r="889" spans="1:7">
      <c r="A889" t="s">
        <v>363</v>
      </c>
      <c r="B889" s="165">
        <v>41872</v>
      </c>
      <c r="C889" t="s">
        <v>350</v>
      </c>
      <c r="D889" t="s">
        <v>351</v>
      </c>
      <c r="E889">
        <v>26</v>
      </c>
      <c r="F889" s="166">
        <v>746.46153846153845</v>
      </c>
      <c r="G889">
        <v>19408</v>
      </c>
    </row>
    <row r="890" spans="1:7">
      <c r="A890" t="s">
        <v>363</v>
      </c>
      <c r="B890" s="165">
        <v>41879</v>
      </c>
      <c r="C890" t="s">
        <v>350</v>
      </c>
      <c r="D890" t="s">
        <v>351</v>
      </c>
      <c r="E890">
        <v>5</v>
      </c>
      <c r="F890" s="166">
        <v>418</v>
      </c>
      <c r="G890">
        <v>2090</v>
      </c>
    </row>
    <row r="891" spans="1:7">
      <c r="A891" t="s">
        <v>363</v>
      </c>
      <c r="B891" s="165">
        <v>41893</v>
      </c>
      <c r="C891" t="s">
        <v>350</v>
      </c>
      <c r="D891" t="s">
        <v>351</v>
      </c>
      <c r="E891">
        <v>5</v>
      </c>
      <c r="F891" s="166">
        <v>775</v>
      </c>
      <c r="G891">
        <v>3875</v>
      </c>
    </row>
    <row r="892" spans="1:7">
      <c r="A892" t="s">
        <v>363</v>
      </c>
      <c r="B892" s="165">
        <v>41921</v>
      </c>
      <c r="C892" t="s">
        <v>350</v>
      </c>
      <c r="D892" t="s">
        <v>351</v>
      </c>
      <c r="E892">
        <v>1</v>
      </c>
      <c r="F892" s="166">
        <v>600</v>
      </c>
      <c r="G892">
        <v>600</v>
      </c>
    </row>
    <row r="893" spans="1:7">
      <c r="A893" t="s">
        <v>363</v>
      </c>
      <c r="B893" s="165">
        <v>41921</v>
      </c>
      <c r="C893" t="s">
        <v>350</v>
      </c>
      <c r="D893" t="s">
        <v>351</v>
      </c>
      <c r="E893">
        <v>1</v>
      </c>
      <c r="F893" s="166">
        <v>650</v>
      </c>
      <c r="G893">
        <v>650</v>
      </c>
    </row>
    <row r="894" spans="1:7">
      <c r="A894" t="s">
        <v>363</v>
      </c>
      <c r="B894" s="165">
        <v>41921</v>
      </c>
      <c r="C894" t="s">
        <v>350</v>
      </c>
      <c r="D894" t="s">
        <v>351</v>
      </c>
      <c r="E894">
        <v>4</v>
      </c>
      <c r="F894" s="166">
        <v>175</v>
      </c>
      <c r="G894">
        <v>700</v>
      </c>
    </row>
    <row r="895" spans="1:7">
      <c r="A895" t="s">
        <v>363</v>
      </c>
      <c r="B895" s="165">
        <v>41921</v>
      </c>
      <c r="C895" t="s">
        <v>350</v>
      </c>
      <c r="D895" t="s">
        <v>351</v>
      </c>
      <c r="E895">
        <v>11</v>
      </c>
      <c r="F895" s="166">
        <v>450</v>
      </c>
      <c r="G895">
        <v>4950</v>
      </c>
    </row>
    <row r="896" spans="1:7">
      <c r="A896" t="s">
        <v>363</v>
      </c>
      <c r="B896" s="165">
        <v>41943</v>
      </c>
      <c r="C896" t="s">
        <v>350</v>
      </c>
      <c r="D896" t="s">
        <v>351</v>
      </c>
      <c r="E896">
        <v>31</v>
      </c>
      <c r="F896" s="166">
        <v>439.51612903225805</v>
      </c>
      <c r="G896">
        <v>13625</v>
      </c>
    </row>
    <row r="897" spans="1:8">
      <c r="A897" t="s">
        <v>363</v>
      </c>
      <c r="B897" s="165">
        <v>41949</v>
      </c>
      <c r="C897" t="s">
        <v>350</v>
      </c>
      <c r="D897" t="s">
        <v>351</v>
      </c>
      <c r="E897">
        <v>5</v>
      </c>
      <c r="F897" s="166">
        <v>400</v>
      </c>
      <c r="G897">
        <v>2000</v>
      </c>
    </row>
    <row r="898" spans="1:8">
      <c r="A898" t="s">
        <v>363</v>
      </c>
      <c r="B898" s="165">
        <v>41949</v>
      </c>
      <c r="C898" t="s">
        <v>350</v>
      </c>
      <c r="D898" t="s">
        <v>351</v>
      </c>
      <c r="E898">
        <v>6</v>
      </c>
      <c r="F898" s="166">
        <v>390</v>
      </c>
      <c r="G898">
        <v>2340</v>
      </c>
    </row>
    <row r="899" spans="1:8">
      <c r="A899" t="s">
        <v>363</v>
      </c>
      <c r="B899" s="165">
        <v>41949</v>
      </c>
      <c r="C899" t="s">
        <v>350</v>
      </c>
      <c r="D899" t="s">
        <v>351</v>
      </c>
      <c r="E899">
        <v>8</v>
      </c>
      <c r="F899" s="166">
        <v>825</v>
      </c>
      <c r="G899">
        <v>6600</v>
      </c>
    </row>
    <row r="900" spans="1:8">
      <c r="A900" t="s">
        <v>363</v>
      </c>
      <c r="B900" s="165">
        <v>41971</v>
      </c>
      <c r="C900" t="s">
        <v>350</v>
      </c>
      <c r="D900" t="s">
        <v>351</v>
      </c>
      <c r="E900">
        <v>1</v>
      </c>
      <c r="F900" s="166">
        <v>225</v>
      </c>
      <c r="G900">
        <v>225</v>
      </c>
    </row>
    <row r="901" spans="1:8">
      <c r="A901" t="s">
        <v>363</v>
      </c>
      <c r="B901" s="165">
        <v>41971</v>
      </c>
      <c r="C901" t="s">
        <v>350</v>
      </c>
      <c r="D901" t="s">
        <v>351</v>
      </c>
      <c r="E901">
        <v>2</v>
      </c>
      <c r="F901" s="166">
        <v>650</v>
      </c>
      <c r="G901">
        <v>1300</v>
      </c>
    </row>
    <row r="902" spans="1:8">
      <c r="A902" t="s">
        <v>363</v>
      </c>
      <c r="B902" s="165">
        <v>41977</v>
      </c>
      <c r="C902" t="s">
        <v>350</v>
      </c>
      <c r="D902" t="s">
        <v>351</v>
      </c>
      <c r="E902">
        <v>105</v>
      </c>
      <c r="F902" s="166">
        <v>400</v>
      </c>
      <c r="G902">
        <v>42000</v>
      </c>
    </row>
    <row r="903" spans="1:8">
      <c r="A903" t="s">
        <v>363</v>
      </c>
      <c r="B903" s="165">
        <v>41999</v>
      </c>
      <c r="C903" t="s">
        <v>350</v>
      </c>
      <c r="D903" t="s">
        <v>351</v>
      </c>
      <c r="E903">
        <v>12</v>
      </c>
      <c r="F903" s="166">
        <v>469.58333333333331</v>
      </c>
      <c r="G903">
        <v>5635</v>
      </c>
    </row>
    <row r="904" spans="1:8">
      <c r="A904" t="s">
        <v>364</v>
      </c>
      <c r="B904" s="165">
        <v>41872</v>
      </c>
      <c r="C904" t="s">
        <v>350</v>
      </c>
      <c r="D904" t="s">
        <v>351</v>
      </c>
      <c r="E904">
        <v>7</v>
      </c>
      <c r="F904" s="166">
        <v>454.28571428571428</v>
      </c>
      <c r="G904">
        <v>3180</v>
      </c>
    </row>
    <row r="905" spans="1:8">
      <c r="E905" s="119" t="s">
        <v>373</v>
      </c>
      <c r="F905" s="166">
        <f>AVERAGE($F$714:$F$904)</f>
        <v>526.88742017410289</v>
      </c>
    </row>
    <row r="906" spans="1:8">
      <c r="E906" s="119" t="s">
        <v>374</v>
      </c>
      <c r="F906" s="166">
        <f>MEDIAN($F$714:$F$904)</f>
        <v>485.41666666666669</v>
      </c>
    </row>
    <row r="907" spans="1:8">
      <c r="E907" s="119" t="s">
        <v>375</v>
      </c>
      <c r="F907" s="166">
        <f>PERCENTILE($F$714:$F$904,0.25)</f>
        <v>368.34615384615381</v>
      </c>
    </row>
    <row r="908" spans="1:8">
      <c r="E908" s="119"/>
      <c r="F908" s="166"/>
    </row>
    <row r="909" spans="1:8">
      <c r="A909" s="171"/>
      <c r="B909" s="171"/>
      <c r="C909" s="171"/>
      <c r="D909" s="171"/>
      <c r="E909" s="171"/>
      <c r="F909" s="171"/>
      <c r="G909" s="171"/>
      <c r="H909" s="171"/>
    </row>
    <row r="910" spans="1:8">
      <c r="A910" s="146" t="s">
        <v>359</v>
      </c>
    </row>
    <row r="911" spans="1:8">
      <c r="A911" t="s">
        <v>342</v>
      </c>
      <c r="B911" s="165" t="s">
        <v>343</v>
      </c>
      <c r="C911" t="s">
        <v>344</v>
      </c>
      <c r="D911" t="s">
        <v>345</v>
      </c>
      <c r="E911" t="s">
        <v>346</v>
      </c>
      <c r="F911" s="166" t="s">
        <v>347</v>
      </c>
      <c r="G911" t="s">
        <v>348</v>
      </c>
    </row>
    <row r="912" spans="1:8">
      <c r="A912" t="s">
        <v>349</v>
      </c>
      <c r="B912" s="165">
        <v>41718</v>
      </c>
      <c r="C912" t="s">
        <v>358</v>
      </c>
      <c r="D912" t="s">
        <v>359</v>
      </c>
      <c r="E912">
        <v>8</v>
      </c>
      <c r="F912" s="166">
        <v>555.5</v>
      </c>
      <c r="G912">
        <v>4444</v>
      </c>
    </row>
    <row r="913" spans="1:7">
      <c r="A913" t="s">
        <v>349</v>
      </c>
      <c r="B913" s="165">
        <v>41767</v>
      </c>
      <c r="C913" t="s">
        <v>358</v>
      </c>
      <c r="D913" t="s">
        <v>359</v>
      </c>
      <c r="E913">
        <v>3</v>
      </c>
      <c r="F913" s="166">
        <v>625</v>
      </c>
      <c r="G913">
        <v>1875</v>
      </c>
    </row>
    <row r="914" spans="1:7">
      <c r="A914" t="s">
        <v>349</v>
      </c>
      <c r="B914" s="165">
        <v>41795</v>
      </c>
      <c r="C914" t="s">
        <v>358</v>
      </c>
      <c r="D914" t="s">
        <v>359</v>
      </c>
      <c r="E914">
        <v>11</v>
      </c>
      <c r="F914" s="166">
        <v>418.72727272727275</v>
      </c>
      <c r="G914">
        <v>4606</v>
      </c>
    </row>
    <row r="915" spans="1:7">
      <c r="A915" t="s">
        <v>349</v>
      </c>
      <c r="B915" s="165">
        <v>41795</v>
      </c>
      <c r="C915" t="s">
        <v>358</v>
      </c>
      <c r="D915" t="s">
        <v>359</v>
      </c>
      <c r="E915">
        <v>8</v>
      </c>
      <c r="F915" s="166">
        <v>620.125</v>
      </c>
      <c r="G915">
        <v>4961</v>
      </c>
    </row>
    <row r="916" spans="1:7">
      <c r="A916" t="s">
        <v>349</v>
      </c>
      <c r="B916" s="165">
        <v>41802</v>
      </c>
      <c r="C916" t="s">
        <v>358</v>
      </c>
      <c r="D916" t="s">
        <v>359</v>
      </c>
      <c r="E916">
        <v>8</v>
      </c>
      <c r="F916" s="166">
        <v>650</v>
      </c>
      <c r="G916">
        <v>5200</v>
      </c>
    </row>
    <row r="917" spans="1:7">
      <c r="A917" t="s">
        <v>349</v>
      </c>
      <c r="B917" s="165">
        <v>41802</v>
      </c>
      <c r="C917" t="s">
        <v>358</v>
      </c>
      <c r="D917" t="s">
        <v>359</v>
      </c>
      <c r="E917">
        <v>12</v>
      </c>
      <c r="F917" s="166">
        <v>650</v>
      </c>
      <c r="G917">
        <v>7800</v>
      </c>
    </row>
    <row r="918" spans="1:7">
      <c r="A918" t="s">
        <v>349</v>
      </c>
      <c r="B918" s="165">
        <v>41816</v>
      </c>
      <c r="C918" t="s">
        <v>358</v>
      </c>
      <c r="D918" t="s">
        <v>359</v>
      </c>
      <c r="E918">
        <v>10</v>
      </c>
      <c r="F918" s="166">
        <v>560</v>
      </c>
      <c r="G918">
        <v>5600</v>
      </c>
    </row>
    <row r="919" spans="1:7">
      <c r="A919" t="s">
        <v>349</v>
      </c>
      <c r="B919" s="165">
        <v>41823</v>
      </c>
      <c r="C919" t="s">
        <v>358</v>
      </c>
      <c r="D919" t="s">
        <v>359</v>
      </c>
      <c r="E919">
        <v>3</v>
      </c>
      <c r="F919" s="166">
        <v>857</v>
      </c>
      <c r="G919">
        <v>2571</v>
      </c>
    </row>
    <row r="920" spans="1:7">
      <c r="A920" t="s">
        <v>349</v>
      </c>
      <c r="B920" s="165">
        <v>41837</v>
      </c>
      <c r="C920" t="s">
        <v>358</v>
      </c>
      <c r="D920" t="s">
        <v>359</v>
      </c>
      <c r="E920">
        <v>5</v>
      </c>
      <c r="F920" s="166">
        <v>531</v>
      </c>
      <c r="G920">
        <v>2655</v>
      </c>
    </row>
    <row r="921" spans="1:7">
      <c r="A921" t="s">
        <v>349</v>
      </c>
      <c r="B921" s="165">
        <v>41837</v>
      </c>
      <c r="C921" t="s">
        <v>358</v>
      </c>
      <c r="D921" t="s">
        <v>359</v>
      </c>
      <c r="E921">
        <v>10</v>
      </c>
      <c r="F921" s="166">
        <v>597.5</v>
      </c>
      <c r="G921">
        <v>5975</v>
      </c>
    </row>
    <row r="922" spans="1:7">
      <c r="A922" t="s">
        <v>349</v>
      </c>
      <c r="B922" s="165">
        <v>41851</v>
      </c>
      <c r="C922" t="s">
        <v>358</v>
      </c>
      <c r="D922" t="s">
        <v>359</v>
      </c>
      <c r="E922">
        <v>10</v>
      </c>
      <c r="F922" s="166">
        <v>550</v>
      </c>
      <c r="G922">
        <v>5500</v>
      </c>
    </row>
    <row r="923" spans="1:7">
      <c r="A923" t="s">
        <v>349</v>
      </c>
      <c r="B923" s="165">
        <v>41851</v>
      </c>
      <c r="C923" t="s">
        <v>358</v>
      </c>
      <c r="D923" t="s">
        <v>359</v>
      </c>
      <c r="E923">
        <v>9</v>
      </c>
      <c r="F923" s="166">
        <v>1733</v>
      </c>
      <c r="G923">
        <v>15597</v>
      </c>
    </row>
    <row r="924" spans="1:7">
      <c r="A924" t="s">
        <v>349</v>
      </c>
      <c r="B924" s="165">
        <v>41858</v>
      </c>
      <c r="C924" t="s">
        <v>358</v>
      </c>
      <c r="D924" t="s">
        <v>359</v>
      </c>
      <c r="E924">
        <v>4</v>
      </c>
      <c r="F924" s="166">
        <v>341</v>
      </c>
      <c r="G924">
        <v>1364</v>
      </c>
    </row>
    <row r="925" spans="1:7">
      <c r="A925" t="s">
        <v>349</v>
      </c>
      <c r="B925" s="165">
        <v>41872</v>
      </c>
      <c r="C925" t="s">
        <v>358</v>
      </c>
      <c r="D925" t="s">
        <v>359</v>
      </c>
      <c r="E925">
        <v>4</v>
      </c>
      <c r="F925" s="166">
        <v>550</v>
      </c>
      <c r="G925">
        <v>2200</v>
      </c>
    </row>
    <row r="926" spans="1:7">
      <c r="A926" t="s">
        <v>349</v>
      </c>
      <c r="B926" s="165">
        <v>41872</v>
      </c>
      <c r="C926" t="s">
        <v>358</v>
      </c>
      <c r="D926" t="s">
        <v>359</v>
      </c>
      <c r="E926">
        <v>9</v>
      </c>
      <c r="F926" s="166">
        <v>475</v>
      </c>
      <c r="G926">
        <v>4275</v>
      </c>
    </row>
    <row r="927" spans="1:7">
      <c r="A927" t="s">
        <v>349</v>
      </c>
      <c r="B927" s="165">
        <v>41872</v>
      </c>
      <c r="C927" t="s">
        <v>358</v>
      </c>
      <c r="D927" t="s">
        <v>359</v>
      </c>
      <c r="E927">
        <v>8</v>
      </c>
      <c r="F927" s="166">
        <v>985</v>
      </c>
      <c r="G927">
        <v>7880</v>
      </c>
    </row>
    <row r="928" spans="1:7">
      <c r="A928" t="s">
        <v>349</v>
      </c>
      <c r="B928" s="165">
        <v>41900</v>
      </c>
      <c r="C928" t="s">
        <v>358</v>
      </c>
      <c r="D928" t="s">
        <v>359</v>
      </c>
      <c r="E928">
        <v>5</v>
      </c>
      <c r="F928" s="166">
        <v>510.8</v>
      </c>
      <c r="G928">
        <v>2554</v>
      </c>
    </row>
    <row r="929" spans="1:7">
      <c r="A929" t="s">
        <v>349</v>
      </c>
      <c r="B929" s="165">
        <v>41900</v>
      </c>
      <c r="C929" t="s">
        <v>358</v>
      </c>
      <c r="D929" t="s">
        <v>359</v>
      </c>
      <c r="E929">
        <v>11</v>
      </c>
      <c r="F929" s="166">
        <v>386.90909090909093</v>
      </c>
      <c r="G929">
        <v>4256</v>
      </c>
    </row>
    <row r="930" spans="1:7">
      <c r="A930" t="s">
        <v>349</v>
      </c>
      <c r="B930" s="165">
        <v>41900</v>
      </c>
      <c r="C930" t="s">
        <v>358</v>
      </c>
      <c r="D930" t="s">
        <v>359</v>
      </c>
      <c r="E930">
        <v>17</v>
      </c>
      <c r="F930" s="166">
        <v>928.82352941176475</v>
      </c>
      <c r="G930">
        <v>15790</v>
      </c>
    </row>
    <row r="931" spans="1:7">
      <c r="A931" t="s">
        <v>349</v>
      </c>
      <c r="B931" s="165">
        <v>41907</v>
      </c>
      <c r="C931" t="s">
        <v>358</v>
      </c>
      <c r="D931" t="s">
        <v>359</v>
      </c>
      <c r="E931">
        <v>1</v>
      </c>
      <c r="F931" s="166">
        <v>552</v>
      </c>
      <c r="G931">
        <v>552</v>
      </c>
    </row>
    <row r="932" spans="1:7">
      <c r="A932" t="s">
        <v>349</v>
      </c>
      <c r="B932" s="165">
        <v>41907</v>
      </c>
      <c r="C932" t="s">
        <v>358</v>
      </c>
      <c r="D932" t="s">
        <v>359</v>
      </c>
      <c r="E932">
        <v>4</v>
      </c>
      <c r="F932" s="166">
        <v>585</v>
      </c>
      <c r="G932">
        <v>2340</v>
      </c>
    </row>
    <row r="933" spans="1:7">
      <c r="A933" t="s">
        <v>349</v>
      </c>
      <c r="B933" s="165">
        <v>41907</v>
      </c>
      <c r="C933" t="s">
        <v>358</v>
      </c>
      <c r="D933" t="s">
        <v>359</v>
      </c>
      <c r="E933">
        <v>10</v>
      </c>
      <c r="F933" s="166">
        <v>420.2</v>
      </c>
      <c r="G933">
        <v>4202</v>
      </c>
    </row>
    <row r="934" spans="1:7">
      <c r="A934" t="s">
        <v>349</v>
      </c>
      <c r="B934" s="165">
        <v>41907</v>
      </c>
      <c r="C934" t="s">
        <v>358</v>
      </c>
      <c r="D934" t="s">
        <v>359</v>
      </c>
      <c r="E934">
        <v>12</v>
      </c>
      <c r="F934" s="166">
        <v>815</v>
      </c>
      <c r="G934">
        <v>9780</v>
      </c>
    </row>
    <row r="935" spans="1:7">
      <c r="A935" t="s">
        <v>349</v>
      </c>
      <c r="B935" s="165">
        <v>41921</v>
      </c>
      <c r="C935" t="s">
        <v>358</v>
      </c>
      <c r="D935" t="s">
        <v>359</v>
      </c>
      <c r="E935">
        <v>2</v>
      </c>
      <c r="F935" s="166">
        <v>544</v>
      </c>
      <c r="G935">
        <v>1088</v>
      </c>
    </row>
    <row r="936" spans="1:7">
      <c r="A936" t="s">
        <v>349</v>
      </c>
      <c r="B936" s="165">
        <v>41936</v>
      </c>
      <c r="C936" t="s">
        <v>358</v>
      </c>
      <c r="D936" t="s">
        <v>359</v>
      </c>
      <c r="E936">
        <v>1</v>
      </c>
      <c r="F936" s="166">
        <v>441</v>
      </c>
      <c r="G936">
        <v>441</v>
      </c>
    </row>
    <row r="937" spans="1:7">
      <c r="A937" t="s">
        <v>349</v>
      </c>
      <c r="B937" s="165">
        <v>41943</v>
      </c>
      <c r="C937" t="s">
        <v>358</v>
      </c>
      <c r="D937" t="s">
        <v>359</v>
      </c>
      <c r="E937">
        <v>3</v>
      </c>
      <c r="F937" s="166">
        <v>722</v>
      </c>
      <c r="G937">
        <v>2166</v>
      </c>
    </row>
    <row r="938" spans="1:7">
      <c r="A938" t="s">
        <v>349</v>
      </c>
      <c r="B938" s="165">
        <v>41943</v>
      </c>
      <c r="C938" t="s">
        <v>358</v>
      </c>
      <c r="D938" t="s">
        <v>359</v>
      </c>
      <c r="E938">
        <v>10</v>
      </c>
      <c r="F938" s="166">
        <v>675</v>
      </c>
      <c r="G938">
        <v>6750</v>
      </c>
    </row>
    <row r="939" spans="1:7">
      <c r="A939" t="s">
        <v>349</v>
      </c>
      <c r="B939" s="165">
        <v>41949</v>
      </c>
      <c r="C939" t="s">
        <v>358</v>
      </c>
      <c r="D939" t="s">
        <v>359</v>
      </c>
      <c r="E939">
        <v>2</v>
      </c>
      <c r="F939" s="166">
        <v>757</v>
      </c>
      <c r="G939">
        <v>1514</v>
      </c>
    </row>
    <row r="940" spans="1:7">
      <c r="A940" t="s">
        <v>349</v>
      </c>
      <c r="B940" s="165">
        <v>41949</v>
      </c>
      <c r="C940" t="s">
        <v>358</v>
      </c>
      <c r="D940" t="s">
        <v>359</v>
      </c>
      <c r="E940">
        <v>16</v>
      </c>
      <c r="F940" s="166">
        <v>482.5</v>
      </c>
      <c r="G940">
        <v>7720</v>
      </c>
    </row>
    <row r="941" spans="1:7">
      <c r="A941" t="s">
        <v>349</v>
      </c>
      <c r="B941" s="165">
        <v>41963</v>
      </c>
      <c r="C941" t="s">
        <v>358</v>
      </c>
      <c r="D941" t="s">
        <v>359</v>
      </c>
      <c r="E941">
        <v>1</v>
      </c>
      <c r="F941" s="166">
        <v>385</v>
      </c>
      <c r="G941">
        <v>385</v>
      </c>
    </row>
    <row r="942" spans="1:7">
      <c r="A942" t="s">
        <v>349</v>
      </c>
      <c r="B942" s="165">
        <v>41963</v>
      </c>
      <c r="C942" t="s">
        <v>358</v>
      </c>
      <c r="D942" t="s">
        <v>359</v>
      </c>
      <c r="E942">
        <v>6</v>
      </c>
      <c r="F942" s="166">
        <v>485</v>
      </c>
      <c r="G942">
        <v>2910</v>
      </c>
    </row>
    <row r="943" spans="1:7">
      <c r="A943" t="s">
        <v>349</v>
      </c>
      <c r="B943" s="165">
        <v>41963</v>
      </c>
      <c r="C943" t="s">
        <v>358</v>
      </c>
      <c r="D943" t="s">
        <v>359</v>
      </c>
      <c r="E943">
        <v>5</v>
      </c>
      <c r="F943" s="166">
        <v>650</v>
      </c>
      <c r="G943">
        <v>3250</v>
      </c>
    </row>
    <row r="944" spans="1:7">
      <c r="A944" t="s">
        <v>349</v>
      </c>
      <c r="B944" s="165">
        <v>41963</v>
      </c>
      <c r="C944" t="s">
        <v>358</v>
      </c>
      <c r="D944" t="s">
        <v>359</v>
      </c>
      <c r="E944">
        <v>6</v>
      </c>
      <c r="F944" s="166">
        <v>1100</v>
      </c>
      <c r="G944">
        <v>6600</v>
      </c>
    </row>
    <row r="945" spans="1:7">
      <c r="A945" t="s">
        <v>349</v>
      </c>
      <c r="B945" s="165">
        <v>41971</v>
      </c>
      <c r="C945" t="s">
        <v>358</v>
      </c>
      <c r="D945" t="s">
        <v>359</v>
      </c>
      <c r="E945">
        <v>2</v>
      </c>
      <c r="F945" s="166">
        <v>448</v>
      </c>
      <c r="G945">
        <v>896</v>
      </c>
    </row>
    <row r="946" spans="1:7">
      <c r="A946" t="s">
        <v>349</v>
      </c>
      <c r="B946" s="165">
        <v>41971</v>
      </c>
      <c r="C946" t="s">
        <v>358</v>
      </c>
      <c r="D946" t="s">
        <v>359</v>
      </c>
      <c r="E946">
        <v>11</v>
      </c>
      <c r="F946" s="166">
        <v>680</v>
      </c>
      <c r="G946">
        <v>7480</v>
      </c>
    </row>
    <row r="947" spans="1:7">
      <c r="A947" t="s">
        <v>349</v>
      </c>
      <c r="B947" s="165">
        <v>41991</v>
      </c>
      <c r="C947" t="s">
        <v>358</v>
      </c>
      <c r="D947" t="s">
        <v>359</v>
      </c>
      <c r="E947">
        <v>7</v>
      </c>
      <c r="F947" s="166">
        <v>575</v>
      </c>
      <c r="G947">
        <v>4025</v>
      </c>
    </row>
    <row r="948" spans="1:7">
      <c r="A948" t="s">
        <v>349</v>
      </c>
      <c r="B948" s="165">
        <v>41991</v>
      </c>
      <c r="C948" t="s">
        <v>358</v>
      </c>
      <c r="D948" t="s">
        <v>359</v>
      </c>
      <c r="E948">
        <v>4</v>
      </c>
      <c r="F948" s="166">
        <v>1730</v>
      </c>
      <c r="G948">
        <v>6920</v>
      </c>
    </row>
    <row r="949" spans="1:7">
      <c r="A949" t="s">
        <v>349</v>
      </c>
      <c r="B949" s="165">
        <v>41999</v>
      </c>
      <c r="C949" t="s">
        <v>358</v>
      </c>
      <c r="D949" t="s">
        <v>359</v>
      </c>
      <c r="E949">
        <v>1</v>
      </c>
      <c r="F949" s="166">
        <v>537</v>
      </c>
      <c r="G949">
        <v>537</v>
      </c>
    </row>
    <row r="950" spans="1:7">
      <c r="A950" t="s">
        <v>349</v>
      </c>
      <c r="B950" s="165">
        <v>41999</v>
      </c>
      <c r="C950" t="s">
        <v>358</v>
      </c>
      <c r="D950" t="s">
        <v>359</v>
      </c>
      <c r="E950">
        <v>1</v>
      </c>
      <c r="F950" s="166">
        <v>724</v>
      </c>
      <c r="G950">
        <v>724</v>
      </c>
    </row>
    <row r="951" spans="1:7">
      <c r="A951" t="s">
        <v>349</v>
      </c>
      <c r="B951" s="165">
        <v>41999</v>
      </c>
      <c r="C951" t="s">
        <v>358</v>
      </c>
      <c r="D951" t="s">
        <v>359</v>
      </c>
      <c r="E951">
        <v>3</v>
      </c>
      <c r="F951" s="166">
        <v>418.33333333333331</v>
      </c>
      <c r="G951">
        <v>1255</v>
      </c>
    </row>
    <row r="952" spans="1:7">
      <c r="A952" t="s">
        <v>349</v>
      </c>
      <c r="B952" s="165">
        <v>42004</v>
      </c>
      <c r="C952" t="s">
        <v>358</v>
      </c>
      <c r="D952" t="s">
        <v>359</v>
      </c>
      <c r="E952">
        <v>2</v>
      </c>
      <c r="F952" s="166">
        <v>537</v>
      </c>
      <c r="G952">
        <v>1074</v>
      </c>
    </row>
    <row r="953" spans="1:7">
      <c r="A953" t="s">
        <v>349</v>
      </c>
      <c r="B953" s="165">
        <v>42004</v>
      </c>
      <c r="C953" t="s">
        <v>358</v>
      </c>
      <c r="D953" t="s">
        <v>359</v>
      </c>
      <c r="E953">
        <v>4</v>
      </c>
      <c r="F953" s="166">
        <v>1190</v>
      </c>
      <c r="G953">
        <v>4760</v>
      </c>
    </row>
    <row r="954" spans="1:7">
      <c r="A954" t="s">
        <v>349</v>
      </c>
      <c r="B954" s="165">
        <v>42004</v>
      </c>
      <c r="C954" t="s">
        <v>358</v>
      </c>
      <c r="D954" t="s">
        <v>359</v>
      </c>
      <c r="E954">
        <v>16</v>
      </c>
      <c r="F954" s="166">
        <v>485</v>
      </c>
      <c r="G954">
        <v>7760</v>
      </c>
    </row>
    <row r="955" spans="1:7">
      <c r="A955" t="s">
        <v>349</v>
      </c>
      <c r="B955" s="165">
        <v>42004</v>
      </c>
      <c r="C955" t="s">
        <v>358</v>
      </c>
      <c r="D955" t="s">
        <v>359</v>
      </c>
      <c r="E955">
        <v>14</v>
      </c>
      <c r="F955" s="166">
        <v>750.21428571428567</v>
      </c>
      <c r="G955">
        <v>10503</v>
      </c>
    </row>
    <row r="956" spans="1:7">
      <c r="A956" t="s">
        <v>362</v>
      </c>
      <c r="B956" s="165">
        <v>41788</v>
      </c>
      <c r="C956" t="s">
        <v>358</v>
      </c>
      <c r="D956" t="s">
        <v>359</v>
      </c>
      <c r="E956">
        <v>4</v>
      </c>
      <c r="F956" s="166">
        <v>528</v>
      </c>
      <c r="G956">
        <v>2112</v>
      </c>
    </row>
    <row r="957" spans="1:7">
      <c r="A957" t="s">
        <v>362</v>
      </c>
      <c r="B957" s="165">
        <v>41788</v>
      </c>
      <c r="C957" t="s">
        <v>358</v>
      </c>
      <c r="D957" t="s">
        <v>359</v>
      </c>
      <c r="E957">
        <v>48</v>
      </c>
      <c r="F957" s="166">
        <v>299</v>
      </c>
      <c r="G957">
        <v>14352</v>
      </c>
    </row>
    <row r="958" spans="1:7">
      <c r="A958" t="s">
        <v>362</v>
      </c>
      <c r="B958" s="165">
        <v>41936</v>
      </c>
      <c r="C958" t="s">
        <v>358</v>
      </c>
      <c r="D958" t="s">
        <v>359</v>
      </c>
      <c r="E958">
        <v>147</v>
      </c>
      <c r="F958" s="166">
        <v>997.03401360544217</v>
      </c>
      <c r="G958">
        <v>146564</v>
      </c>
    </row>
    <row r="959" spans="1:7">
      <c r="A959" t="s">
        <v>363</v>
      </c>
      <c r="B959" s="165">
        <v>41802</v>
      </c>
      <c r="C959" t="s">
        <v>358</v>
      </c>
      <c r="D959" t="s">
        <v>359</v>
      </c>
      <c r="E959">
        <v>4</v>
      </c>
      <c r="F959" s="166">
        <v>132.25</v>
      </c>
      <c r="G959">
        <v>529</v>
      </c>
    </row>
    <row r="960" spans="1:7">
      <c r="A960" t="s">
        <v>363</v>
      </c>
      <c r="B960" s="165">
        <v>41802</v>
      </c>
      <c r="C960" t="s">
        <v>358</v>
      </c>
      <c r="D960" t="s">
        <v>359</v>
      </c>
      <c r="E960">
        <v>1</v>
      </c>
      <c r="F960" s="166">
        <v>641</v>
      </c>
      <c r="G960">
        <v>641</v>
      </c>
    </row>
    <row r="961" spans="1:7">
      <c r="A961" t="s">
        <v>363</v>
      </c>
      <c r="B961" s="165">
        <v>41810</v>
      </c>
      <c r="C961" t="s">
        <v>358</v>
      </c>
      <c r="D961" t="s">
        <v>359</v>
      </c>
      <c r="E961">
        <v>10</v>
      </c>
      <c r="F961" s="166">
        <v>625</v>
      </c>
      <c r="G961">
        <v>6250</v>
      </c>
    </row>
    <row r="962" spans="1:7">
      <c r="A962" t="s">
        <v>363</v>
      </c>
      <c r="B962" s="165">
        <v>41823</v>
      </c>
      <c r="C962" t="s">
        <v>358</v>
      </c>
      <c r="D962" t="s">
        <v>359</v>
      </c>
      <c r="E962">
        <v>10</v>
      </c>
      <c r="F962" s="166">
        <v>331.2</v>
      </c>
      <c r="G962">
        <v>3312</v>
      </c>
    </row>
    <row r="963" spans="1:7">
      <c r="A963" t="s">
        <v>363</v>
      </c>
      <c r="B963" s="165">
        <v>41830</v>
      </c>
      <c r="C963" t="s">
        <v>358</v>
      </c>
      <c r="D963" t="s">
        <v>359</v>
      </c>
      <c r="E963">
        <v>2</v>
      </c>
      <c r="F963" s="166">
        <v>409</v>
      </c>
      <c r="G963">
        <v>818</v>
      </c>
    </row>
    <row r="964" spans="1:7">
      <c r="A964" t="s">
        <v>363</v>
      </c>
      <c r="B964" s="165">
        <v>41844</v>
      </c>
      <c r="C964" t="s">
        <v>358</v>
      </c>
      <c r="D964" t="s">
        <v>359</v>
      </c>
      <c r="E964">
        <v>4</v>
      </c>
      <c r="F964" s="166">
        <v>550</v>
      </c>
      <c r="G964">
        <v>2200</v>
      </c>
    </row>
    <row r="965" spans="1:7">
      <c r="A965" t="s">
        <v>363</v>
      </c>
      <c r="B965" s="165">
        <v>41844</v>
      </c>
      <c r="C965" t="s">
        <v>358</v>
      </c>
      <c r="D965" t="s">
        <v>359</v>
      </c>
      <c r="E965">
        <v>5</v>
      </c>
      <c r="F965" s="166">
        <v>677</v>
      </c>
      <c r="G965">
        <v>3385</v>
      </c>
    </row>
    <row r="966" spans="1:7">
      <c r="A966" t="s">
        <v>363</v>
      </c>
      <c r="B966" s="165">
        <v>41872</v>
      </c>
      <c r="C966" t="s">
        <v>358</v>
      </c>
      <c r="D966" t="s">
        <v>359</v>
      </c>
      <c r="E966">
        <v>8</v>
      </c>
      <c r="F966" s="166">
        <v>805.75</v>
      </c>
      <c r="G966">
        <v>6446</v>
      </c>
    </row>
    <row r="967" spans="1:7">
      <c r="A967" t="s">
        <v>363</v>
      </c>
      <c r="B967" s="165">
        <v>41893</v>
      </c>
      <c r="C967" t="s">
        <v>358</v>
      </c>
      <c r="D967" t="s">
        <v>359</v>
      </c>
      <c r="E967">
        <v>1</v>
      </c>
      <c r="F967" s="166">
        <v>650</v>
      </c>
      <c r="G967">
        <v>650</v>
      </c>
    </row>
    <row r="968" spans="1:7">
      <c r="A968" t="s">
        <v>363</v>
      </c>
      <c r="B968" s="165">
        <v>41893</v>
      </c>
      <c r="C968" t="s">
        <v>358</v>
      </c>
      <c r="D968" t="s">
        <v>359</v>
      </c>
      <c r="E968">
        <v>11</v>
      </c>
      <c r="F968" s="166">
        <v>268.18181818181819</v>
      </c>
      <c r="G968">
        <v>2950</v>
      </c>
    </row>
    <row r="969" spans="1:7">
      <c r="A969" t="s">
        <v>363</v>
      </c>
      <c r="B969" s="165">
        <v>41900</v>
      </c>
      <c r="C969" t="s">
        <v>358</v>
      </c>
      <c r="D969" t="s">
        <v>359</v>
      </c>
      <c r="E969">
        <v>5</v>
      </c>
      <c r="F969" s="166">
        <v>674.4</v>
      </c>
      <c r="G969">
        <v>3372</v>
      </c>
    </row>
    <row r="970" spans="1:7">
      <c r="A970" t="s">
        <v>363</v>
      </c>
      <c r="B970" s="165">
        <v>41921</v>
      </c>
      <c r="C970" t="s">
        <v>358</v>
      </c>
      <c r="D970" t="s">
        <v>359</v>
      </c>
      <c r="E970">
        <v>6</v>
      </c>
      <c r="F970" s="166">
        <v>730</v>
      </c>
      <c r="G970">
        <v>4380</v>
      </c>
    </row>
    <row r="971" spans="1:7">
      <c r="A971" t="s">
        <v>363</v>
      </c>
      <c r="B971" s="165">
        <v>41921</v>
      </c>
      <c r="C971" t="s">
        <v>358</v>
      </c>
      <c r="D971" t="s">
        <v>359</v>
      </c>
      <c r="E971">
        <v>10</v>
      </c>
      <c r="F971" s="166">
        <v>450</v>
      </c>
      <c r="G971">
        <v>4500</v>
      </c>
    </row>
    <row r="972" spans="1:7">
      <c r="A972" t="s">
        <v>363</v>
      </c>
      <c r="B972" s="165">
        <v>41921</v>
      </c>
      <c r="C972" t="s">
        <v>358</v>
      </c>
      <c r="D972" t="s">
        <v>359</v>
      </c>
      <c r="E972">
        <v>5</v>
      </c>
      <c r="F972" s="166">
        <v>1000</v>
      </c>
      <c r="G972">
        <v>5000</v>
      </c>
    </row>
    <row r="973" spans="1:7">
      <c r="A973" t="s">
        <v>363</v>
      </c>
      <c r="B973" s="165">
        <v>41943</v>
      </c>
      <c r="C973" t="s">
        <v>358</v>
      </c>
      <c r="D973" t="s">
        <v>359</v>
      </c>
      <c r="E973">
        <v>4</v>
      </c>
      <c r="F973" s="166">
        <v>670</v>
      </c>
      <c r="G973">
        <v>2680</v>
      </c>
    </row>
    <row r="974" spans="1:7">
      <c r="A974" t="s">
        <v>363</v>
      </c>
      <c r="B974" s="165">
        <v>41949</v>
      </c>
      <c r="C974" t="s">
        <v>358</v>
      </c>
      <c r="D974" t="s">
        <v>359</v>
      </c>
      <c r="E974">
        <v>2</v>
      </c>
      <c r="F974" s="166">
        <v>390</v>
      </c>
      <c r="G974">
        <v>780</v>
      </c>
    </row>
    <row r="975" spans="1:7">
      <c r="A975" t="s">
        <v>363</v>
      </c>
      <c r="B975" s="165">
        <v>41957</v>
      </c>
      <c r="C975" t="s">
        <v>358</v>
      </c>
      <c r="D975" t="s">
        <v>359</v>
      </c>
      <c r="E975">
        <v>2</v>
      </c>
      <c r="F975" s="166">
        <v>680</v>
      </c>
      <c r="G975">
        <v>1360</v>
      </c>
    </row>
    <row r="976" spans="1:7">
      <c r="A976" t="s">
        <v>363</v>
      </c>
      <c r="B976" s="165">
        <v>41963</v>
      </c>
      <c r="C976" t="s">
        <v>358</v>
      </c>
      <c r="D976" t="s">
        <v>359</v>
      </c>
      <c r="E976">
        <v>12</v>
      </c>
      <c r="F976" s="166">
        <v>295</v>
      </c>
      <c r="G976">
        <v>3540</v>
      </c>
    </row>
    <row r="977" spans="1:8">
      <c r="A977" t="s">
        <v>363</v>
      </c>
      <c r="B977" s="165">
        <v>41977</v>
      </c>
      <c r="C977" t="s">
        <v>358</v>
      </c>
      <c r="D977" t="s">
        <v>359</v>
      </c>
      <c r="E977">
        <v>17</v>
      </c>
      <c r="F977" s="166">
        <v>690</v>
      </c>
      <c r="G977">
        <v>11730</v>
      </c>
    </row>
    <row r="978" spans="1:8">
      <c r="A978" t="s">
        <v>363</v>
      </c>
      <c r="B978" s="165">
        <v>41977</v>
      </c>
      <c r="C978" t="s">
        <v>358</v>
      </c>
      <c r="D978" t="s">
        <v>359</v>
      </c>
      <c r="E978">
        <v>32</v>
      </c>
      <c r="F978" s="166">
        <v>400</v>
      </c>
      <c r="G978">
        <v>12800</v>
      </c>
    </row>
    <row r="979" spans="1:8">
      <c r="A979" t="s">
        <v>363</v>
      </c>
      <c r="B979" s="165">
        <v>41999</v>
      </c>
      <c r="C979" t="s">
        <v>358</v>
      </c>
      <c r="D979" t="s">
        <v>359</v>
      </c>
      <c r="E979">
        <v>3</v>
      </c>
      <c r="F979" s="166">
        <v>700</v>
      </c>
      <c r="G979">
        <v>2100</v>
      </c>
    </row>
    <row r="980" spans="1:8">
      <c r="E980" s="119" t="s">
        <v>373</v>
      </c>
      <c r="F980" s="166">
        <f>AVERAGE($F$912:$F$979)</f>
        <v>629.50659329239716</v>
      </c>
    </row>
    <row r="981" spans="1:8">
      <c r="E981" s="119" t="s">
        <v>374</v>
      </c>
      <c r="F981" s="166">
        <f>MEDIAN($F$912:$F$979)</f>
        <v>580</v>
      </c>
    </row>
    <row r="982" spans="1:8">
      <c r="E982" s="119" t="s">
        <v>375</v>
      </c>
      <c r="F982" s="166">
        <f>PERCENTILE($F$912:$F$979,0.25)</f>
        <v>468.75</v>
      </c>
    </row>
    <row r="984" spans="1:8">
      <c r="A984" s="171"/>
      <c r="B984" s="171"/>
      <c r="C984" s="171"/>
      <c r="D984" s="171"/>
      <c r="E984" s="171"/>
      <c r="F984" s="171"/>
      <c r="G984" s="171"/>
      <c r="H984" s="171"/>
    </row>
    <row r="985" spans="1:8">
      <c r="A985" s="146" t="s">
        <v>355</v>
      </c>
    </row>
    <row r="986" spans="1:8">
      <c r="A986" t="s">
        <v>342</v>
      </c>
      <c r="B986" s="165" t="s">
        <v>343</v>
      </c>
      <c r="C986" t="s">
        <v>344</v>
      </c>
      <c r="D986" t="s">
        <v>345</v>
      </c>
      <c r="E986" t="s">
        <v>346</v>
      </c>
      <c r="F986" s="166" t="s">
        <v>347</v>
      </c>
      <c r="G986" t="s">
        <v>348</v>
      </c>
    </row>
    <row r="987" spans="1:8">
      <c r="A987" t="s">
        <v>349</v>
      </c>
      <c r="B987" s="165">
        <v>41704</v>
      </c>
      <c r="C987" t="s">
        <v>354</v>
      </c>
      <c r="D987" t="s">
        <v>355</v>
      </c>
      <c r="E987">
        <v>4</v>
      </c>
      <c r="F987" s="166">
        <v>1150</v>
      </c>
      <c r="G987">
        <v>4600</v>
      </c>
    </row>
    <row r="988" spans="1:8">
      <c r="A988" t="s">
        <v>349</v>
      </c>
      <c r="B988" s="165">
        <v>41718</v>
      </c>
      <c r="C988" t="s">
        <v>354</v>
      </c>
      <c r="D988" t="s">
        <v>355</v>
      </c>
      <c r="E988">
        <v>7</v>
      </c>
      <c r="F988" s="166">
        <v>735</v>
      </c>
      <c r="G988">
        <v>5145</v>
      </c>
    </row>
    <row r="989" spans="1:8">
      <c r="A989" t="s">
        <v>349</v>
      </c>
      <c r="B989" s="165">
        <v>41739</v>
      </c>
      <c r="C989" t="s">
        <v>354</v>
      </c>
      <c r="D989" t="s">
        <v>355</v>
      </c>
      <c r="E989">
        <v>3</v>
      </c>
      <c r="F989" s="166">
        <v>850</v>
      </c>
      <c r="G989">
        <v>2550</v>
      </c>
    </row>
    <row r="990" spans="1:8">
      <c r="A990" t="s">
        <v>349</v>
      </c>
      <c r="B990" s="165">
        <v>41739</v>
      </c>
      <c r="C990" t="s">
        <v>354</v>
      </c>
      <c r="D990" t="s">
        <v>355</v>
      </c>
      <c r="E990">
        <v>8</v>
      </c>
      <c r="F990" s="166">
        <v>492.5</v>
      </c>
      <c r="G990">
        <v>3940</v>
      </c>
    </row>
    <row r="991" spans="1:8">
      <c r="A991" t="s">
        <v>349</v>
      </c>
      <c r="B991" s="165">
        <v>41739</v>
      </c>
      <c r="C991" t="s">
        <v>354</v>
      </c>
      <c r="D991" t="s">
        <v>355</v>
      </c>
      <c r="E991">
        <v>10</v>
      </c>
      <c r="F991" s="166">
        <v>492.5</v>
      </c>
      <c r="G991">
        <v>4925</v>
      </c>
    </row>
    <row r="992" spans="1:8">
      <c r="A992" t="s">
        <v>349</v>
      </c>
      <c r="B992" s="165">
        <v>41739</v>
      </c>
      <c r="C992" t="s">
        <v>354</v>
      </c>
      <c r="D992" t="s">
        <v>355</v>
      </c>
      <c r="E992">
        <v>12</v>
      </c>
      <c r="F992" s="166">
        <v>492.5</v>
      </c>
      <c r="G992">
        <v>5910</v>
      </c>
    </row>
    <row r="993" spans="1:7">
      <c r="A993" t="s">
        <v>349</v>
      </c>
      <c r="B993" s="165">
        <v>41739</v>
      </c>
      <c r="C993" t="s">
        <v>354</v>
      </c>
      <c r="D993" t="s">
        <v>355</v>
      </c>
      <c r="E993">
        <v>12</v>
      </c>
      <c r="F993" s="166">
        <v>492.5</v>
      </c>
      <c r="G993">
        <v>5910</v>
      </c>
    </row>
    <row r="994" spans="1:7">
      <c r="A994" t="s">
        <v>349</v>
      </c>
      <c r="B994" s="165">
        <v>41739</v>
      </c>
      <c r="C994" t="s">
        <v>354</v>
      </c>
      <c r="D994" t="s">
        <v>355</v>
      </c>
      <c r="E994">
        <v>16</v>
      </c>
      <c r="F994" s="166">
        <v>492.5</v>
      </c>
      <c r="G994">
        <v>7880</v>
      </c>
    </row>
    <row r="995" spans="1:7">
      <c r="A995" t="s">
        <v>349</v>
      </c>
      <c r="B995" s="165">
        <v>41753</v>
      </c>
      <c r="C995" t="s">
        <v>354</v>
      </c>
      <c r="D995" t="s">
        <v>355</v>
      </c>
      <c r="E995">
        <v>2</v>
      </c>
      <c r="F995" s="166">
        <v>780</v>
      </c>
      <c r="G995">
        <v>1560</v>
      </c>
    </row>
    <row r="996" spans="1:7">
      <c r="A996" t="s">
        <v>349</v>
      </c>
      <c r="B996" s="165">
        <v>41753</v>
      </c>
      <c r="C996" t="s">
        <v>354</v>
      </c>
      <c r="D996" t="s">
        <v>355</v>
      </c>
      <c r="E996">
        <v>6</v>
      </c>
      <c r="F996" s="166">
        <v>525</v>
      </c>
      <c r="G996">
        <v>3150</v>
      </c>
    </row>
    <row r="997" spans="1:7">
      <c r="A997" t="s">
        <v>349</v>
      </c>
      <c r="B997" s="165">
        <v>41753</v>
      </c>
      <c r="C997" t="s">
        <v>354</v>
      </c>
      <c r="D997" t="s">
        <v>355</v>
      </c>
      <c r="E997">
        <v>9</v>
      </c>
      <c r="F997" s="166">
        <v>492.55555555555554</v>
      </c>
      <c r="G997">
        <v>4433</v>
      </c>
    </row>
    <row r="998" spans="1:7">
      <c r="A998" t="s">
        <v>349</v>
      </c>
      <c r="B998" s="165">
        <v>41753</v>
      </c>
      <c r="C998" t="s">
        <v>354</v>
      </c>
      <c r="D998" t="s">
        <v>355</v>
      </c>
      <c r="E998">
        <v>10</v>
      </c>
      <c r="F998" s="166">
        <v>492.5</v>
      </c>
      <c r="G998">
        <v>4925</v>
      </c>
    </row>
    <row r="999" spans="1:7">
      <c r="A999" t="s">
        <v>349</v>
      </c>
      <c r="B999" s="165">
        <v>41760</v>
      </c>
      <c r="C999" t="s">
        <v>354</v>
      </c>
      <c r="D999" t="s">
        <v>355</v>
      </c>
      <c r="E999">
        <v>2</v>
      </c>
      <c r="F999" s="166">
        <v>409</v>
      </c>
      <c r="G999">
        <v>818</v>
      </c>
    </row>
    <row r="1000" spans="1:7">
      <c r="A1000" t="s">
        <v>349</v>
      </c>
      <c r="B1000" s="165">
        <v>41760</v>
      </c>
      <c r="C1000" t="s">
        <v>354</v>
      </c>
      <c r="D1000" t="s">
        <v>355</v>
      </c>
      <c r="E1000">
        <v>2</v>
      </c>
      <c r="F1000" s="166">
        <v>675</v>
      </c>
      <c r="G1000">
        <v>1350</v>
      </c>
    </row>
    <row r="1001" spans="1:7">
      <c r="A1001" t="s">
        <v>349</v>
      </c>
      <c r="B1001" s="165">
        <v>41767</v>
      </c>
      <c r="C1001" t="s">
        <v>354</v>
      </c>
      <c r="D1001" t="s">
        <v>355</v>
      </c>
      <c r="E1001">
        <v>20</v>
      </c>
      <c r="F1001" s="166">
        <v>492.5</v>
      </c>
      <c r="G1001">
        <v>9850</v>
      </c>
    </row>
    <row r="1002" spans="1:7">
      <c r="A1002" t="s">
        <v>349</v>
      </c>
      <c r="B1002" s="165">
        <v>41767</v>
      </c>
      <c r="C1002" t="s">
        <v>354</v>
      </c>
      <c r="D1002" t="s">
        <v>355</v>
      </c>
      <c r="E1002">
        <v>18</v>
      </c>
      <c r="F1002" s="166">
        <v>550</v>
      </c>
      <c r="G1002">
        <v>9900</v>
      </c>
    </row>
    <row r="1003" spans="1:7">
      <c r="A1003" t="s">
        <v>349</v>
      </c>
      <c r="B1003" s="165">
        <v>41767</v>
      </c>
      <c r="C1003" t="s">
        <v>354</v>
      </c>
      <c r="D1003" t="s">
        <v>355</v>
      </c>
      <c r="E1003">
        <v>11</v>
      </c>
      <c r="F1003" s="166">
        <v>1048.5454545454545</v>
      </c>
      <c r="G1003">
        <v>11534</v>
      </c>
    </row>
    <row r="1004" spans="1:7">
      <c r="A1004" t="s">
        <v>349</v>
      </c>
      <c r="B1004" s="165">
        <v>41774</v>
      </c>
      <c r="C1004" t="s">
        <v>354</v>
      </c>
      <c r="D1004" t="s">
        <v>355</v>
      </c>
      <c r="E1004">
        <v>6</v>
      </c>
      <c r="F1004" s="166">
        <v>695</v>
      </c>
      <c r="G1004">
        <v>4170</v>
      </c>
    </row>
    <row r="1005" spans="1:7">
      <c r="A1005" t="s">
        <v>349</v>
      </c>
      <c r="B1005" s="165">
        <v>41774</v>
      </c>
      <c r="C1005" t="s">
        <v>354</v>
      </c>
      <c r="D1005" t="s">
        <v>355</v>
      </c>
      <c r="E1005">
        <v>20</v>
      </c>
      <c r="F1005" s="166">
        <v>575</v>
      </c>
      <c r="G1005">
        <v>11500</v>
      </c>
    </row>
    <row r="1006" spans="1:7">
      <c r="A1006" t="s">
        <v>349</v>
      </c>
      <c r="B1006" s="165">
        <v>41795</v>
      </c>
      <c r="C1006" t="s">
        <v>354</v>
      </c>
      <c r="D1006" t="s">
        <v>355</v>
      </c>
      <c r="E1006">
        <v>36</v>
      </c>
      <c r="F1006" s="166">
        <v>359</v>
      </c>
      <c r="G1006">
        <v>12924</v>
      </c>
    </row>
    <row r="1007" spans="1:7">
      <c r="A1007" t="s">
        <v>349</v>
      </c>
      <c r="B1007" s="165">
        <v>41810</v>
      </c>
      <c r="C1007" t="s">
        <v>354</v>
      </c>
      <c r="D1007" t="s">
        <v>355</v>
      </c>
      <c r="E1007">
        <v>21</v>
      </c>
      <c r="F1007" s="166">
        <v>1062.3809523809523</v>
      </c>
      <c r="G1007">
        <v>22310</v>
      </c>
    </row>
    <row r="1008" spans="1:7">
      <c r="A1008" t="s">
        <v>349</v>
      </c>
      <c r="B1008" s="165">
        <v>41816</v>
      </c>
      <c r="C1008" t="s">
        <v>354</v>
      </c>
      <c r="D1008" t="s">
        <v>355</v>
      </c>
      <c r="E1008">
        <v>12</v>
      </c>
      <c r="F1008" s="166">
        <v>320.25</v>
      </c>
      <c r="G1008">
        <v>3843</v>
      </c>
    </row>
    <row r="1009" spans="1:7">
      <c r="A1009" t="s">
        <v>349</v>
      </c>
      <c r="B1009" s="165">
        <v>41816</v>
      </c>
      <c r="C1009" t="s">
        <v>354</v>
      </c>
      <c r="D1009" t="s">
        <v>355</v>
      </c>
      <c r="E1009">
        <v>10</v>
      </c>
      <c r="F1009" s="166">
        <v>595</v>
      </c>
      <c r="G1009">
        <v>5950</v>
      </c>
    </row>
    <row r="1010" spans="1:7">
      <c r="A1010" t="s">
        <v>349</v>
      </c>
      <c r="B1010" s="165">
        <v>41816</v>
      </c>
      <c r="C1010" t="s">
        <v>354</v>
      </c>
      <c r="D1010" t="s">
        <v>355</v>
      </c>
      <c r="E1010">
        <v>12</v>
      </c>
      <c r="F1010" s="166">
        <v>501</v>
      </c>
      <c r="G1010">
        <v>6012</v>
      </c>
    </row>
    <row r="1011" spans="1:7">
      <c r="A1011" t="s">
        <v>349</v>
      </c>
      <c r="B1011" s="165">
        <v>41816</v>
      </c>
      <c r="C1011" t="s">
        <v>354</v>
      </c>
      <c r="D1011" t="s">
        <v>355</v>
      </c>
      <c r="E1011">
        <v>16</v>
      </c>
      <c r="F1011" s="166">
        <v>550</v>
      </c>
      <c r="G1011">
        <v>8800</v>
      </c>
    </row>
    <row r="1012" spans="1:7">
      <c r="A1012" t="s">
        <v>349</v>
      </c>
      <c r="B1012" s="165">
        <v>41823</v>
      </c>
      <c r="C1012" t="s">
        <v>354</v>
      </c>
      <c r="D1012" t="s">
        <v>355</v>
      </c>
      <c r="E1012">
        <v>2</v>
      </c>
      <c r="F1012" s="166">
        <v>480</v>
      </c>
      <c r="G1012">
        <v>960</v>
      </c>
    </row>
    <row r="1013" spans="1:7">
      <c r="A1013" t="s">
        <v>349</v>
      </c>
      <c r="B1013" s="165">
        <v>41823</v>
      </c>
      <c r="C1013" t="s">
        <v>354</v>
      </c>
      <c r="D1013" t="s">
        <v>355</v>
      </c>
      <c r="E1013">
        <v>2</v>
      </c>
      <c r="F1013" s="166">
        <v>648.5</v>
      </c>
      <c r="G1013">
        <v>1297</v>
      </c>
    </row>
    <row r="1014" spans="1:7">
      <c r="A1014" t="s">
        <v>349</v>
      </c>
      <c r="B1014" s="165">
        <v>41823</v>
      </c>
      <c r="C1014" t="s">
        <v>354</v>
      </c>
      <c r="D1014" t="s">
        <v>355</v>
      </c>
      <c r="E1014">
        <v>6</v>
      </c>
      <c r="F1014" s="166">
        <v>480</v>
      </c>
      <c r="G1014">
        <v>2880</v>
      </c>
    </row>
    <row r="1015" spans="1:7">
      <c r="A1015" t="s">
        <v>349</v>
      </c>
      <c r="B1015" s="165">
        <v>41823</v>
      </c>
      <c r="C1015" t="s">
        <v>354</v>
      </c>
      <c r="D1015" t="s">
        <v>355</v>
      </c>
      <c r="E1015">
        <v>6</v>
      </c>
      <c r="F1015" s="166">
        <v>641.66666666666663</v>
      </c>
      <c r="G1015">
        <v>3850</v>
      </c>
    </row>
    <row r="1016" spans="1:7">
      <c r="A1016" t="s">
        <v>349</v>
      </c>
      <c r="B1016" s="165">
        <v>41823</v>
      </c>
      <c r="C1016" t="s">
        <v>354</v>
      </c>
      <c r="D1016" t="s">
        <v>355</v>
      </c>
      <c r="E1016">
        <v>6</v>
      </c>
      <c r="F1016" s="166">
        <v>1034</v>
      </c>
      <c r="G1016">
        <v>6204</v>
      </c>
    </row>
    <row r="1017" spans="1:7">
      <c r="A1017" t="s">
        <v>349</v>
      </c>
      <c r="B1017" s="165">
        <v>41830</v>
      </c>
      <c r="C1017" t="s">
        <v>354</v>
      </c>
      <c r="D1017" t="s">
        <v>355</v>
      </c>
      <c r="E1017">
        <v>10</v>
      </c>
      <c r="F1017" s="166">
        <v>595</v>
      </c>
      <c r="G1017">
        <v>5950</v>
      </c>
    </row>
    <row r="1018" spans="1:7">
      <c r="A1018" t="s">
        <v>349</v>
      </c>
      <c r="B1018" s="165">
        <v>41830</v>
      </c>
      <c r="C1018" t="s">
        <v>354</v>
      </c>
      <c r="D1018" t="s">
        <v>355</v>
      </c>
      <c r="E1018">
        <v>24</v>
      </c>
      <c r="F1018" s="166">
        <v>406.33333333333331</v>
      </c>
      <c r="G1018">
        <v>9752</v>
      </c>
    </row>
    <row r="1019" spans="1:7">
      <c r="A1019" t="s">
        <v>349</v>
      </c>
      <c r="B1019" s="165">
        <v>41837</v>
      </c>
      <c r="C1019" t="s">
        <v>354</v>
      </c>
      <c r="D1019" t="s">
        <v>355</v>
      </c>
      <c r="E1019">
        <v>6</v>
      </c>
      <c r="F1019" s="166">
        <v>699</v>
      </c>
      <c r="G1019">
        <v>4194</v>
      </c>
    </row>
    <row r="1020" spans="1:7">
      <c r="A1020" t="s">
        <v>349</v>
      </c>
      <c r="B1020" s="165">
        <v>41837</v>
      </c>
      <c r="C1020" t="s">
        <v>354</v>
      </c>
      <c r="D1020" t="s">
        <v>355</v>
      </c>
      <c r="E1020">
        <v>17</v>
      </c>
      <c r="F1020" s="166">
        <v>471.94117647058823</v>
      </c>
      <c r="G1020">
        <v>8023</v>
      </c>
    </row>
    <row r="1021" spans="1:7">
      <c r="A1021" t="s">
        <v>349</v>
      </c>
      <c r="B1021" s="165">
        <v>41851</v>
      </c>
      <c r="C1021" t="s">
        <v>354</v>
      </c>
      <c r="D1021" t="s">
        <v>355</v>
      </c>
      <c r="E1021">
        <v>5</v>
      </c>
      <c r="F1021" s="166">
        <v>570</v>
      </c>
      <c r="G1021">
        <v>2850</v>
      </c>
    </row>
    <row r="1022" spans="1:7">
      <c r="A1022" t="s">
        <v>349</v>
      </c>
      <c r="B1022" s="165">
        <v>41851</v>
      </c>
      <c r="C1022" t="s">
        <v>354</v>
      </c>
      <c r="D1022" t="s">
        <v>355</v>
      </c>
      <c r="E1022">
        <v>8</v>
      </c>
      <c r="F1022" s="166">
        <v>539.125</v>
      </c>
      <c r="G1022">
        <v>4313</v>
      </c>
    </row>
    <row r="1023" spans="1:7">
      <c r="A1023" t="s">
        <v>349</v>
      </c>
      <c r="B1023" s="165">
        <v>41851</v>
      </c>
      <c r="C1023" t="s">
        <v>354</v>
      </c>
      <c r="D1023" t="s">
        <v>355</v>
      </c>
      <c r="E1023">
        <v>12</v>
      </c>
      <c r="F1023" s="166">
        <v>439.58333333333331</v>
      </c>
      <c r="G1023">
        <v>5275</v>
      </c>
    </row>
    <row r="1024" spans="1:7">
      <c r="A1024" t="s">
        <v>349</v>
      </c>
      <c r="B1024" s="165">
        <v>41851</v>
      </c>
      <c r="C1024" t="s">
        <v>354</v>
      </c>
      <c r="D1024" t="s">
        <v>355</v>
      </c>
      <c r="E1024">
        <v>12</v>
      </c>
      <c r="F1024" s="166">
        <v>550</v>
      </c>
      <c r="G1024">
        <v>6600</v>
      </c>
    </row>
    <row r="1025" spans="1:7">
      <c r="A1025" t="s">
        <v>349</v>
      </c>
      <c r="B1025" s="165">
        <v>41851</v>
      </c>
      <c r="C1025" t="s">
        <v>354</v>
      </c>
      <c r="D1025" t="s">
        <v>355</v>
      </c>
      <c r="E1025">
        <v>12</v>
      </c>
      <c r="F1025" s="166">
        <v>554.16666666666663</v>
      </c>
      <c r="G1025">
        <v>6650</v>
      </c>
    </row>
    <row r="1026" spans="1:7">
      <c r="A1026" t="s">
        <v>349</v>
      </c>
      <c r="B1026" s="165">
        <v>41851</v>
      </c>
      <c r="C1026" t="s">
        <v>354</v>
      </c>
      <c r="D1026" t="s">
        <v>355</v>
      </c>
      <c r="E1026">
        <v>13</v>
      </c>
      <c r="F1026" s="166">
        <v>605.76923076923072</v>
      </c>
      <c r="G1026">
        <v>7875</v>
      </c>
    </row>
    <row r="1027" spans="1:7">
      <c r="A1027" t="s">
        <v>349</v>
      </c>
      <c r="B1027" s="165">
        <v>41851</v>
      </c>
      <c r="C1027" t="s">
        <v>354</v>
      </c>
      <c r="D1027" t="s">
        <v>355</v>
      </c>
      <c r="E1027">
        <v>21</v>
      </c>
      <c r="F1027" s="166">
        <v>384.76190476190476</v>
      </c>
      <c r="G1027">
        <v>8080</v>
      </c>
    </row>
    <row r="1028" spans="1:7">
      <c r="A1028" t="s">
        <v>349</v>
      </c>
      <c r="B1028" s="165">
        <v>41851</v>
      </c>
      <c r="C1028" t="s">
        <v>354</v>
      </c>
      <c r="D1028" t="s">
        <v>355</v>
      </c>
      <c r="E1028">
        <v>13</v>
      </c>
      <c r="F1028" s="166">
        <v>830</v>
      </c>
      <c r="G1028">
        <v>10790</v>
      </c>
    </row>
    <row r="1029" spans="1:7">
      <c r="A1029" t="s">
        <v>349</v>
      </c>
      <c r="B1029" s="165">
        <v>41851</v>
      </c>
      <c r="C1029" t="s">
        <v>354</v>
      </c>
      <c r="D1029" t="s">
        <v>355</v>
      </c>
      <c r="E1029">
        <v>8</v>
      </c>
      <c r="F1029" s="166">
        <v>1423.5</v>
      </c>
      <c r="G1029">
        <v>11388</v>
      </c>
    </row>
    <row r="1030" spans="1:7">
      <c r="A1030" t="s">
        <v>349</v>
      </c>
      <c r="B1030" s="165">
        <v>41851</v>
      </c>
      <c r="C1030" t="s">
        <v>354</v>
      </c>
      <c r="D1030" t="s">
        <v>355</v>
      </c>
      <c r="E1030">
        <v>20</v>
      </c>
      <c r="F1030" s="166">
        <v>595</v>
      </c>
      <c r="G1030">
        <v>11900</v>
      </c>
    </row>
    <row r="1031" spans="1:7">
      <c r="A1031" t="s">
        <v>349</v>
      </c>
      <c r="B1031" s="165">
        <v>41858</v>
      </c>
      <c r="C1031" t="s">
        <v>354</v>
      </c>
      <c r="D1031" t="s">
        <v>355</v>
      </c>
      <c r="E1031">
        <v>10</v>
      </c>
      <c r="F1031" s="166">
        <v>301</v>
      </c>
      <c r="G1031">
        <v>3010</v>
      </c>
    </row>
    <row r="1032" spans="1:7">
      <c r="A1032" t="s">
        <v>349</v>
      </c>
      <c r="B1032" s="165">
        <v>41858</v>
      </c>
      <c r="C1032" t="s">
        <v>354</v>
      </c>
      <c r="D1032" t="s">
        <v>355</v>
      </c>
      <c r="E1032">
        <v>12</v>
      </c>
      <c r="F1032" s="166">
        <v>536.08333333333337</v>
      </c>
      <c r="G1032">
        <v>6433</v>
      </c>
    </row>
    <row r="1033" spans="1:7">
      <c r="A1033" t="s">
        <v>349</v>
      </c>
      <c r="B1033" s="165">
        <v>41872</v>
      </c>
      <c r="C1033" t="s">
        <v>354</v>
      </c>
      <c r="D1033" t="s">
        <v>355</v>
      </c>
      <c r="E1033">
        <v>11</v>
      </c>
      <c r="F1033" s="166">
        <v>985</v>
      </c>
      <c r="G1033">
        <v>10835</v>
      </c>
    </row>
    <row r="1034" spans="1:7">
      <c r="A1034" t="s">
        <v>349</v>
      </c>
      <c r="B1034" s="165">
        <v>41872</v>
      </c>
      <c r="C1034" t="s">
        <v>354</v>
      </c>
      <c r="D1034" t="s">
        <v>355</v>
      </c>
      <c r="E1034">
        <v>18</v>
      </c>
      <c r="F1034" s="166">
        <v>957.72222222222217</v>
      </c>
      <c r="G1034">
        <v>17239</v>
      </c>
    </row>
    <row r="1035" spans="1:7">
      <c r="A1035" t="s">
        <v>349</v>
      </c>
      <c r="B1035" s="165">
        <v>41879</v>
      </c>
      <c r="C1035" t="s">
        <v>354</v>
      </c>
      <c r="D1035" t="s">
        <v>355</v>
      </c>
      <c r="E1035">
        <v>20</v>
      </c>
      <c r="F1035" s="166">
        <v>497</v>
      </c>
      <c r="G1035">
        <v>9940</v>
      </c>
    </row>
    <row r="1036" spans="1:7">
      <c r="A1036" t="s">
        <v>349</v>
      </c>
      <c r="B1036" s="165">
        <v>41900</v>
      </c>
      <c r="C1036" t="s">
        <v>354</v>
      </c>
      <c r="D1036" t="s">
        <v>355</v>
      </c>
      <c r="E1036">
        <v>5</v>
      </c>
      <c r="F1036" s="166">
        <v>1245</v>
      </c>
      <c r="G1036">
        <v>6225</v>
      </c>
    </row>
    <row r="1037" spans="1:7">
      <c r="A1037" t="s">
        <v>349</v>
      </c>
      <c r="B1037" s="165">
        <v>41900</v>
      </c>
      <c r="C1037" t="s">
        <v>354</v>
      </c>
      <c r="D1037" t="s">
        <v>355</v>
      </c>
      <c r="E1037">
        <v>15</v>
      </c>
      <c r="F1037" s="166">
        <v>536.33333333333337</v>
      </c>
      <c r="G1037">
        <v>8045</v>
      </c>
    </row>
    <row r="1038" spans="1:7">
      <c r="A1038" t="s">
        <v>349</v>
      </c>
      <c r="B1038" s="165">
        <v>41900</v>
      </c>
      <c r="C1038" t="s">
        <v>354</v>
      </c>
      <c r="D1038" t="s">
        <v>355</v>
      </c>
      <c r="E1038">
        <v>7</v>
      </c>
      <c r="F1038" s="166">
        <v>1245</v>
      </c>
      <c r="G1038">
        <v>8715</v>
      </c>
    </row>
    <row r="1039" spans="1:7">
      <c r="A1039" t="s">
        <v>349</v>
      </c>
      <c r="B1039" s="165">
        <v>41900</v>
      </c>
      <c r="C1039" t="s">
        <v>354</v>
      </c>
      <c r="D1039" t="s">
        <v>355</v>
      </c>
      <c r="E1039">
        <v>10</v>
      </c>
      <c r="F1039" s="166">
        <v>1169.0999999999999</v>
      </c>
      <c r="G1039">
        <v>11691</v>
      </c>
    </row>
    <row r="1040" spans="1:7">
      <c r="A1040" t="s">
        <v>349</v>
      </c>
      <c r="B1040" s="165">
        <v>41900</v>
      </c>
      <c r="C1040" t="s">
        <v>354</v>
      </c>
      <c r="D1040" t="s">
        <v>355</v>
      </c>
      <c r="E1040">
        <v>20</v>
      </c>
      <c r="F1040" s="166">
        <v>610</v>
      </c>
      <c r="G1040">
        <v>12200</v>
      </c>
    </row>
    <row r="1041" spans="1:7">
      <c r="A1041" t="s">
        <v>349</v>
      </c>
      <c r="B1041" s="165">
        <v>41907</v>
      </c>
      <c r="C1041" t="s">
        <v>354</v>
      </c>
      <c r="D1041" t="s">
        <v>355</v>
      </c>
      <c r="E1041">
        <v>4</v>
      </c>
      <c r="F1041" s="166">
        <v>445</v>
      </c>
      <c r="G1041">
        <v>1780</v>
      </c>
    </row>
    <row r="1042" spans="1:7">
      <c r="A1042" t="s">
        <v>349</v>
      </c>
      <c r="B1042" s="165">
        <v>41907</v>
      </c>
      <c r="C1042" t="s">
        <v>354</v>
      </c>
      <c r="D1042" t="s">
        <v>355</v>
      </c>
      <c r="E1042">
        <v>4</v>
      </c>
      <c r="F1042" s="166">
        <v>700</v>
      </c>
      <c r="G1042">
        <v>2800</v>
      </c>
    </row>
    <row r="1043" spans="1:7">
      <c r="A1043" t="s">
        <v>349</v>
      </c>
      <c r="B1043" s="165">
        <v>41907</v>
      </c>
      <c r="C1043" t="s">
        <v>354</v>
      </c>
      <c r="D1043" t="s">
        <v>355</v>
      </c>
      <c r="E1043">
        <v>6</v>
      </c>
      <c r="F1043" s="166">
        <v>680</v>
      </c>
      <c r="G1043">
        <v>4080</v>
      </c>
    </row>
    <row r="1044" spans="1:7">
      <c r="A1044" t="s">
        <v>349</v>
      </c>
      <c r="B1044" s="165">
        <v>41907</v>
      </c>
      <c r="C1044" t="s">
        <v>354</v>
      </c>
      <c r="D1044" t="s">
        <v>355</v>
      </c>
      <c r="E1044">
        <v>4</v>
      </c>
      <c r="F1044" s="166">
        <v>1245</v>
      </c>
      <c r="G1044">
        <v>4980</v>
      </c>
    </row>
    <row r="1045" spans="1:7">
      <c r="A1045" t="s">
        <v>349</v>
      </c>
      <c r="B1045" s="165">
        <v>41907</v>
      </c>
      <c r="C1045" t="s">
        <v>354</v>
      </c>
      <c r="D1045" t="s">
        <v>355</v>
      </c>
      <c r="E1045">
        <v>17</v>
      </c>
      <c r="F1045" s="166">
        <v>486.76470588235293</v>
      </c>
      <c r="G1045">
        <v>8275</v>
      </c>
    </row>
    <row r="1046" spans="1:7">
      <c r="A1046" t="s">
        <v>349</v>
      </c>
      <c r="B1046" s="165">
        <v>41921</v>
      </c>
      <c r="C1046" t="s">
        <v>354</v>
      </c>
      <c r="D1046" t="s">
        <v>355</v>
      </c>
      <c r="E1046">
        <v>3</v>
      </c>
      <c r="F1046" s="166">
        <v>544</v>
      </c>
      <c r="G1046">
        <v>1632</v>
      </c>
    </row>
    <row r="1047" spans="1:7">
      <c r="A1047" t="s">
        <v>349</v>
      </c>
      <c r="B1047" s="165">
        <v>41921</v>
      </c>
      <c r="C1047" t="s">
        <v>354</v>
      </c>
      <c r="D1047" t="s">
        <v>355</v>
      </c>
      <c r="E1047">
        <v>7</v>
      </c>
      <c r="F1047" s="166">
        <v>1245</v>
      </c>
      <c r="G1047">
        <v>8715</v>
      </c>
    </row>
    <row r="1048" spans="1:7">
      <c r="A1048" t="s">
        <v>349</v>
      </c>
      <c r="B1048" s="165">
        <v>41936</v>
      </c>
      <c r="C1048" t="s">
        <v>354</v>
      </c>
      <c r="D1048" t="s">
        <v>355</v>
      </c>
      <c r="E1048">
        <v>4</v>
      </c>
      <c r="F1048" s="166">
        <v>750</v>
      </c>
      <c r="G1048">
        <v>3000</v>
      </c>
    </row>
    <row r="1049" spans="1:7">
      <c r="A1049" t="s">
        <v>349</v>
      </c>
      <c r="B1049" s="165">
        <v>41936</v>
      </c>
      <c r="C1049" t="s">
        <v>354</v>
      </c>
      <c r="D1049" t="s">
        <v>355</v>
      </c>
      <c r="E1049">
        <v>8</v>
      </c>
      <c r="F1049" s="166">
        <v>381.375</v>
      </c>
      <c r="G1049">
        <v>3051</v>
      </c>
    </row>
    <row r="1050" spans="1:7">
      <c r="A1050" t="s">
        <v>349</v>
      </c>
      <c r="B1050" s="165">
        <v>41936</v>
      </c>
      <c r="C1050" t="s">
        <v>354</v>
      </c>
      <c r="D1050" t="s">
        <v>355</v>
      </c>
      <c r="E1050">
        <v>11</v>
      </c>
      <c r="F1050" s="166">
        <v>412</v>
      </c>
      <c r="G1050">
        <v>4532</v>
      </c>
    </row>
    <row r="1051" spans="1:7">
      <c r="A1051" t="s">
        <v>349</v>
      </c>
      <c r="B1051" s="165">
        <v>41936</v>
      </c>
      <c r="C1051" t="s">
        <v>354</v>
      </c>
      <c r="D1051" t="s">
        <v>355</v>
      </c>
      <c r="E1051">
        <v>12</v>
      </c>
      <c r="F1051" s="166">
        <v>414.41666666666669</v>
      </c>
      <c r="G1051">
        <v>4973</v>
      </c>
    </row>
    <row r="1052" spans="1:7">
      <c r="A1052" t="s">
        <v>349</v>
      </c>
      <c r="B1052" s="165">
        <v>41936</v>
      </c>
      <c r="C1052" t="s">
        <v>354</v>
      </c>
      <c r="D1052" t="s">
        <v>355</v>
      </c>
      <c r="E1052">
        <v>12</v>
      </c>
      <c r="F1052" s="166">
        <v>414.41666666666669</v>
      </c>
      <c r="G1052">
        <v>4973</v>
      </c>
    </row>
    <row r="1053" spans="1:7">
      <c r="A1053" t="s">
        <v>349</v>
      </c>
      <c r="B1053" s="165">
        <v>41943</v>
      </c>
      <c r="C1053" t="s">
        <v>354</v>
      </c>
      <c r="D1053" t="s">
        <v>355</v>
      </c>
      <c r="E1053">
        <v>2</v>
      </c>
      <c r="F1053" s="166">
        <v>815</v>
      </c>
      <c r="G1053">
        <v>1630</v>
      </c>
    </row>
    <row r="1054" spans="1:7">
      <c r="A1054" t="s">
        <v>349</v>
      </c>
      <c r="B1054" s="165">
        <v>41943</v>
      </c>
      <c r="C1054" t="s">
        <v>354</v>
      </c>
      <c r="D1054" t="s">
        <v>355</v>
      </c>
      <c r="E1054">
        <v>15</v>
      </c>
      <c r="F1054" s="166">
        <v>299</v>
      </c>
      <c r="G1054">
        <v>4485</v>
      </c>
    </row>
    <row r="1055" spans="1:7">
      <c r="A1055" t="s">
        <v>349</v>
      </c>
      <c r="B1055" s="165">
        <v>41943</v>
      </c>
      <c r="C1055" t="s">
        <v>354</v>
      </c>
      <c r="D1055" t="s">
        <v>355</v>
      </c>
      <c r="E1055">
        <v>12</v>
      </c>
      <c r="F1055" s="166">
        <v>434.58333333333331</v>
      </c>
      <c r="G1055">
        <v>5215</v>
      </c>
    </row>
    <row r="1056" spans="1:7">
      <c r="A1056" t="s">
        <v>349</v>
      </c>
      <c r="B1056" s="165">
        <v>41943</v>
      </c>
      <c r="C1056" t="s">
        <v>354</v>
      </c>
      <c r="D1056" t="s">
        <v>355</v>
      </c>
      <c r="E1056">
        <v>12</v>
      </c>
      <c r="F1056" s="166">
        <v>445.08333333333331</v>
      </c>
      <c r="G1056">
        <v>5341</v>
      </c>
    </row>
    <row r="1057" spans="1:7">
      <c r="A1057" t="s">
        <v>349</v>
      </c>
      <c r="B1057" s="165">
        <v>41943</v>
      </c>
      <c r="C1057" t="s">
        <v>354</v>
      </c>
      <c r="D1057" t="s">
        <v>355</v>
      </c>
      <c r="E1057">
        <v>16</v>
      </c>
      <c r="F1057" s="166">
        <v>446.4375</v>
      </c>
      <c r="G1057">
        <v>7143</v>
      </c>
    </row>
    <row r="1058" spans="1:7">
      <c r="A1058" t="s">
        <v>349</v>
      </c>
      <c r="B1058" s="165">
        <v>41943</v>
      </c>
      <c r="C1058" t="s">
        <v>354</v>
      </c>
      <c r="D1058" t="s">
        <v>355</v>
      </c>
      <c r="E1058">
        <v>24</v>
      </c>
      <c r="F1058" s="166">
        <v>438.70833333333331</v>
      </c>
      <c r="G1058">
        <v>10529</v>
      </c>
    </row>
    <row r="1059" spans="1:7">
      <c r="A1059" t="s">
        <v>349</v>
      </c>
      <c r="B1059" s="165">
        <v>41943</v>
      </c>
      <c r="C1059" t="s">
        <v>354</v>
      </c>
      <c r="D1059" t="s">
        <v>355</v>
      </c>
      <c r="E1059">
        <v>24</v>
      </c>
      <c r="F1059" s="166">
        <v>445</v>
      </c>
      <c r="G1059">
        <v>10680</v>
      </c>
    </row>
    <row r="1060" spans="1:7">
      <c r="A1060" t="s">
        <v>349</v>
      </c>
      <c r="B1060" s="165">
        <v>41949</v>
      </c>
      <c r="C1060" t="s">
        <v>354</v>
      </c>
      <c r="D1060" t="s">
        <v>355</v>
      </c>
      <c r="E1060">
        <v>11</v>
      </c>
      <c r="F1060" s="166">
        <v>402.27272727272725</v>
      </c>
      <c r="G1060">
        <v>4425</v>
      </c>
    </row>
    <row r="1061" spans="1:7">
      <c r="A1061" t="s">
        <v>349</v>
      </c>
      <c r="B1061" s="165">
        <v>41949</v>
      </c>
      <c r="C1061" t="s">
        <v>354</v>
      </c>
      <c r="D1061" t="s">
        <v>355</v>
      </c>
      <c r="E1061">
        <v>12</v>
      </c>
      <c r="F1061" s="166">
        <v>446.41666666666669</v>
      </c>
      <c r="G1061">
        <v>5357</v>
      </c>
    </row>
    <row r="1062" spans="1:7">
      <c r="A1062" t="s">
        <v>349</v>
      </c>
      <c r="B1062" s="165">
        <v>41949</v>
      </c>
      <c r="C1062" t="s">
        <v>354</v>
      </c>
      <c r="D1062" t="s">
        <v>355</v>
      </c>
      <c r="E1062">
        <v>7</v>
      </c>
      <c r="F1062" s="166">
        <v>1245</v>
      </c>
      <c r="G1062">
        <v>8715</v>
      </c>
    </row>
    <row r="1063" spans="1:7">
      <c r="A1063" t="s">
        <v>349</v>
      </c>
      <c r="B1063" s="165">
        <v>41949</v>
      </c>
      <c r="C1063" t="s">
        <v>354</v>
      </c>
      <c r="D1063" t="s">
        <v>355</v>
      </c>
      <c r="E1063">
        <v>33</v>
      </c>
      <c r="F1063" s="166">
        <v>912.39393939393938</v>
      </c>
      <c r="G1063">
        <v>30109</v>
      </c>
    </row>
    <row r="1064" spans="1:7">
      <c r="A1064" t="s">
        <v>349</v>
      </c>
      <c r="B1064" s="165">
        <v>41957</v>
      </c>
      <c r="C1064" t="s">
        <v>354</v>
      </c>
      <c r="D1064" t="s">
        <v>355</v>
      </c>
      <c r="E1064">
        <v>2</v>
      </c>
      <c r="F1064" s="166">
        <v>360</v>
      </c>
      <c r="G1064">
        <v>720</v>
      </c>
    </row>
    <row r="1065" spans="1:7">
      <c r="A1065" t="s">
        <v>349</v>
      </c>
      <c r="B1065" s="165">
        <v>41957</v>
      </c>
      <c r="C1065" t="s">
        <v>354</v>
      </c>
      <c r="D1065" t="s">
        <v>355</v>
      </c>
      <c r="E1065">
        <v>4</v>
      </c>
      <c r="F1065" s="166">
        <v>556.75</v>
      </c>
      <c r="G1065">
        <v>2227</v>
      </c>
    </row>
    <row r="1066" spans="1:7">
      <c r="A1066" t="s">
        <v>349</v>
      </c>
      <c r="B1066" s="165">
        <v>41957</v>
      </c>
      <c r="C1066" t="s">
        <v>354</v>
      </c>
      <c r="D1066" t="s">
        <v>355</v>
      </c>
      <c r="E1066">
        <v>8</v>
      </c>
      <c r="F1066" s="166">
        <v>556.625</v>
      </c>
      <c r="G1066">
        <v>4453</v>
      </c>
    </row>
    <row r="1067" spans="1:7">
      <c r="A1067" t="s">
        <v>349</v>
      </c>
      <c r="B1067" s="165">
        <v>41957</v>
      </c>
      <c r="C1067" t="s">
        <v>354</v>
      </c>
      <c r="D1067" t="s">
        <v>355</v>
      </c>
      <c r="E1067">
        <v>8</v>
      </c>
      <c r="F1067" s="166">
        <v>556.625</v>
      </c>
      <c r="G1067">
        <v>4453</v>
      </c>
    </row>
    <row r="1068" spans="1:7">
      <c r="A1068" t="s">
        <v>349</v>
      </c>
      <c r="B1068" s="165">
        <v>41957</v>
      </c>
      <c r="C1068" t="s">
        <v>354</v>
      </c>
      <c r="D1068" t="s">
        <v>355</v>
      </c>
      <c r="E1068">
        <v>8</v>
      </c>
      <c r="F1068" s="166">
        <v>556.625</v>
      </c>
      <c r="G1068">
        <v>4453</v>
      </c>
    </row>
    <row r="1069" spans="1:7">
      <c r="A1069" t="s">
        <v>349</v>
      </c>
      <c r="B1069" s="165">
        <v>41957</v>
      </c>
      <c r="C1069" t="s">
        <v>354</v>
      </c>
      <c r="D1069" t="s">
        <v>355</v>
      </c>
      <c r="E1069">
        <v>16</v>
      </c>
      <c r="F1069" s="166">
        <v>550</v>
      </c>
      <c r="G1069">
        <v>8800</v>
      </c>
    </row>
    <row r="1070" spans="1:7">
      <c r="A1070" t="s">
        <v>349</v>
      </c>
      <c r="B1070" s="165">
        <v>41963</v>
      </c>
      <c r="C1070" t="s">
        <v>354</v>
      </c>
      <c r="D1070" t="s">
        <v>355</v>
      </c>
      <c r="E1070">
        <v>1</v>
      </c>
      <c r="F1070" s="166">
        <v>500</v>
      </c>
      <c r="G1070">
        <v>500</v>
      </c>
    </row>
    <row r="1071" spans="1:7">
      <c r="A1071" t="s">
        <v>349</v>
      </c>
      <c r="B1071" s="165">
        <v>41963</v>
      </c>
      <c r="C1071" t="s">
        <v>354</v>
      </c>
      <c r="D1071" t="s">
        <v>355</v>
      </c>
      <c r="E1071">
        <v>2</v>
      </c>
      <c r="F1071" s="166">
        <v>650</v>
      </c>
      <c r="G1071">
        <v>1300</v>
      </c>
    </row>
    <row r="1072" spans="1:7">
      <c r="A1072" t="s">
        <v>349</v>
      </c>
      <c r="B1072" s="165">
        <v>41963</v>
      </c>
      <c r="C1072" t="s">
        <v>354</v>
      </c>
      <c r="D1072" t="s">
        <v>355</v>
      </c>
      <c r="E1072">
        <v>6</v>
      </c>
      <c r="F1072" s="166">
        <v>390</v>
      </c>
      <c r="G1072">
        <v>2340</v>
      </c>
    </row>
    <row r="1073" spans="1:7">
      <c r="A1073" t="s">
        <v>349</v>
      </c>
      <c r="B1073" s="165">
        <v>41963</v>
      </c>
      <c r="C1073" t="s">
        <v>354</v>
      </c>
      <c r="D1073" t="s">
        <v>355</v>
      </c>
      <c r="E1073">
        <v>7</v>
      </c>
      <c r="F1073" s="166">
        <v>482.71428571428572</v>
      </c>
      <c r="G1073">
        <v>3379</v>
      </c>
    </row>
    <row r="1074" spans="1:7">
      <c r="A1074" t="s">
        <v>349</v>
      </c>
      <c r="B1074" s="165">
        <v>41963</v>
      </c>
      <c r="C1074" t="s">
        <v>354</v>
      </c>
      <c r="D1074" t="s">
        <v>355</v>
      </c>
      <c r="E1074">
        <v>16</v>
      </c>
      <c r="F1074" s="166">
        <v>385</v>
      </c>
      <c r="G1074">
        <v>6160</v>
      </c>
    </row>
    <row r="1075" spans="1:7">
      <c r="A1075" t="s">
        <v>349</v>
      </c>
      <c r="B1075" s="165">
        <v>41963</v>
      </c>
      <c r="C1075" t="s">
        <v>354</v>
      </c>
      <c r="D1075" t="s">
        <v>355</v>
      </c>
      <c r="E1075">
        <v>16</v>
      </c>
      <c r="F1075" s="166">
        <v>466</v>
      </c>
      <c r="G1075">
        <v>7456</v>
      </c>
    </row>
    <row r="1076" spans="1:7">
      <c r="A1076" t="s">
        <v>349</v>
      </c>
      <c r="B1076" s="165">
        <v>41977</v>
      </c>
      <c r="C1076" t="s">
        <v>354</v>
      </c>
      <c r="D1076" t="s">
        <v>355</v>
      </c>
      <c r="E1076">
        <v>9</v>
      </c>
      <c r="F1076" s="166">
        <v>1144.4444444444443</v>
      </c>
      <c r="G1076">
        <v>10300</v>
      </c>
    </row>
    <row r="1077" spans="1:7">
      <c r="A1077" t="s">
        <v>349</v>
      </c>
      <c r="B1077" s="165">
        <v>41991</v>
      </c>
      <c r="C1077" t="s">
        <v>354</v>
      </c>
      <c r="D1077" t="s">
        <v>355</v>
      </c>
      <c r="E1077">
        <v>3</v>
      </c>
      <c r="F1077" s="166">
        <v>815</v>
      </c>
      <c r="G1077">
        <v>2445</v>
      </c>
    </row>
    <row r="1078" spans="1:7">
      <c r="A1078" t="s">
        <v>349</v>
      </c>
      <c r="B1078" s="165">
        <v>41991</v>
      </c>
      <c r="C1078" t="s">
        <v>354</v>
      </c>
      <c r="D1078" t="s">
        <v>355</v>
      </c>
      <c r="E1078">
        <v>6</v>
      </c>
      <c r="F1078" s="166">
        <v>839.16666666666663</v>
      </c>
      <c r="G1078">
        <v>5035</v>
      </c>
    </row>
    <row r="1079" spans="1:7">
      <c r="A1079" t="s">
        <v>349</v>
      </c>
      <c r="B1079" s="165">
        <v>41999</v>
      </c>
      <c r="C1079" t="s">
        <v>354</v>
      </c>
      <c r="D1079" t="s">
        <v>355</v>
      </c>
      <c r="E1079">
        <v>3</v>
      </c>
      <c r="F1079" s="166">
        <v>700</v>
      </c>
      <c r="G1079">
        <v>2100</v>
      </c>
    </row>
    <row r="1080" spans="1:7">
      <c r="A1080" t="s">
        <v>349</v>
      </c>
      <c r="B1080" s="165">
        <v>41999</v>
      </c>
      <c r="C1080" t="s">
        <v>354</v>
      </c>
      <c r="D1080" t="s">
        <v>355</v>
      </c>
      <c r="E1080">
        <v>4</v>
      </c>
      <c r="F1080" s="166">
        <v>642</v>
      </c>
      <c r="G1080">
        <v>2568</v>
      </c>
    </row>
    <row r="1081" spans="1:7">
      <c r="A1081" t="s">
        <v>349</v>
      </c>
      <c r="B1081" s="165">
        <v>41999</v>
      </c>
      <c r="C1081" t="s">
        <v>354</v>
      </c>
      <c r="D1081" t="s">
        <v>355</v>
      </c>
      <c r="E1081">
        <v>6</v>
      </c>
      <c r="F1081" s="166">
        <v>528</v>
      </c>
      <c r="G1081">
        <v>3168</v>
      </c>
    </row>
    <row r="1082" spans="1:7">
      <c r="A1082" t="s">
        <v>349</v>
      </c>
      <c r="B1082" s="165">
        <v>41999</v>
      </c>
      <c r="C1082" t="s">
        <v>354</v>
      </c>
      <c r="D1082" t="s">
        <v>355</v>
      </c>
      <c r="E1082">
        <v>13</v>
      </c>
      <c r="F1082" s="166">
        <v>666.46153846153845</v>
      </c>
      <c r="G1082">
        <v>8664</v>
      </c>
    </row>
    <row r="1083" spans="1:7">
      <c r="A1083" t="s">
        <v>349</v>
      </c>
      <c r="B1083" s="165">
        <v>42004</v>
      </c>
      <c r="C1083" t="s">
        <v>354</v>
      </c>
      <c r="D1083" t="s">
        <v>355</v>
      </c>
      <c r="E1083">
        <v>2</v>
      </c>
      <c r="F1083" s="166">
        <v>596</v>
      </c>
      <c r="G1083">
        <v>1192</v>
      </c>
    </row>
    <row r="1084" spans="1:7">
      <c r="A1084" t="s">
        <v>349</v>
      </c>
      <c r="B1084" s="165">
        <v>42004</v>
      </c>
      <c r="C1084" t="s">
        <v>354</v>
      </c>
      <c r="D1084" t="s">
        <v>355</v>
      </c>
      <c r="E1084">
        <v>3</v>
      </c>
      <c r="F1084" s="166">
        <v>798</v>
      </c>
      <c r="G1084">
        <v>2394</v>
      </c>
    </row>
    <row r="1085" spans="1:7">
      <c r="A1085" t="s">
        <v>349</v>
      </c>
      <c r="B1085" s="165">
        <v>42004</v>
      </c>
      <c r="C1085" t="s">
        <v>354</v>
      </c>
      <c r="D1085" t="s">
        <v>355</v>
      </c>
      <c r="E1085">
        <v>4</v>
      </c>
      <c r="F1085" s="166">
        <v>910</v>
      </c>
      <c r="G1085">
        <v>3640</v>
      </c>
    </row>
    <row r="1086" spans="1:7">
      <c r="A1086" t="s">
        <v>349</v>
      </c>
      <c r="B1086" s="165">
        <v>42004</v>
      </c>
      <c r="C1086" t="s">
        <v>354</v>
      </c>
      <c r="D1086" t="s">
        <v>355</v>
      </c>
      <c r="E1086">
        <v>6</v>
      </c>
      <c r="F1086" s="166">
        <v>620</v>
      </c>
      <c r="G1086">
        <v>3720</v>
      </c>
    </row>
    <row r="1087" spans="1:7">
      <c r="A1087" t="s">
        <v>349</v>
      </c>
      <c r="B1087" s="165">
        <v>42004</v>
      </c>
      <c r="C1087" t="s">
        <v>354</v>
      </c>
      <c r="D1087" t="s">
        <v>355</v>
      </c>
      <c r="E1087">
        <v>9</v>
      </c>
      <c r="F1087" s="166">
        <v>486</v>
      </c>
      <c r="G1087">
        <v>4374</v>
      </c>
    </row>
    <row r="1088" spans="1:7">
      <c r="A1088" t="s">
        <v>349</v>
      </c>
      <c r="B1088" s="165">
        <v>42004</v>
      </c>
      <c r="C1088" t="s">
        <v>354</v>
      </c>
      <c r="D1088" t="s">
        <v>355</v>
      </c>
      <c r="E1088">
        <v>5</v>
      </c>
      <c r="F1088" s="166">
        <v>1200</v>
      </c>
      <c r="G1088">
        <v>6000</v>
      </c>
    </row>
    <row r="1089" spans="1:7">
      <c r="A1089" t="s">
        <v>349</v>
      </c>
      <c r="B1089" s="165">
        <v>42004</v>
      </c>
      <c r="C1089" t="s">
        <v>354</v>
      </c>
      <c r="D1089" t="s">
        <v>355</v>
      </c>
      <c r="E1089">
        <v>7</v>
      </c>
      <c r="F1089" s="166">
        <v>865</v>
      </c>
      <c r="G1089">
        <v>6055</v>
      </c>
    </row>
    <row r="1090" spans="1:7">
      <c r="A1090" t="s">
        <v>349</v>
      </c>
      <c r="B1090" s="165">
        <v>42004</v>
      </c>
      <c r="C1090" t="s">
        <v>354</v>
      </c>
      <c r="D1090" t="s">
        <v>355</v>
      </c>
      <c r="E1090">
        <v>4</v>
      </c>
      <c r="F1090" s="166">
        <v>1547</v>
      </c>
      <c r="G1090">
        <v>6188</v>
      </c>
    </row>
    <row r="1091" spans="1:7">
      <c r="A1091" t="s">
        <v>349</v>
      </c>
      <c r="B1091" s="165">
        <v>42004</v>
      </c>
      <c r="C1091" t="s">
        <v>354</v>
      </c>
      <c r="D1091" t="s">
        <v>355</v>
      </c>
      <c r="E1091">
        <v>7</v>
      </c>
      <c r="F1091" s="166">
        <v>995.71428571428567</v>
      </c>
      <c r="G1091">
        <v>6970</v>
      </c>
    </row>
    <row r="1092" spans="1:7">
      <c r="A1092" t="s">
        <v>349</v>
      </c>
      <c r="B1092" s="165">
        <v>42004</v>
      </c>
      <c r="C1092" t="s">
        <v>354</v>
      </c>
      <c r="D1092" t="s">
        <v>355</v>
      </c>
      <c r="E1092">
        <v>9</v>
      </c>
      <c r="F1092" s="166">
        <v>989</v>
      </c>
      <c r="G1092">
        <v>8901</v>
      </c>
    </row>
    <row r="1093" spans="1:7">
      <c r="A1093" t="s">
        <v>349</v>
      </c>
      <c r="B1093" s="165">
        <v>42004</v>
      </c>
      <c r="C1093" t="s">
        <v>354</v>
      </c>
      <c r="D1093" t="s">
        <v>355</v>
      </c>
      <c r="E1093">
        <v>24</v>
      </c>
      <c r="F1093" s="166">
        <v>995</v>
      </c>
      <c r="G1093">
        <v>23880</v>
      </c>
    </row>
    <row r="1094" spans="1:7">
      <c r="A1094" t="s">
        <v>349</v>
      </c>
      <c r="B1094" s="165">
        <v>42004</v>
      </c>
      <c r="C1094" t="s">
        <v>354</v>
      </c>
      <c r="D1094" t="s">
        <v>355</v>
      </c>
      <c r="E1094">
        <v>19</v>
      </c>
      <c r="F1094" s="166">
        <v>1376.578947368421</v>
      </c>
      <c r="G1094">
        <v>26155</v>
      </c>
    </row>
    <row r="1095" spans="1:7">
      <c r="A1095" t="s">
        <v>349</v>
      </c>
      <c r="B1095" s="165">
        <v>42004</v>
      </c>
      <c r="C1095" t="s">
        <v>354</v>
      </c>
      <c r="D1095" t="s">
        <v>355</v>
      </c>
      <c r="E1095">
        <v>93</v>
      </c>
      <c r="F1095" s="166">
        <v>520</v>
      </c>
      <c r="G1095">
        <v>48360</v>
      </c>
    </row>
    <row r="1096" spans="1:7">
      <c r="A1096" t="s">
        <v>362</v>
      </c>
      <c r="B1096" s="165">
        <v>41697</v>
      </c>
      <c r="C1096" t="s">
        <v>354</v>
      </c>
      <c r="D1096" t="s">
        <v>355</v>
      </c>
      <c r="E1096">
        <v>4</v>
      </c>
      <c r="F1096" s="166">
        <v>638</v>
      </c>
      <c r="G1096">
        <v>2552</v>
      </c>
    </row>
    <row r="1097" spans="1:7">
      <c r="A1097" t="s">
        <v>362</v>
      </c>
      <c r="B1097" s="165">
        <v>41810</v>
      </c>
      <c r="C1097" t="s">
        <v>354</v>
      </c>
      <c r="D1097" t="s">
        <v>355</v>
      </c>
      <c r="E1097">
        <v>4</v>
      </c>
      <c r="F1097" s="166">
        <v>387.5</v>
      </c>
      <c r="G1097">
        <v>1550</v>
      </c>
    </row>
    <row r="1098" spans="1:7">
      <c r="A1098" t="s">
        <v>363</v>
      </c>
      <c r="B1098" s="165">
        <v>41767</v>
      </c>
      <c r="C1098" t="s">
        <v>354</v>
      </c>
      <c r="D1098" t="s">
        <v>355</v>
      </c>
      <c r="E1098">
        <v>1</v>
      </c>
      <c r="F1098" s="166">
        <v>602</v>
      </c>
      <c r="G1098">
        <v>602</v>
      </c>
    </row>
    <row r="1099" spans="1:7">
      <c r="A1099" t="s">
        <v>363</v>
      </c>
      <c r="B1099" s="165">
        <v>41781</v>
      </c>
      <c r="C1099" t="s">
        <v>354</v>
      </c>
      <c r="D1099" t="s">
        <v>355</v>
      </c>
      <c r="E1099">
        <v>2</v>
      </c>
      <c r="F1099" s="166">
        <v>570</v>
      </c>
      <c r="G1099">
        <v>1140</v>
      </c>
    </row>
    <row r="1100" spans="1:7">
      <c r="A1100" t="s">
        <v>363</v>
      </c>
      <c r="B1100" s="165">
        <v>41802</v>
      </c>
      <c r="C1100" t="s">
        <v>354</v>
      </c>
      <c r="D1100" t="s">
        <v>355</v>
      </c>
      <c r="E1100">
        <v>2</v>
      </c>
      <c r="F1100" s="166">
        <v>595</v>
      </c>
      <c r="G1100">
        <v>1190</v>
      </c>
    </row>
    <row r="1101" spans="1:7">
      <c r="A1101" t="s">
        <v>363</v>
      </c>
      <c r="B1101" s="165">
        <v>41844</v>
      </c>
      <c r="C1101" t="s">
        <v>354</v>
      </c>
      <c r="D1101" t="s">
        <v>355</v>
      </c>
      <c r="E1101">
        <v>1</v>
      </c>
      <c r="F1101" s="166">
        <v>547</v>
      </c>
      <c r="G1101">
        <v>547</v>
      </c>
    </row>
    <row r="1102" spans="1:7">
      <c r="A1102" t="s">
        <v>363</v>
      </c>
      <c r="B1102" s="165">
        <v>41844</v>
      </c>
      <c r="C1102" t="s">
        <v>354</v>
      </c>
      <c r="D1102" t="s">
        <v>355</v>
      </c>
      <c r="E1102">
        <v>5</v>
      </c>
      <c r="F1102" s="166">
        <v>732</v>
      </c>
      <c r="G1102">
        <v>3660</v>
      </c>
    </row>
    <row r="1103" spans="1:7">
      <c r="A1103" t="s">
        <v>363</v>
      </c>
      <c r="B1103" s="165">
        <v>41858</v>
      </c>
      <c r="C1103" t="s">
        <v>354</v>
      </c>
      <c r="D1103" t="s">
        <v>355</v>
      </c>
      <c r="E1103">
        <v>4</v>
      </c>
      <c r="F1103" s="166">
        <v>695</v>
      </c>
      <c r="G1103">
        <v>2780</v>
      </c>
    </row>
    <row r="1104" spans="1:7">
      <c r="A1104" t="s">
        <v>363</v>
      </c>
      <c r="B1104" s="165">
        <v>41865</v>
      </c>
      <c r="C1104" t="s">
        <v>354</v>
      </c>
      <c r="D1104" t="s">
        <v>355</v>
      </c>
      <c r="E1104">
        <v>5</v>
      </c>
      <c r="F1104" s="166">
        <v>864</v>
      </c>
      <c r="G1104">
        <v>4320</v>
      </c>
    </row>
    <row r="1105" spans="1:7">
      <c r="A1105" t="s">
        <v>363</v>
      </c>
      <c r="B1105" s="165">
        <v>41893</v>
      </c>
      <c r="C1105" t="s">
        <v>354</v>
      </c>
      <c r="D1105" t="s">
        <v>355</v>
      </c>
      <c r="E1105">
        <v>6</v>
      </c>
      <c r="F1105" s="166">
        <v>1200</v>
      </c>
      <c r="G1105">
        <v>7200</v>
      </c>
    </row>
    <row r="1106" spans="1:7">
      <c r="A1106" t="s">
        <v>363</v>
      </c>
      <c r="B1106" s="165">
        <v>41900</v>
      </c>
      <c r="C1106" t="s">
        <v>354</v>
      </c>
      <c r="D1106" t="s">
        <v>355</v>
      </c>
      <c r="E1106">
        <v>18</v>
      </c>
      <c r="F1106" s="166">
        <v>854</v>
      </c>
      <c r="G1106">
        <v>15372</v>
      </c>
    </row>
    <row r="1107" spans="1:7">
      <c r="A1107" t="s">
        <v>363</v>
      </c>
      <c r="B1107" s="165">
        <v>41915</v>
      </c>
      <c r="C1107" t="s">
        <v>354</v>
      </c>
      <c r="D1107" t="s">
        <v>355</v>
      </c>
      <c r="E1107">
        <v>4</v>
      </c>
      <c r="F1107" s="166">
        <v>510</v>
      </c>
      <c r="G1107">
        <v>2040</v>
      </c>
    </row>
    <row r="1108" spans="1:7">
      <c r="A1108" t="s">
        <v>363</v>
      </c>
      <c r="B1108" s="165">
        <v>41921</v>
      </c>
      <c r="C1108" t="s">
        <v>354</v>
      </c>
      <c r="D1108" t="s">
        <v>355</v>
      </c>
      <c r="E1108">
        <v>4</v>
      </c>
      <c r="F1108" s="166">
        <v>189.5</v>
      </c>
      <c r="G1108">
        <v>758</v>
      </c>
    </row>
    <row r="1109" spans="1:7">
      <c r="A1109" t="s">
        <v>363</v>
      </c>
      <c r="B1109" s="165">
        <v>41921</v>
      </c>
      <c r="C1109" t="s">
        <v>354</v>
      </c>
      <c r="D1109" t="s">
        <v>355</v>
      </c>
      <c r="E1109">
        <v>3</v>
      </c>
      <c r="F1109" s="166">
        <v>1000</v>
      </c>
      <c r="G1109">
        <v>3000</v>
      </c>
    </row>
    <row r="1110" spans="1:7">
      <c r="A1110" t="s">
        <v>363</v>
      </c>
      <c r="B1110" s="165">
        <v>41921</v>
      </c>
      <c r="C1110" t="s">
        <v>354</v>
      </c>
      <c r="D1110" t="s">
        <v>355</v>
      </c>
      <c r="E1110">
        <v>7</v>
      </c>
      <c r="F1110" s="166">
        <v>868</v>
      </c>
      <c r="G1110">
        <v>6076</v>
      </c>
    </row>
    <row r="1111" spans="1:7">
      <c r="A1111" t="s">
        <v>363</v>
      </c>
      <c r="B1111" s="165">
        <v>41936</v>
      </c>
      <c r="C1111" t="s">
        <v>354</v>
      </c>
      <c r="D1111" t="s">
        <v>355</v>
      </c>
      <c r="E1111">
        <v>8</v>
      </c>
      <c r="F1111" s="166">
        <v>685</v>
      </c>
      <c r="G1111">
        <v>5480</v>
      </c>
    </row>
    <row r="1112" spans="1:7">
      <c r="A1112" t="s">
        <v>363</v>
      </c>
      <c r="B1112" s="165">
        <v>41943</v>
      </c>
      <c r="C1112" t="s">
        <v>354</v>
      </c>
      <c r="D1112" t="s">
        <v>355</v>
      </c>
      <c r="E1112">
        <v>1</v>
      </c>
      <c r="F1112" s="166">
        <v>796</v>
      </c>
      <c r="G1112">
        <v>796</v>
      </c>
    </row>
    <row r="1113" spans="1:7">
      <c r="A1113" t="s">
        <v>363</v>
      </c>
      <c r="B1113" s="165">
        <v>41943</v>
      </c>
      <c r="C1113" t="s">
        <v>354</v>
      </c>
      <c r="D1113" t="s">
        <v>355</v>
      </c>
      <c r="E1113">
        <v>10</v>
      </c>
      <c r="F1113" s="166">
        <v>796</v>
      </c>
      <c r="G1113">
        <v>7960</v>
      </c>
    </row>
    <row r="1114" spans="1:7">
      <c r="A1114" t="s">
        <v>363</v>
      </c>
      <c r="B1114" s="165">
        <v>41949</v>
      </c>
      <c r="C1114" t="s">
        <v>354</v>
      </c>
      <c r="D1114" t="s">
        <v>355</v>
      </c>
      <c r="E1114">
        <v>3</v>
      </c>
      <c r="F1114" s="166">
        <v>1950</v>
      </c>
      <c r="G1114">
        <v>5850</v>
      </c>
    </row>
    <row r="1115" spans="1:7">
      <c r="A1115" t="s">
        <v>363</v>
      </c>
      <c r="B1115" s="165">
        <v>41957</v>
      </c>
      <c r="C1115" t="s">
        <v>354</v>
      </c>
      <c r="D1115" t="s">
        <v>355</v>
      </c>
      <c r="E1115">
        <v>17</v>
      </c>
      <c r="F1115" s="166">
        <v>677.88235294117646</v>
      </c>
      <c r="G1115">
        <v>11524</v>
      </c>
    </row>
    <row r="1116" spans="1:7">
      <c r="A1116" t="s">
        <v>363</v>
      </c>
      <c r="B1116" s="165">
        <v>41977</v>
      </c>
      <c r="C1116" t="s">
        <v>354</v>
      </c>
      <c r="D1116" t="s">
        <v>355</v>
      </c>
      <c r="E1116">
        <v>6</v>
      </c>
      <c r="F1116" s="166">
        <v>400</v>
      </c>
      <c r="G1116">
        <v>2400</v>
      </c>
    </row>
    <row r="1117" spans="1:7">
      <c r="A1117" t="s">
        <v>363</v>
      </c>
      <c r="B1117" s="165">
        <v>42004</v>
      </c>
      <c r="C1117" t="s">
        <v>354</v>
      </c>
      <c r="D1117" t="s">
        <v>355</v>
      </c>
      <c r="E1117">
        <v>3</v>
      </c>
      <c r="F1117" s="166">
        <v>313.66666666666669</v>
      </c>
      <c r="G1117">
        <v>941</v>
      </c>
    </row>
    <row r="1118" spans="1:7">
      <c r="E1118" s="119" t="s">
        <v>373</v>
      </c>
      <c r="F1118" s="166">
        <f>AVERAGE($F$987:$F$1117)</f>
        <v>675.6713070526647</v>
      </c>
    </row>
    <row r="1119" spans="1:7">
      <c r="E1119" s="119" t="s">
        <v>374</v>
      </c>
      <c r="F1119" s="166">
        <f>MEDIAN($F$987:$F$1117)</f>
        <v>575</v>
      </c>
    </row>
    <row r="1120" spans="1:7">
      <c r="E1120" s="119" t="s">
        <v>375</v>
      </c>
      <c r="F1120" s="166">
        <f>PERCENTILE($F$987:$F$1117,0.25)</f>
        <v>486.38235294117646</v>
      </c>
    </row>
    <row r="1122" spans="1:8">
      <c r="A1122" s="171"/>
      <c r="B1122" s="171"/>
      <c r="C1122" s="171"/>
      <c r="D1122" s="171"/>
      <c r="E1122" s="171"/>
      <c r="F1122" s="171"/>
      <c r="G1122" s="171"/>
      <c r="H1122" s="171"/>
    </row>
    <row r="1123" spans="1:8">
      <c r="A1123" s="146" t="s">
        <v>353</v>
      </c>
    </row>
    <row r="1124" spans="1:8">
      <c r="A1124" t="s">
        <v>342</v>
      </c>
      <c r="B1124" s="165" t="s">
        <v>343</v>
      </c>
      <c r="C1124" t="s">
        <v>344</v>
      </c>
      <c r="D1124" t="s">
        <v>345</v>
      </c>
      <c r="E1124" t="s">
        <v>346</v>
      </c>
      <c r="F1124" s="166" t="s">
        <v>347</v>
      </c>
      <c r="G1124" t="s">
        <v>348</v>
      </c>
    </row>
    <row r="1125" spans="1:8">
      <c r="A1125" t="s">
        <v>349</v>
      </c>
      <c r="B1125" s="165">
        <v>41697</v>
      </c>
      <c r="C1125" t="s">
        <v>352</v>
      </c>
      <c r="D1125" t="s">
        <v>353</v>
      </c>
      <c r="E1125">
        <v>2</v>
      </c>
      <c r="F1125" s="166">
        <v>775</v>
      </c>
      <c r="G1125">
        <v>1550</v>
      </c>
    </row>
    <row r="1126" spans="1:8">
      <c r="A1126" t="s">
        <v>349</v>
      </c>
      <c r="B1126" s="165">
        <v>41697</v>
      </c>
      <c r="C1126" t="s">
        <v>352</v>
      </c>
      <c r="D1126" t="s">
        <v>353</v>
      </c>
      <c r="E1126">
        <v>4</v>
      </c>
      <c r="F1126" s="166">
        <v>850</v>
      </c>
      <c r="G1126">
        <v>3400</v>
      </c>
    </row>
    <row r="1127" spans="1:8">
      <c r="A1127" t="s">
        <v>349</v>
      </c>
      <c r="B1127" s="165">
        <v>41718</v>
      </c>
      <c r="C1127" t="s">
        <v>352</v>
      </c>
      <c r="D1127" t="s">
        <v>353</v>
      </c>
      <c r="E1127">
        <v>11</v>
      </c>
      <c r="F1127" s="166">
        <v>850</v>
      </c>
      <c r="G1127">
        <v>9350</v>
      </c>
    </row>
    <row r="1128" spans="1:8">
      <c r="A1128" t="s">
        <v>349</v>
      </c>
      <c r="B1128" s="165">
        <v>41739</v>
      </c>
      <c r="C1128" t="s">
        <v>352</v>
      </c>
      <c r="D1128" t="s">
        <v>353</v>
      </c>
      <c r="E1128">
        <v>4</v>
      </c>
      <c r="F1128" s="166">
        <v>540</v>
      </c>
      <c r="G1128">
        <v>2160</v>
      </c>
    </row>
    <row r="1129" spans="1:8">
      <c r="A1129" t="s">
        <v>349</v>
      </c>
      <c r="B1129" s="165">
        <v>41746</v>
      </c>
      <c r="C1129" t="s">
        <v>352</v>
      </c>
      <c r="D1129" t="s">
        <v>353</v>
      </c>
      <c r="E1129">
        <v>1</v>
      </c>
      <c r="F1129" s="166">
        <v>998</v>
      </c>
      <c r="G1129">
        <v>998</v>
      </c>
    </row>
    <row r="1130" spans="1:8">
      <c r="A1130" t="s">
        <v>349</v>
      </c>
      <c r="B1130" s="165">
        <v>41774</v>
      </c>
      <c r="C1130" t="s">
        <v>352</v>
      </c>
      <c r="D1130" t="s">
        <v>353</v>
      </c>
      <c r="E1130">
        <v>2</v>
      </c>
      <c r="F1130" s="166">
        <v>807</v>
      </c>
      <c r="G1130">
        <v>1614</v>
      </c>
    </row>
    <row r="1131" spans="1:8">
      <c r="A1131" t="s">
        <v>349</v>
      </c>
      <c r="B1131" s="165">
        <v>41802</v>
      </c>
      <c r="C1131" t="s">
        <v>352</v>
      </c>
      <c r="D1131" t="s">
        <v>353</v>
      </c>
      <c r="E1131">
        <v>5</v>
      </c>
      <c r="F1131" s="166">
        <v>962</v>
      </c>
      <c r="G1131">
        <v>4810</v>
      </c>
    </row>
    <row r="1132" spans="1:8">
      <c r="A1132" t="s">
        <v>349</v>
      </c>
      <c r="B1132" s="165">
        <v>41830</v>
      </c>
      <c r="C1132" t="s">
        <v>352</v>
      </c>
      <c r="D1132" t="s">
        <v>353</v>
      </c>
      <c r="E1132">
        <v>5</v>
      </c>
      <c r="F1132" s="166">
        <v>868</v>
      </c>
      <c r="G1132">
        <v>4340</v>
      </c>
    </row>
    <row r="1133" spans="1:8">
      <c r="A1133" t="s">
        <v>349</v>
      </c>
      <c r="B1133" s="165">
        <v>41851</v>
      </c>
      <c r="C1133" t="s">
        <v>352</v>
      </c>
      <c r="D1133" t="s">
        <v>353</v>
      </c>
      <c r="E1133">
        <v>4</v>
      </c>
      <c r="F1133" s="166">
        <v>820.75</v>
      </c>
      <c r="G1133">
        <v>3283</v>
      </c>
    </row>
    <row r="1134" spans="1:8">
      <c r="A1134" t="s">
        <v>349</v>
      </c>
      <c r="B1134" s="165">
        <v>41872</v>
      </c>
      <c r="C1134" t="s">
        <v>352</v>
      </c>
      <c r="D1134" t="s">
        <v>353</v>
      </c>
      <c r="E1134">
        <v>2</v>
      </c>
      <c r="F1134" s="166">
        <v>1239</v>
      </c>
      <c r="G1134">
        <v>2478</v>
      </c>
    </row>
    <row r="1135" spans="1:8">
      <c r="A1135" t="s">
        <v>349</v>
      </c>
      <c r="B1135" s="165">
        <v>41872</v>
      </c>
      <c r="C1135" t="s">
        <v>352</v>
      </c>
      <c r="D1135" t="s">
        <v>353</v>
      </c>
      <c r="E1135">
        <v>14</v>
      </c>
      <c r="F1135" s="166">
        <v>450</v>
      </c>
      <c r="G1135">
        <v>6300</v>
      </c>
    </row>
    <row r="1136" spans="1:8">
      <c r="A1136" t="s">
        <v>349</v>
      </c>
      <c r="B1136" s="165">
        <v>41900</v>
      </c>
      <c r="C1136" t="s">
        <v>352</v>
      </c>
      <c r="D1136" t="s">
        <v>353</v>
      </c>
      <c r="E1136">
        <v>3</v>
      </c>
      <c r="F1136" s="166">
        <v>598</v>
      </c>
      <c r="G1136">
        <v>1794</v>
      </c>
    </row>
    <row r="1137" spans="1:7">
      <c r="A1137" t="s">
        <v>349</v>
      </c>
      <c r="B1137" s="165">
        <v>41907</v>
      </c>
      <c r="C1137" t="s">
        <v>352</v>
      </c>
      <c r="D1137" t="s">
        <v>353</v>
      </c>
      <c r="E1137">
        <v>6</v>
      </c>
      <c r="F1137" s="166">
        <v>975</v>
      </c>
      <c r="G1137">
        <v>5850</v>
      </c>
    </row>
    <row r="1138" spans="1:7">
      <c r="A1138" t="s">
        <v>349</v>
      </c>
      <c r="B1138" s="165">
        <v>41921</v>
      </c>
      <c r="C1138" t="s">
        <v>352</v>
      </c>
      <c r="D1138" t="s">
        <v>353</v>
      </c>
      <c r="E1138">
        <v>11</v>
      </c>
      <c r="F1138" s="166">
        <v>915.90909090909088</v>
      </c>
      <c r="G1138">
        <v>10075</v>
      </c>
    </row>
    <row r="1139" spans="1:7">
      <c r="A1139" t="s">
        <v>349</v>
      </c>
      <c r="B1139" s="165">
        <v>41921</v>
      </c>
      <c r="C1139" t="s">
        <v>352</v>
      </c>
      <c r="D1139" t="s">
        <v>353</v>
      </c>
      <c r="E1139">
        <v>20</v>
      </c>
      <c r="F1139" s="166">
        <v>1733</v>
      </c>
      <c r="G1139">
        <v>34660</v>
      </c>
    </row>
    <row r="1140" spans="1:7">
      <c r="A1140" t="s">
        <v>349</v>
      </c>
      <c r="B1140" s="165">
        <v>41936</v>
      </c>
      <c r="C1140" t="s">
        <v>352</v>
      </c>
      <c r="D1140" t="s">
        <v>353</v>
      </c>
      <c r="E1140">
        <v>4</v>
      </c>
      <c r="F1140" s="166">
        <v>1070</v>
      </c>
      <c r="G1140">
        <v>4280</v>
      </c>
    </row>
    <row r="1141" spans="1:7">
      <c r="A1141" t="s">
        <v>349</v>
      </c>
      <c r="B1141" s="165">
        <v>41936</v>
      </c>
      <c r="C1141" t="s">
        <v>352</v>
      </c>
      <c r="D1141" t="s">
        <v>353</v>
      </c>
      <c r="E1141">
        <v>14</v>
      </c>
      <c r="F1141" s="166">
        <v>1094.7857142857142</v>
      </c>
      <c r="G1141">
        <v>15327</v>
      </c>
    </row>
    <row r="1142" spans="1:7">
      <c r="A1142" t="s">
        <v>349</v>
      </c>
      <c r="B1142" s="165">
        <v>41943</v>
      </c>
      <c r="C1142" t="s">
        <v>352</v>
      </c>
      <c r="D1142" t="s">
        <v>353</v>
      </c>
      <c r="E1142">
        <v>2</v>
      </c>
      <c r="F1142" s="166">
        <v>880</v>
      </c>
      <c r="G1142">
        <v>1760</v>
      </c>
    </row>
    <row r="1143" spans="1:7">
      <c r="A1143" t="s">
        <v>349</v>
      </c>
      <c r="B1143" s="165">
        <v>41943</v>
      </c>
      <c r="C1143" t="s">
        <v>352</v>
      </c>
      <c r="D1143" t="s">
        <v>353</v>
      </c>
      <c r="E1143">
        <v>2</v>
      </c>
      <c r="F1143" s="166">
        <v>880</v>
      </c>
      <c r="G1143">
        <v>1760</v>
      </c>
    </row>
    <row r="1144" spans="1:7">
      <c r="A1144" t="s">
        <v>349</v>
      </c>
      <c r="B1144" s="165">
        <v>41943</v>
      </c>
      <c r="C1144" t="s">
        <v>352</v>
      </c>
      <c r="D1144" t="s">
        <v>353</v>
      </c>
      <c r="E1144">
        <v>4</v>
      </c>
      <c r="F1144" s="166">
        <v>497</v>
      </c>
      <c r="G1144">
        <v>1988</v>
      </c>
    </row>
    <row r="1145" spans="1:7">
      <c r="A1145" t="s">
        <v>349</v>
      </c>
      <c r="B1145" s="165">
        <v>41943</v>
      </c>
      <c r="C1145" t="s">
        <v>352</v>
      </c>
      <c r="D1145" t="s">
        <v>353</v>
      </c>
      <c r="E1145">
        <v>5</v>
      </c>
      <c r="F1145" s="166">
        <v>880</v>
      </c>
      <c r="G1145">
        <v>4400</v>
      </c>
    </row>
    <row r="1146" spans="1:7">
      <c r="A1146" t="s">
        <v>349</v>
      </c>
      <c r="B1146" s="165">
        <v>41943</v>
      </c>
      <c r="C1146" t="s">
        <v>352</v>
      </c>
      <c r="D1146" t="s">
        <v>353</v>
      </c>
      <c r="E1146">
        <v>5</v>
      </c>
      <c r="F1146" s="166">
        <v>1750</v>
      </c>
      <c r="G1146">
        <v>8750</v>
      </c>
    </row>
    <row r="1147" spans="1:7">
      <c r="A1147" t="s">
        <v>349</v>
      </c>
      <c r="B1147" s="165">
        <v>41943</v>
      </c>
      <c r="C1147" t="s">
        <v>352</v>
      </c>
      <c r="D1147" t="s">
        <v>353</v>
      </c>
      <c r="E1147">
        <v>49</v>
      </c>
      <c r="F1147" s="166">
        <v>1704.9795918367347</v>
      </c>
      <c r="G1147">
        <v>83544</v>
      </c>
    </row>
    <row r="1148" spans="1:7">
      <c r="A1148" t="s">
        <v>349</v>
      </c>
      <c r="B1148" s="165">
        <v>41949</v>
      </c>
      <c r="C1148" t="s">
        <v>352</v>
      </c>
      <c r="D1148" t="s">
        <v>353</v>
      </c>
      <c r="E1148">
        <v>5</v>
      </c>
      <c r="F1148" s="166">
        <v>872.2</v>
      </c>
      <c r="G1148">
        <v>4361</v>
      </c>
    </row>
    <row r="1149" spans="1:7">
      <c r="A1149" t="s">
        <v>349</v>
      </c>
      <c r="B1149" s="165">
        <v>41957</v>
      </c>
      <c r="C1149" t="s">
        <v>352</v>
      </c>
      <c r="D1149" t="s">
        <v>353</v>
      </c>
      <c r="E1149">
        <v>3</v>
      </c>
      <c r="F1149" s="166">
        <v>875</v>
      </c>
      <c r="G1149">
        <v>2625</v>
      </c>
    </row>
    <row r="1150" spans="1:7">
      <c r="A1150" t="s">
        <v>349</v>
      </c>
      <c r="B1150" s="165">
        <v>41957</v>
      </c>
      <c r="C1150" t="s">
        <v>352</v>
      </c>
      <c r="D1150" t="s">
        <v>353</v>
      </c>
      <c r="E1150">
        <v>4</v>
      </c>
      <c r="F1150" s="166">
        <v>846.5</v>
      </c>
      <c r="G1150">
        <v>3386</v>
      </c>
    </row>
    <row r="1151" spans="1:7">
      <c r="A1151" t="s">
        <v>349</v>
      </c>
      <c r="B1151" s="165">
        <v>41957</v>
      </c>
      <c r="C1151" t="s">
        <v>352</v>
      </c>
      <c r="D1151" t="s">
        <v>353</v>
      </c>
      <c r="E1151">
        <v>5</v>
      </c>
      <c r="F1151" s="166">
        <v>836</v>
      </c>
      <c r="G1151">
        <v>4180</v>
      </c>
    </row>
    <row r="1152" spans="1:7">
      <c r="A1152" t="s">
        <v>349</v>
      </c>
      <c r="B1152" s="165">
        <v>41957</v>
      </c>
      <c r="C1152" t="s">
        <v>352</v>
      </c>
      <c r="D1152" t="s">
        <v>353</v>
      </c>
      <c r="E1152">
        <v>6</v>
      </c>
      <c r="F1152" s="166">
        <v>828.16666666666663</v>
      </c>
      <c r="G1152">
        <v>4969</v>
      </c>
    </row>
    <row r="1153" spans="1:7">
      <c r="A1153" t="s">
        <v>349</v>
      </c>
      <c r="B1153" s="165">
        <v>41957</v>
      </c>
      <c r="C1153" t="s">
        <v>352</v>
      </c>
      <c r="D1153" t="s">
        <v>353</v>
      </c>
      <c r="E1153">
        <v>6</v>
      </c>
      <c r="F1153" s="166">
        <v>828.16666666666663</v>
      </c>
      <c r="G1153">
        <v>4969</v>
      </c>
    </row>
    <row r="1154" spans="1:7">
      <c r="A1154" t="s">
        <v>349</v>
      </c>
      <c r="B1154" s="165">
        <v>41957</v>
      </c>
      <c r="C1154" t="s">
        <v>352</v>
      </c>
      <c r="D1154" t="s">
        <v>353</v>
      </c>
      <c r="E1154">
        <v>8</v>
      </c>
      <c r="F1154" s="166">
        <v>802.875</v>
      </c>
      <c r="G1154">
        <v>6423</v>
      </c>
    </row>
    <row r="1155" spans="1:7">
      <c r="A1155" t="s">
        <v>349</v>
      </c>
      <c r="B1155" s="165">
        <v>41957</v>
      </c>
      <c r="C1155" t="s">
        <v>352</v>
      </c>
      <c r="D1155" t="s">
        <v>353</v>
      </c>
      <c r="E1155">
        <v>8</v>
      </c>
      <c r="F1155" s="166">
        <v>802.875</v>
      </c>
      <c r="G1155">
        <v>6423</v>
      </c>
    </row>
    <row r="1156" spans="1:7">
      <c r="A1156" t="s">
        <v>349</v>
      </c>
      <c r="B1156" s="165">
        <v>41957</v>
      </c>
      <c r="C1156" t="s">
        <v>352</v>
      </c>
      <c r="D1156" t="s">
        <v>353</v>
      </c>
      <c r="E1156">
        <v>9</v>
      </c>
      <c r="F1156" s="166">
        <v>794.55555555555554</v>
      </c>
      <c r="G1156">
        <v>7151</v>
      </c>
    </row>
    <row r="1157" spans="1:7">
      <c r="A1157" t="s">
        <v>349</v>
      </c>
      <c r="B1157" s="165">
        <v>41957</v>
      </c>
      <c r="C1157" t="s">
        <v>352</v>
      </c>
      <c r="D1157" t="s">
        <v>353</v>
      </c>
      <c r="E1157">
        <v>9</v>
      </c>
      <c r="F1157" s="166">
        <v>794.55555555555554</v>
      </c>
      <c r="G1157">
        <v>7151</v>
      </c>
    </row>
    <row r="1158" spans="1:7">
      <c r="A1158" t="s">
        <v>349</v>
      </c>
      <c r="B1158" s="165">
        <v>41957</v>
      </c>
      <c r="C1158" t="s">
        <v>352</v>
      </c>
      <c r="D1158" t="s">
        <v>353</v>
      </c>
      <c r="E1158">
        <v>9</v>
      </c>
      <c r="F1158" s="166">
        <v>794.55555555555554</v>
      </c>
      <c r="G1158">
        <v>7151</v>
      </c>
    </row>
    <row r="1159" spans="1:7">
      <c r="A1159" t="s">
        <v>349</v>
      </c>
      <c r="B1159" s="165">
        <v>41957</v>
      </c>
      <c r="C1159" t="s">
        <v>352</v>
      </c>
      <c r="D1159" t="s">
        <v>353</v>
      </c>
      <c r="E1159">
        <v>11</v>
      </c>
      <c r="F1159" s="166">
        <v>782.18181818181813</v>
      </c>
      <c r="G1159">
        <v>8604</v>
      </c>
    </row>
    <row r="1160" spans="1:7">
      <c r="A1160" t="s">
        <v>349</v>
      </c>
      <c r="B1160" s="165">
        <v>41957</v>
      </c>
      <c r="C1160" t="s">
        <v>352</v>
      </c>
      <c r="D1160" t="s">
        <v>353</v>
      </c>
      <c r="E1160">
        <v>8</v>
      </c>
      <c r="F1160" s="166">
        <v>2400</v>
      </c>
      <c r="G1160">
        <v>19200</v>
      </c>
    </row>
    <row r="1161" spans="1:7">
      <c r="A1161" t="s">
        <v>349</v>
      </c>
      <c r="B1161" s="165">
        <v>41963</v>
      </c>
      <c r="C1161" t="s">
        <v>352</v>
      </c>
      <c r="D1161" t="s">
        <v>353</v>
      </c>
      <c r="E1161">
        <v>4</v>
      </c>
      <c r="F1161" s="166">
        <v>999</v>
      </c>
      <c r="G1161">
        <v>3996</v>
      </c>
    </row>
    <row r="1162" spans="1:7">
      <c r="A1162" t="s">
        <v>349</v>
      </c>
      <c r="B1162" s="165">
        <v>41963</v>
      </c>
      <c r="C1162" t="s">
        <v>352</v>
      </c>
      <c r="D1162" t="s">
        <v>353</v>
      </c>
      <c r="E1162">
        <v>11</v>
      </c>
      <c r="F1162" s="166">
        <v>390</v>
      </c>
      <c r="G1162">
        <v>4290</v>
      </c>
    </row>
    <row r="1163" spans="1:7">
      <c r="A1163" t="s">
        <v>349</v>
      </c>
      <c r="B1163" s="165">
        <v>41963</v>
      </c>
      <c r="C1163" t="s">
        <v>352</v>
      </c>
      <c r="D1163" t="s">
        <v>353</v>
      </c>
      <c r="E1163">
        <v>62</v>
      </c>
      <c r="F1163" s="166">
        <v>1250</v>
      </c>
      <c r="G1163">
        <v>77500</v>
      </c>
    </row>
    <row r="1164" spans="1:7">
      <c r="A1164" t="s">
        <v>349</v>
      </c>
      <c r="B1164" s="165">
        <v>41977</v>
      </c>
      <c r="C1164" t="s">
        <v>352</v>
      </c>
      <c r="D1164" t="s">
        <v>353</v>
      </c>
      <c r="E1164">
        <v>9</v>
      </c>
      <c r="F1164" s="166">
        <v>794.55555555555554</v>
      </c>
      <c r="G1164">
        <v>7151</v>
      </c>
    </row>
    <row r="1165" spans="1:7">
      <c r="A1165" t="s">
        <v>349</v>
      </c>
      <c r="B1165" s="165">
        <v>41991</v>
      </c>
      <c r="C1165" t="s">
        <v>352</v>
      </c>
      <c r="D1165" t="s">
        <v>353</v>
      </c>
      <c r="E1165">
        <v>2</v>
      </c>
      <c r="F1165" s="166">
        <v>575</v>
      </c>
      <c r="G1165">
        <v>1150</v>
      </c>
    </row>
    <row r="1166" spans="1:7">
      <c r="A1166" t="s">
        <v>349</v>
      </c>
      <c r="B1166" s="165">
        <v>42004</v>
      </c>
      <c r="C1166" t="s">
        <v>352</v>
      </c>
      <c r="D1166" t="s">
        <v>353</v>
      </c>
      <c r="E1166">
        <v>42</v>
      </c>
      <c r="F1166" s="166">
        <v>1085</v>
      </c>
      <c r="G1166">
        <v>45570</v>
      </c>
    </row>
    <row r="1167" spans="1:7">
      <c r="A1167" t="s">
        <v>349</v>
      </c>
      <c r="B1167" s="165">
        <v>42004</v>
      </c>
      <c r="C1167" t="s">
        <v>352</v>
      </c>
      <c r="D1167" t="s">
        <v>353</v>
      </c>
      <c r="E1167">
        <v>55</v>
      </c>
      <c r="F1167" s="166">
        <v>1192.090909090909</v>
      </c>
      <c r="G1167">
        <v>65565</v>
      </c>
    </row>
    <row r="1168" spans="1:7">
      <c r="A1168" t="s">
        <v>349</v>
      </c>
      <c r="B1168" s="165">
        <v>42004</v>
      </c>
      <c r="C1168" t="s">
        <v>352</v>
      </c>
      <c r="D1168" t="s">
        <v>353</v>
      </c>
      <c r="E1168">
        <v>81</v>
      </c>
      <c r="F1168" s="166">
        <v>1200</v>
      </c>
      <c r="G1168">
        <v>97200</v>
      </c>
    </row>
    <row r="1169" spans="1:8">
      <c r="A1169" t="s">
        <v>362</v>
      </c>
      <c r="B1169" s="165">
        <v>41865</v>
      </c>
      <c r="C1169" t="s">
        <v>352</v>
      </c>
      <c r="D1169" t="s">
        <v>353</v>
      </c>
      <c r="E1169">
        <v>12</v>
      </c>
      <c r="F1169" s="166">
        <v>787.5</v>
      </c>
      <c r="G1169">
        <v>9450</v>
      </c>
    </row>
    <row r="1170" spans="1:8">
      <c r="A1170" t="s">
        <v>362</v>
      </c>
      <c r="B1170" s="165">
        <v>41872</v>
      </c>
      <c r="C1170" t="s">
        <v>352</v>
      </c>
      <c r="D1170" t="s">
        <v>353</v>
      </c>
      <c r="E1170">
        <v>3</v>
      </c>
      <c r="F1170" s="166">
        <v>835</v>
      </c>
      <c r="G1170">
        <v>2505</v>
      </c>
    </row>
    <row r="1171" spans="1:8">
      <c r="A1171" t="s">
        <v>363</v>
      </c>
      <c r="B1171" s="165">
        <v>41795</v>
      </c>
      <c r="C1171" t="s">
        <v>352</v>
      </c>
      <c r="D1171" t="s">
        <v>353</v>
      </c>
      <c r="E1171">
        <v>11</v>
      </c>
      <c r="F1171" s="166">
        <v>780</v>
      </c>
      <c r="G1171">
        <v>8580</v>
      </c>
    </row>
    <row r="1172" spans="1:8">
      <c r="A1172" t="s">
        <v>363</v>
      </c>
      <c r="B1172" s="165">
        <v>41844</v>
      </c>
      <c r="C1172" t="s">
        <v>352</v>
      </c>
      <c r="D1172" t="s">
        <v>353</v>
      </c>
      <c r="E1172">
        <v>3</v>
      </c>
      <c r="F1172" s="166">
        <v>547.33333333333337</v>
      </c>
      <c r="G1172">
        <v>1642</v>
      </c>
    </row>
    <row r="1173" spans="1:8">
      <c r="A1173" t="s">
        <v>363</v>
      </c>
      <c r="B1173" s="165">
        <v>41900</v>
      </c>
      <c r="C1173" t="s">
        <v>352</v>
      </c>
      <c r="D1173" t="s">
        <v>353</v>
      </c>
      <c r="E1173">
        <v>12</v>
      </c>
      <c r="F1173" s="166">
        <v>885.5</v>
      </c>
      <c r="G1173">
        <v>10626</v>
      </c>
    </row>
    <row r="1174" spans="1:8">
      <c r="A1174" t="s">
        <v>363</v>
      </c>
      <c r="B1174" s="165">
        <v>41921</v>
      </c>
      <c r="C1174" t="s">
        <v>352</v>
      </c>
      <c r="D1174" t="s">
        <v>353</v>
      </c>
      <c r="E1174">
        <v>6</v>
      </c>
      <c r="F1174" s="166">
        <v>1182</v>
      </c>
      <c r="G1174">
        <v>7092</v>
      </c>
    </row>
    <row r="1175" spans="1:8">
      <c r="A1175" t="s">
        <v>363</v>
      </c>
      <c r="B1175" s="165">
        <v>41949</v>
      </c>
      <c r="C1175" t="s">
        <v>352</v>
      </c>
      <c r="D1175" t="s">
        <v>353</v>
      </c>
      <c r="E1175">
        <v>3</v>
      </c>
      <c r="F1175" s="166">
        <v>1900</v>
      </c>
      <c r="G1175">
        <v>5700</v>
      </c>
    </row>
    <row r="1176" spans="1:8">
      <c r="A1176" t="s">
        <v>363</v>
      </c>
      <c r="B1176" s="165">
        <v>41949</v>
      </c>
      <c r="C1176" t="s">
        <v>352</v>
      </c>
      <c r="D1176" t="s">
        <v>353</v>
      </c>
      <c r="E1176">
        <v>12</v>
      </c>
      <c r="F1176" s="166">
        <v>800</v>
      </c>
      <c r="G1176">
        <v>9600</v>
      </c>
    </row>
    <row r="1177" spans="1:8">
      <c r="A1177" t="s">
        <v>363</v>
      </c>
      <c r="B1177" s="165">
        <v>41971</v>
      </c>
      <c r="C1177" t="s">
        <v>352</v>
      </c>
      <c r="D1177" t="s">
        <v>353</v>
      </c>
      <c r="E1177">
        <v>4</v>
      </c>
      <c r="F1177" s="166">
        <v>1622.5</v>
      </c>
      <c r="G1177">
        <v>6490</v>
      </c>
    </row>
    <row r="1178" spans="1:8">
      <c r="A1178" t="s">
        <v>363</v>
      </c>
      <c r="B1178" s="165">
        <v>41977</v>
      </c>
      <c r="C1178" t="s">
        <v>352</v>
      </c>
      <c r="D1178" t="s">
        <v>353</v>
      </c>
      <c r="E1178">
        <v>288</v>
      </c>
      <c r="F1178" s="166">
        <v>847.08333333333337</v>
      </c>
      <c r="G1178">
        <v>243960</v>
      </c>
    </row>
    <row r="1179" spans="1:8">
      <c r="E1179" s="119" t="s">
        <v>373</v>
      </c>
      <c r="F1179" s="166">
        <f>AVERAGE($F$1125:$F$1178)</f>
        <v>964.23369160234267</v>
      </c>
    </row>
    <row r="1180" spans="1:8">
      <c r="E1180" s="119" t="s">
        <v>374</v>
      </c>
      <c r="F1180" s="166">
        <f>MEDIAN($F$1125:$F$1178)</f>
        <v>850</v>
      </c>
    </row>
    <row r="1181" spans="1:8">
      <c r="E1181" s="119" t="s">
        <v>375</v>
      </c>
      <c r="F1181" s="166">
        <f>PERCENTILE($F$1125:$F$1178,0.25)</f>
        <v>794.55555555555554</v>
      </c>
    </row>
    <row r="1183" spans="1:8">
      <c r="A1183" s="171"/>
      <c r="B1183" s="171"/>
      <c r="C1183" s="171"/>
      <c r="D1183" s="171"/>
      <c r="E1183" s="171"/>
      <c r="F1183" s="171"/>
      <c r="G1183" s="171"/>
      <c r="H1183" s="171"/>
    </row>
    <row r="1184" spans="1:8">
      <c r="A1184" s="146" t="s">
        <v>361</v>
      </c>
    </row>
    <row r="1185" spans="1:7">
      <c r="A1185" t="s">
        <v>342</v>
      </c>
      <c r="B1185" s="165" t="s">
        <v>343</v>
      </c>
      <c r="C1185" t="s">
        <v>344</v>
      </c>
      <c r="D1185" t="s">
        <v>345</v>
      </c>
      <c r="E1185" t="s">
        <v>346</v>
      </c>
      <c r="F1185" s="166" t="s">
        <v>347</v>
      </c>
      <c r="G1185" t="s">
        <v>348</v>
      </c>
    </row>
    <row r="1186" spans="1:7">
      <c r="A1186" t="s">
        <v>349</v>
      </c>
      <c r="B1186" s="165">
        <v>41977</v>
      </c>
      <c r="C1186" t="s">
        <v>360</v>
      </c>
      <c r="D1186" t="s">
        <v>361</v>
      </c>
      <c r="E1186">
        <v>5</v>
      </c>
      <c r="F1186" s="166">
        <v>975</v>
      </c>
      <c r="G1186">
        <v>4875</v>
      </c>
    </row>
    <row r="1187" spans="1:7">
      <c r="A1187" t="s">
        <v>349</v>
      </c>
      <c r="B1187" s="165">
        <v>42004</v>
      </c>
      <c r="C1187" t="s">
        <v>360</v>
      </c>
      <c r="D1187" t="s">
        <v>361</v>
      </c>
      <c r="E1187">
        <v>8</v>
      </c>
      <c r="F1187" s="166">
        <v>1502</v>
      </c>
      <c r="G1187">
        <v>12016</v>
      </c>
    </row>
    <row r="1188" spans="1:7">
      <c r="A1188" t="s">
        <v>349</v>
      </c>
      <c r="B1188" s="165">
        <v>42004</v>
      </c>
      <c r="C1188" t="s">
        <v>360</v>
      </c>
      <c r="D1188" t="s">
        <v>361</v>
      </c>
      <c r="E1188">
        <v>23</v>
      </c>
      <c r="F1188" s="166">
        <v>1502</v>
      </c>
      <c r="G1188">
        <v>34546</v>
      </c>
    </row>
    <row r="1189" spans="1:7">
      <c r="A1189" t="s">
        <v>363</v>
      </c>
      <c r="B1189" s="165">
        <v>41999</v>
      </c>
      <c r="C1189" t="s">
        <v>360</v>
      </c>
      <c r="D1189" t="s">
        <v>361</v>
      </c>
      <c r="E1189">
        <v>2</v>
      </c>
      <c r="F1189" s="166">
        <v>980</v>
      </c>
      <c r="G1189">
        <v>1960</v>
      </c>
    </row>
    <row r="1190" spans="1:7">
      <c r="A1190" t="s">
        <v>364</v>
      </c>
      <c r="B1190" s="165">
        <v>41977</v>
      </c>
      <c r="C1190" t="s">
        <v>360</v>
      </c>
      <c r="D1190" t="s">
        <v>361</v>
      </c>
      <c r="E1190">
        <v>11</v>
      </c>
      <c r="F1190" s="166">
        <v>890.90909090909088</v>
      </c>
      <c r="G1190">
        <v>9800</v>
      </c>
    </row>
    <row r="1191" spans="1:7">
      <c r="A1191" t="s">
        <v>364</v>
      </c>
      <c r="B1191" s="165">
        <v>41977</v>
      </c>
      <c r="C1191" t="s">
        <v>360</v>
      </c>
      <c r="D1191" t="s">
        <v>361</v>
      </c>
      <c r="E1191">
        <v>11</v>
      </c>
      <c r="F1191" s="166">
        <v>1021.4545454545455</v>
      </c>
      <c r="G1191">
        <v>11236</v>
      </c>
    </row>
    <row r="1192" spans="1:7">
      <c r="E1192" s="119" t="s">
        <v>373</v>
      </c>
      <c r="F1192" s="166">
        <f>AVERAGE($F$1186:$F$1191)</f>
        <v>1145.2272727272727</v>
      </c>
    </row>
    <row r="1193" spans="1:7">
      <c r="E1193" s="119" t="s">
        <v>374</v>
      </c>
      <c r="F1193" s="166">
        <f>MEDIAN($F$1186:$F$1191)</f>
        <v>1000.7272727272727</v>
      </c>
    </row>
    <row r="1194" spans="1:7">
      <c r="E1194" s="119" t="s">
        <v>375</v>
      </c>
      <c r="F1194" s="166">
        <f>PERCENTILE($F$1186:$F$1191,0.25)</f>
        <v>976.25</v>
      </c>
    </row>
  </sheetData>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sheetPr filterMode="1"/>
  <dimension ref="A1:G576"/>
  <sheetViews>
    <sheetView workbookViewId="0">
      <selection activeCell="F8" sqref="F8:F571"/>
    </sheetView>
  </sheetViews>
  <sheetFormatPr defaultRowHeight="12.75"/>
  <cols>
    <col min="1" max="1" width="16" bestFit="1" customWidth="1"/>
    <col min="2" max="2" width="15.42578125" bestFit="1" customWidth="1"/>
    <col min="3" max="3" width="15.7109375" bestFit="1" customWidth="1"/>
    <col min="4" max="4" width="31.28515625" bestFit="1" customWidth="1"/>
    <col min="5" max="5" width="4.7109375" bestFit="1" customWidth="1"/>
    <col min="6" max="6" width="17.5703125" bestFit="1" customWidth="1"/>
    <col min="7" max="7" width="19.28515625" bestFit="1" customWidth="1"/>
  </cols>
  <sheetData>
    <row r="1" spans="1:7">
      <c r="A1" t="s">
        <v>342</v>
      </c>
      <c r="B1" s="165" t="s">
        <v>343</v>
      </c>
      <c r="C1" t="s">
        <v>344</v>
      </c>
      <c r="D1" t="s">
        <v>345</v>
      </c>
      <c r="E1" t="s">
        <v>346</v>
      </c>
      <c r="F1" s="166" t="s">
        <v>347</v>
      </c>
      <c r="G1" t="s">
        <v>348</v>
      </c>
    </row>
    <row r="2" spans="1:7" hidden="1">
      <c r="A2" t="s">
        <v>349</v>
      </c>
      <c r="B2" s="165">
        <v>41683</v>
      </c>
      <c r="C2" t="s">
        <v>350</v>
      </c>
      <c r="D2" t="s">
        <v>351</v>
      </c>
      <c r="E2">
        <v>3</v>
      </c>
      <c r="F2" s="166">
        <v>695</v>
      </c>
      <c r="G2">
        <v>2085</v>
      </c>
    </row>
    <row r="3" spans="1:7" hidden="1">
      <c r="A3" t="s">
        <v>349</v>
      </c>
      <c r="B3" s="165">
        <v>41690</v>
      </c>
      <c r="C3" t="s">
        <v>350</v>
      </c>
      <c r="D3" t="s">
        <v>351</v>
      </c>
      <c r="E3">
        <v>4</v>
      </c>
      <c r="F3" s="166">
        <v>348.25</v>
      </c>
      <c r="G3">
        <v>1393</v>
      </c>
    </row>
    <row r="4" spans="1:7" hidden="1">
      <c r="A4" t="s">
        <v>349</v>
      </c>
      <c r="B4" s="165">
        <v>41697</v>
      </c>
      <c r="C4" t="s">
        <v>352</v>
      </c>
      <c r="D4" t="s">
        <v>353</v>
      </c>
      <c r="E4">
        <v>2</v>
      </c>
      <c r="F4" s="166">
        <v>775</v>
      </c>
      <c r="G4">
        <v>1550</v>
      </c>
    </row>
    <row r="5" spans="1:7" hidden="1">
      <c r="A5" t="s">
        <v>349</v>
      </c>
      <c r="B5" s="165">
        <v>41697</v>
      </c>
      <c r="C5" t="s">
        <v>352</v>
      </c>
      <c r="D5" t="s">
        <v>353</v>
      </c>
      <c r="E5">
        <v>4</v>
      </c>
      <c r="F5" s="166">
        <v>850</v>
      </c>
      <c r="G5">
        <v>3400</v>
      </c>
    </row>
    <row r="6" spans="1:7" hidden="1">
      <c r="A6" t="s">
        <v>349</v>
      </c>
      <c r="B6" s="165">
        <v>41697</v>
      </c>
      <c r="C6" t="s">
        <v>350</v>
      </c>
      <c r="D6" t="s">
        <v>351</v>
      </c>
      <c r="E6">
        <v>2</v>
      </c>
      <c r="F6" s="166">
        <v>425</v>
      </c>
      <c r="G6">
        <v>850</v>
      </c>
    </row>
    <row r="7" spans="1:7" hidden="1">
      <c r="A7" t="s">
        <v>349</v>
      </c>
      <c r="B7" s="165">
        <v>41697</v>
      </c>
      <c r="C7" t="s">
        <v>350</v>
      </c>
      <c r="D7" t="s">
        <v>351</v>
      </c>
      <c r="E7">
        <v>3</v>
      </c>
      <c r="F7" s="166">
        <v>625</v>
      </c>
      <c r="G7">
        <v>1875</v>
      </c>
    </row>
    <row r="8" spans="1:7">
      <c r="A8" t="s">
        <v>349</v>
      </c>
      <c r="B8" s="165">
        <v>41704</v>
      </c>
      <c r="C8" t="s">
        <v>354</v>
      </c>
      <c r="D8" t="s">
        <v>355</v>
      </c>
      <c r="E8">
        <v>4</v>
      </c>
      <c r="F8" s="166">
        <v>1150</v>
      </c>
      <c r="G8">
        <v>4600</v>
      </c>
    </row>
    <row r="9" spans="1:7" hidden="1">
      <c r="A9" t="s">
        <v>349</v>
      </c>
      <c r="B9" s="165">
        <v>41704</v>
      </c>
      <c r="C9" t="s">
        <v>350</v>
      </c>
      <c r="D9" t="s">
        <v>351</v>
      </c>
      <c r="E9">
        <v>8</v>
      </c>
      <c r="F9" s="166">
        <v>725</v>
      </c>
      <c r="G9">
        <v>5800</v>
      </c>
    </row>
    <row r="10" spans="1:7" hidden="1">
      <c r="A10" t="s">
        <v>349</v>
      </c>
      <c r="B10" s="165">
        <v>41711</v>
      </c>
      <c r="C10" t="s">
        <v>356</v>
      </c>
      <c r="D10" t="s">
        <v>357</v>
      </c>
      <c r="E10">
        <v>15</v>
      </c>
      <c r="F10" s="166">
        <v>245</v>
      </c>
      <c r="G10">
        <v>3675</v>
      </c>
    </row>
    <row r="11" spans="1:7" hidden="1">
      <c r="A11" t="s">
        <v>349</v>
      </c>
      <c r="B11" s="165">
        <v>41711</v>
      </c>
      <c r="C11" t="s">
        <v>350</v>
      </c>
      <c r="D11" t="s">
        <v>351</v>
      </c>
      <c r="E11">
        <v>2</v>
      </c>
      <c r="F11" s="166">
        <v>450</v>
      </c>
      <c r="G11">
        <v>900</v>
      </c>
    </row>
    <row r="12" spans="1:7" hidden="1">
      <c r="A12" t="s">
        <v>349</v>
      </c>
      <c r="B12" s="165">
        <v>41711</v>
      </c>
      <c r="C12" t="s">
        <v>350</v>
      </c>
      <c r="D12" t="s">
        <v>351</v>
      </c>
      <c r="E12">
        <v>5</v>
      </c>
      <c r="F12" s="166">
        <v>342</v>
      </c>
      <c r="G12">
        <v>1710</v>
      </c>
    </row>
    <row r="13" spans="1:7" hidden="1">
      <c r="A13" t="s">
        <v>349</v>
      </c>
      <c r="B13" s="165">
        <v>41711</v>
      </c>
      <c r="C13" t="s">
        <v>350</v>
      </c>
      <c r="D13" t="s">
        <v>351</v>
      </c>
      <c r="E13">
        <v>10</v>
      </c>
      <c r="F13" s="166">
        <v>475</v>
      </c>
      <c r="G13">
        <v>4750</v>
      </c>
    </row>
    <row r="14" spans="1:7" hidden="1">
      <c r="A14" t="s">
        <v>349</v>
      </c>
      <c r="B14" s="165">
        <v>41718</v>
      </c>
      <c r="C14" t="s">
        <v>358</v>
      </c>
      <c r="D14" t="s">
        <v>359</v>
      </c>
      <c r="E14">
        <v>8</v>
      </c>
      <c r="F14" s="166">
        <v>555.5</v>
      </c>
      <c r="G14">
        <v>4444</v>
      </c>
    </row>
    <row r="15" spans="1:7">
      <c r="A15" t="s">
        <v>349</v>
      </c>
      <c r="B15" s="165">
        <v>41718</v>
      </c>
      <c r="C15" t="s">
        <v>354</v>
      </c>
      <c r="D15" t="s">
        <v>355</v>
      </c>
      <c r="E15">
        <v>7</v>
      </c>
      <c r="F15" s="166">
        <v>735</v>
      </c>
      <c r="G15">
        <v>5145</v>
      </c>
    </row>
    <row r="16" spans="1:7" hidden="1">
      <c r="A16" t="s">
        <v>349</v>
      </c>
      <c r="B16" s="165">
        <v>41718</v>
      </c>
      <c r="C16" t="s">
        <v>352</v>
      </c>
      <c r="D16" t="s">
        <v>353</v>
      </c>
      <c r="E16">
        <v>11</v>
      </c>
      <c r="F16" s="166">
        <v>850</v>
      </c>
      <c r="G16">
        <v>9350</v>
      </c>
    </row>
    <row r="17" spans="1:7" hidden="1">
      <c r="A17" t="s">
        <v>349</v>
      </c>
      <c r="B17" s="165">
        <v>41718</v>
      </c>
      <c r="C17" t="s">
        <v>350</v>
      </c>
      <c r="D17" t="s">
        <v>351</v>
      </c>
      <c r="E17">
        <v>8</v>
      </c>
      <c r="F17" s="166">
        <v>489</v>
      </c>
      <c r="G17">
        <v>3912</v>
      </c>
    </row>
    <row r="18" spans="1:7" hidden="1">
      <c r="A18" t="s">
        <v>349</v>
      </c>
      <c r="B18" s="165">
        <v>41718</v>
      </c>
      <c r="C18" t="s">
        <v>350</v>
      </c>
      <c r="D18" t="s">
        <v>351</v>
      </c>
      <c r="E18">
        <v>10</v>
      </c>
      <c r="F18" s="166">
        <v>494.4</v>
      </c>
      <c r="G18">
        <v>4944</v>
      </c>
    </row>
    <row r="19" spans="1:7">
      <c r="A19" t="s">
        <v>349</v>
      </c>
      <c r="B19" s="165">
        <v>41739</v>
      </c>
      <c r="C19" t="s">
        <v>354</v>
      </c>
      <c r="D19" t="s">
        <v>355</v>
      </c>
      <c r="E19">
        <v>3</v>
      </c>
      <c r="F19" s="166">
        <v>850</v>
      </c>
      <c r="G19">
        <v>2550</v>
      </c>
    </row>
    <row r="20" spans="1:7">
      <c r="A20" t="s">
        <v>349</v>
      </c>
      <c r="B20" s="165">
        <v>41739</v>
      </c>
      <c r="C20" t="s">
        <v>354</v>
      </c>
      <c r="D20" t="s">
        <v>355</v>
      </c>
      <c r="E20">
        <v>8</v>
      </c>
      <c r="F20" s="166">
        <v>492.5</v>
      </c>
      <c r="G20">
        <v>3940</v>
      </c>
    </row>
    <row r="21" spans="1:7">
      <c r="A21" t="s">
        <v>349</v>
      </c>
      <c r="B21" s="165">
        <v>41739</v>
      </c>
      <c r="C21" t="s">
        <v>354</v>
      </c>
      <c r="D21" t="s">
        <v>355</v>
      </c>
      <c r="E21">
        <v>10</v>
      </c>
      <c r="F21" s="166">
        <v>492.5</v>
      </c>
      <c r="G21">
        <v>4925</v>
      </c>
    </row>
    <row r="22" spans="1:7">
      <c r="A22" t="s">
        <v>349</v>
      </c>
      <c r="B22" s="165">
        <v>41739</v>
      </c>
      <c r="C22" t="s">
        <v>354</v>
      </c>
      <c r="D22" t="s">
        <v>355</v>
      </c>
      <c r="E22">
        <v>12</v>
      </c>
      <c r="F22" s="166">
        <v>492.5</v>
      </c>
      <c r="G22">
        <v>5910</v>
      </c>
    </row>
    <row r="23" spans="1:7">
      <c r="A23" t="s">
        <v>349</v>
      </c>
      <c r="B23" s="165">
        <v>41739</v>
      </c>
      <c r="C23" t="s">
        <v>354</v>
      </c>
      <c r="D23" t="s">
        <v>355</v>
      </c>
      <c r="E23">
        <v>12</v>
      </c>
      <c r="F23" s="166">
        <v>492.5</v>
      </c>
      <c r="G23">
        <v>5910</v>
      </c>
    </row>
    <row r="24" spans="1:7">
      <c r="A24" t="s">
        <v>349</v>
      </c>
      <c r="B24" s="165">
        <v>41739</v>
      </c>
      <c r="C24" t="s">
        <v>354</v>
      </c>
      <c r="D24" t="s">
        <v>355</v>
      </c>
      <c r="E24">
        <v>16</v>
      </c>
      <c r="F24" s="166">
        <v>492.5</v>
      </c>
      <c r="G24">
        <v>7880</v>
      </c>
    </row>
    <row r="25" spans="1:7" hidden="1">
      <c r="A25" t="s">
        <v>349</v>
      </c>
      <c r="B25" s="165">
        <v>41739</v>
      </c>
      <c r="C25" t="s">
        <v>352</v>
      </c>
      <c r="D25" t="s">
        <v>353</v>
      </c>
      <c r="E25">
        <v>4</v>
      </c>
      <c r="F25" s="166">
        <v>540</v>
      </c>
      <c r="G25">
        <v>2160</v>
      </c>
    </row>
    <row r="26" spans="1:7" hidden="1">
      <c r="A26" t="s">
        <v>349</v>
      </c>
      <c r="B26" s="165">
        <v>41739</v>
      </c>
      <c r="C26" t="s">
        <v>350</v>
      </c>
      <c r="D26" t="s">
        <v>351</v>
      </c>
      <c r="E26">
        <v>4</v>
      </c>
      <c r="F26" s="166">
        <v>306</v>
      </c>
      <c r="G26">
        <v>1224</v>
      </c>
    </row>
    <row r="27" spans="1:7" hidden="1">
      <c r="A27" t="s">
        <v>349</v>
      </c>
      <c r="B27" s="165">
        <v>41739</v>
      </c>
      <c r="C27" t="s">
        <v>350</v>
      </c>
      <c r="D27" t="s">
        <v>351</v>
      </c>
      <c r="E27">
        <v>3</v>
      </c>
      <c r="F27" s="166">
        <v>625</v>
      </c>
      <c r="G27">
        <v>1875</v>
      </c>
    </row>
    <row r="28" spans="1:7" hidden="1">
      <c r="A28" t="s">
        <v>349</v>
      </c>
      <c r="B28" s="165">
        <v>41739</v>
      </c>
      <c r="C28" t="s">
        <v>350</v>
      </c>
      <c r="D28" t="s">
        <v>351</v>
      </c>
      <c r="E28">
        <v>4</v>
      </c>
      <c r="F28" s="166">
        <v>1034.75</v>
      </c>
      <c r="G28">
        <v>4139</v>
      </c>
    </row>
    <row r="29" spans="1:7" hidden="1">
      <c r="A29" t="s">
        <v>349</v>
      </c>
      <c r="B29" s="165">
        <v>41746</v>
      </c>
      <c r="C29" t="s">
        <v>352</v>
      </c>
      <c r="D29" t="s">
        <v>353</v>
      </c>
      <c r="E29">
        <v>1</v>
      </c>
      <c r="F29" s="166">
        <v>998</v>
      </c>
      <c r="G29">
        <v>998</v>
      </c>
    </row>
    <row r="30" spans="1:7" hidden="1">
      <c r="A30" t="s">
        <v>349</v>
      </c>
      <c r="B30" s="165">
        <v>41746</v>
      </c>
      <c r="C30" t="s">
        <v>350</v>
      </c>
      <c r="D30" t="s">
        <v>351</v>
      </c>
      <c r="E30">
        <v>10</v>
      </c>
      <c r="F30" s="166">
        <v>480</v>
      </c>
      <c r="G30">
        <v>4800</v>
      </c>
    </row>
    <row r="31" spans="1:7">
      <c r="A31" t="s">
        <v>349</v>
      </c>
      <c r="B31" s="165">
        <v>41753</v>
      </c>
      <c r="C31" t="s">
        <v>354</v>
      </c>
      <c r="D31" t="s">
        <v>355</v>
      </c>
      <c r="E31">
        <v>2</v>
      </c>
      <c r="F31" s="166">
        <v>780</v>
      </c>
      <c r="G31">
        <v>1560</v>
      </c>
    </row>
    <row r="32" spans="1:7">
      <c r="A32" t="s">
        <v>349</v>
      </c>
      <c r="B32" s="165">
        <v>41753</v>
      </c>
      <c r="C32" t="s">
        <v>354</v>
      </c>
      <c r="D32" t="s">
        <v>355</v>
      </c>
      <c r="E32">
        <v>6</v>
      </c>
      <c r="F32" s="166">
        <v>525</v>
      </c>
      <c r="G32">
        <v>3150</v>
      </c>
    </row>
    <row r="33" spans="1:7">
      <c r="A33" t="s">
        <v>349</v>
      </c>
      <c r="B33" s="165">
        <v>41753</v>
      </c>
      <c r="C33" t="s">
        <v>354</v>
      </c>
      <c r="D33" t="s">
        <v>355</v>
      </c>
      <c r="E33">
        <v>9</v>
      </c>
      <c r="F33" s="166">
        <v>492.55555555555554</v>
      </c>
      <c r="G33">
        <v>4433</v>
      </c>
    </row>
    <row r="34" spans="1:7">
      <c r="A34" t="s">
        <v>349</v>
      </c>
      <c r="B34" s="165">
        <v>41753</v>
      </c>
      <c r="C34" t="s">
        <v>354</v>
      </c>
      <c r="D34" t="s">
        <v>355</v>
      </c>
      <c r="E34">
        <v>10</v>
      </c>
      <c r="F34" s="166">
        <v>492.5</v>
      </c>
      <c r="G34">
        <v>4925</v>
      </c>
    </row>
    <row r="35" spans="1:7" hidden="1">
      <c r="A35" t="s">
        <v>349</v>
      </c>
      <c r="B35" s="165">
        <v>41753</v>
      </c>
      <c r="C35" t="s">
        <v>356</v>
      </c>
      <c r="D35" t="s">
        <v>357</v>
      </c>
      <c r="E35">
        <v>2</v>
      </c>
      <c r="F35" s="166">
        <v>349</v>
      </c>
      <c r="G35">
        <v>698</v>
      </c>
    </row>
    <row r="36" spans="1:7" hidden="1">
      <c r="A36" t="s">
        <v>349</v>
      </c>
      <c r="B36" s="165">
        <v>41753</v>
      </c>
      <c r="C36" t="s">
        <v>356</v>
      </c>
      <c r="D36" t="s">
        <v>357</v>
      </c>
      <c r="E36">
        <v>3</v>
      </c>
      <c r="F36" s="166">
        <v>400</v>
      </c>
      <c r="G36">
        <v>1200</v>
      </c>
    </row>
    <row r="37" spans="1:7" hidden="1">
      <c r="A37" t="s">
        <v>349</v>
      </c>
      <c r="B37" s="165">
        <v>41753</v>
      </c>
      <c r="C37" t="s">
        <v>350</v>
      </c>
      <c r="D37" t="s">
        <v>351</v>
      </c>
      <c r="E37">
        <v>8</v>
      </c>
      <c r="F37" s="166">
        <v>387.75</v>
      </c>
      <c r="G37">
        <v>3102</v>
      </c>
    </row>
    <row r="38" spans="1:7" hidden="1">
      <c r="A38" t="s">
        <v>349</v>
      </c>
      <c r="B38" s="165">
        <v>41753</v>
      </c>
      <c r="C38" t="s">
        <v>350</v>
      </c>
      <c r="D38" t="s">
        <v>351</v>
      </c>
      <c r="E38">
        <v>8</v>
      </c>
      <c r="F38" s="166">
        <v>603.125</v>
      </c>
      <c r="G38">
        <v>4825</v>
      </c>
    </row>
    <row r="39" spans="1:7">
      <c r="A39" t="s">
        <v>349</v>
      </c>
      <c r="B39" s="165">
        <v>41760</v>
      </c>
      <c r="C39" t="s">
        <v>354</v>
      </c>
      <c r="D39" t="s">
        <v>355</v>
      </c>
      <c r="E39">
        <v>2</v>
      </c>
      <c r="F39" s="166">
        <v>409</v>
      </c>
      <c r="G39">
        <v>818</v>
      </c>
    </row>
    <row r="40" spans="1:7">
      <c r="A40" t="s">
        <v>349</v>
      </c>
      <c r="B40" s="165">
        <v>41760</v>
      </c>
      <c r="C40" t="s">
        <v>354</v>
      </c>
      <c r="D40" t="s">
        <v>355</v>
      </c>
      <c r="E40">
        <v>2</v>
      </c>
      <c r="F40" s="166">
        <v>675</v>
      </c>
      <c r="G40">
        <v>1350</v>
      </c>
    </row>
    <row r="41" spans="1:7" hidden="1">
      <c r="A41" t="s">
        <v>349</v>
      </c>
      <c r="B41" s="165">
        <v>41760</v>
      </c>
      <c r="C41" t="s">
        <v>356</v>
      </c>
      <c r="D41" t="s">
        <v>357</v>
      </c>
      <c r="E41">
        <v>4</v>
      </c>
      <c r="F41" s="166">
        <v>226</v>
      </c>
      <c r="G41">
        <v>904</v>
      </c>
    </row>
    <row r="42" spans="1:7" hidden="1">
      <c r="A42" t="s">
        <v>349</v>
      </c>
      <c r="B42" s="165">
        <v>41760</v>
      </c>
      <c r="C42" t="s">
        <v>356</v>
      </c>
      <c r="D42" t="s">
        <v>357</v>
      </c>
      <c r="E42">
        <v>18</v>
      </c>
      <c r="F42" s="166">
        <v>230.33333333333334</v>
      </c>
      <c r="G42">
        <v>4146</v>
      </c>
    </row>
    <row r="43" spans="1:7" hidden="1">
      <c r="A43" t="s">
        <v>349</v>
      </c>
      <c r="B43" s="165">
        <v>41760</v>
      </c>
      <c r="C43" t="s">
        <v>350</v>
      </c>
      <c r="D43" t="s">
        <v>351</v>
      </c>
      <c r="E43">
        <v>8</v>
      </c>
      <c r="F43" s="166">
        <v>350</v>
      </c>
      <c r="G43">
        <v>2800</v>
      </c>
    </row>
    <row r="44" spans="1:7" hidden="1">
      <c r="A44" t="s">
        <v>349</v>
      </c>
      <c r="B44" s="165">
        <v>41760</v>
      </c>
      <c r="C44" t="s">
        <v>350</v>
      </c>
      <c r="D44" t="s">
        <v>351</v>
      </c>
      <c r="E44">
        <v>11</v>
      </c>
      <c r="F44" s="166">
        <v>500</v>
      </c>
      <c r="G44">
        <v>5500</v>
      </c>
    </row>
    <row r="45" spans="1:7" hidden="1">
      <c r="A45" t="s">
        <v>349</v>
      </c>
      <c r="B45" s="165">
        <v>41767</v>
      </c>
      <c r="C45" t="s">
        <v>358</v>
      </c>
      <c r="D45" t="s">
        <v>359</v>
      </c>
      <c r="E45">
        <v>3</v>
      </c>
      <c r="F45" s="166">
        <v>625</v>
      </c>
      <c r="G45">
        <v>1875</v>
      </c>
    </row>
    <row r="46" spans="1:7">
      <c r="A46" t="s">
        <v>349</v>
      </c>
      <c r="B46" s="165">
        <v>41767</v>
      </c>
      <c r="C46" t="s">
        <v>354</v>
      </c>
      <c r="D46" t="s">
        <v>355</v>
      </c>
      <c r="E46">
        <v>20</v>
      </c>
      <c r="F46" s="166">
        <v>492.5</v>
      </c>
      <c r="G46">
        <v>9850</v>
      </c>
    </row>
    <row r="47" spans="1:7">
      <c r="A47" t="s">
        <v>349</v>
      </c>
      <c r="B47" s="165">
        <v>41767</v>
      </c>
      <c r="C47" t="s">
        <v>354</v>
      </c>
      <c r="D47" t="s">
        <v>355</v>
      </c>
      <c r="E47">
        <v>18</v>
      </c>
      <c r="F47" s="166">
        <v>550</v>
      </c>
      <c r="G47">
        <v>9900</v>
      </c>
    </row>
    <row r="48" spans="1:7">
      <c r="A48" t="s">
        <v>349</v>
      </c>
      <c r="B48" s="165">
        <v>41767</v>
      </c>
      <c r="C48" t="s">
        <v>354</v>
      </c>
      <c r="D48" t="s">
        <v>355</v>
      </c>
      <c r="E48">
        <v>11</v>
      </c>
      <c r="F48" s="166">
        <v>1048.5454545454545</v>
      </c>
      <c r="G48">
        <v>11534</v>
      </c>
    </row>
    <row r="49" spans="1:7" hidden="1">
      <c r="A49" t="s">
        <v>349</v>
      </c>
      <c r="B49" s="165">
        <v>41767</v>
      </c>
      <c r="C49" t="s">
        <v>356</v>
      </c>
      <c r="D49" t="s">
        <v>357</v>
      </c>
      <c r="E49">
        <v>4</v>
      </c>
      <c r="F49" s="166">
        <v>273.75</v>
      </c>
      <c r="G49">
        <v>1095</v>
      </c>
    </row>
    <row r="50" spans="1:7" hidden="1">
      <c r="A50" t="s">
        <v>349</v>
      </c>
      <c r="B50" s="165">
        <v>41767</v>
      </c>
      <c r="C50" t="s">
        <v>356</v>
      </c>
      <c r="D50" t="s">
        <v>357</v>
      </c>
      <c r="E50">
        <v>5</v>
      </c>
      <c r="F50" s="166">
        <v>280</v>
      </c>
      <c r="G50">
        <v>1400</v>
      </c>
    </row>
    <row r="51" spans="1:7" hidden="1">
      <c r="A51" t="s">
        <v>349</v>
      </c>
      <c r="B51" s="165">
        <v>41767</v>
      </c>
      <c r="C51" t="s">
        <v>350</v>
      </c>
      <c r="D51" t="s">
        <v>351</v>
      </c>
      <c r="E51">
        <v>12</v>
      </c>
      <c r="F51" s="166">
        <v>485.41666666666669</v>
      </c>
      <c r="G51">
        <v>5825</v>
      </c>
    </row>
    <row r="52" spans="1:7">
      <c r="A52" t="s">
        <v>349</v>
      </c>
      <c r="B52" s="165">
        <v>41774</v>
      </c>
      <c r="C52" t="s">
        <v>354</v>
      </c>
      <c r="D52" t="s">
        <v>355</v>
      </c>
      <c r="E52">
        <v>6</v>
      </c>
      <c r="F52" s="166">
        <v>695</v>
      </c>
      <c r="G52">
        <v>4170</v>
      </c>
    </row>
    <row r="53" spans="1:7">
      <c r="A53" t="s">
        <v>349</v>
      </c>
      <c r="B53" s="165">
        <v>41774</v>
      </c>
      <c r="C53" t="s">
        <v>354</v>
      </c>
      <c r="D53" t="s">
        <v>355</v>
      </c>
      <c r="E53">
        <v>20</v>
      </c>
      <c r="F53" s="166">
        <v>575</v>
      </c>
      <c r="G53">
        <v>11500</v>
      </c>
    </row>
    <row r="54" spans="1:7" hidden="1">
      <c r="A54" t="s">
        <v>349</v>
      </c>
      <c r="B54" s="165">
        <v>41774</v>
      </c>
      <c r="C54" t="s">
        <v>352</v>
      </c>
      <c r="D54" t="s">
        <v>353</v>
      </c>
      <c r="E54">
        <v>2</v>
      </c>
      <c r="F54" s="166">
        <v>807</v>
      </c>
      <c r="G54">
        <v>1614</v>
      </c>
    </row>
    <row r="55" spans="1:7" hidden="1">
      <c r="A55" t="s">
        <v>349</v>
      </c>
      <c r="B55" s="165">
        <v>41774</v>
      </c>
      <c r="C55" t="s">
        <v>356</v>
      </c>
      <c r="D55" t="s">
        <v>357</v>
      </c>
      <c r="E55">
        <v>2</v>
      </c>
      <c r="F55" s="166">
        <v>164.5</v>
      </c>
      <c r="G55">
        <v>329</v>
      </c>
    </row>
    <row r="56" spans="1:7" hidden="1">
      <c r="A56" t="s">
        <v>349</v>
      </c>
      <c r="B56" s="165">
        <v>41774</v>
      </c>
      <c r="C56" t="s">
        <v>356</v>
      </c>
      <c r="D56" t="s">
        <v>357</v>
      </c>
      <c r="E56">
        <v>28</v>
      </c>
      <c r="F56" s="166">
        <v>325</v>
      </c>
      <c r="G56">
        <v>9100</v>
      </c>
    </row>
    <row r="57" spans="1:7" hidden="1">
      <c r="A57" t="s">
        <v>349</v>
      </c>
      <c r="B57" s="165">
        <v>41774</v>
      </c>
      <c r="C57" t="s">
        <v>350</v>
      </c>
      <c r="D57" t="s">
        <v>351</v>
      </c>
      <c r="E57">
        <v>1</v>
      </c>
      <c r="F57" s="166">
        <v>365</v>
      </c>
      <c r="G57">
        <v>365</v>
      </c>
    </row>
    <row r="58" spans="1:7" hidden="1">
      <c r="A58" t="s">
        <v>349</v>
      </c>
      <c r="B58" s="165">
        <v>41774</v>
      </c>
      <c r="C58" t="s">
        <v>350</v>
      </c>
      <c r="D58" t="s">
        <v>351</v>
      </c>
      <c r="E58">
        <v>1</v>
      </c>
      <c r="F58" s="166">
        <v>471</v>
      </c>
      <c r="G58">
        <v>471</v>
      </c>
    </row>
    <row r="59" spans="1:7" hidden="1">
      <c r="A59" t="s">
        <v>349</v>
      </c>
      <c r="B59" s="165">
        <v>41774</v>
      </c>
      <c r="C59" t="s">
        <v>350</v>
      </c>
      <c r="D59" t="s">
        <v>351</v>
      </c>
      <c r="E59">
        <v>7</v>
      </c>
      <c r="F59" s="166">
        <v>575</v>
      </c>
      <c r="G59">
        <v>4025</v>
      </c>
    </row>
    <row r="60" spans="1:7" hidden="1">
      <c r="A60" t="s">
        <v>349</v>
      </c>
      <c r="B60" s="165">
        <v>41774</v>
      </c>
      <c r="C60" t="s">
        <v>350</v>
      </c>
      <c r="D60" t="s">
        <v>351</v>
      </c>
      <c r="E60">
        <v>12</v>
      </c>
      <c r="F60" s="166">
        <v>525</v>
      </c>
      <c r="G60">
        <v>6300</v>
      </c>
    </row>
    <row r="61" spans="1:7" hidden="1">
      <c r="A61" t="s">
        <v>349</v>
      </c>
      <c r="B61" s="165">
        <v>41781</v>
      </c>
      <c r="C61" t="s">
        <v>356</v>
      </c>
      <c r="D61" t="s">
        <v>357</v>
      </c>
      <c r="E61">
        <v>18</v>
      </c>
      <c r="F61" s="166">
        <v>253.11111111111111</v>
      </c>
      <c r="G61">
        <v>4556</v>
      </c>
    </row>
    <row r="62" spans="1:7" hidden="1">
      <c r="A62" t="s">
        <v>349</v>
      </c>
      <c r="B62" s="165">
        <v>41781</v>
      </c>
      <c r="C62" t="s">
        <v>356</v>
      </c>
      <c r="D62" t="s">
        <v>357</v>
      </c>
      <c r="E62">
        <v>62</v>
      </c>
      <c r="F62" s="166">
        <v>303.22580645161293</v>
      </c>
      <c r="G62">
        <v>18800</v>
      </c>
    </row>
    <row r="63" spans="1:7" hidden="1">
      <c r="A63" t="s">
        <v>349</v>
      </c>
      <c r="B63" s="165">
        <v>41781</v>
      </c>
      <c r="C63" t="s">
        <v>350</v>
      </c>
      <c r="D63" t="s">
        <v>351</v>
      </c>
      <c r="E63">
        <v>7</v>
      </c>
      <c r="F63" s="166">
        <v>475</v>
      </c>
      <c r="G63">
        <v>3325</v>
      </c>
    </row>
    <row r="64" spans="1:7" hidden="1">
      <c r="A64" t="s">
        <v>349</v>
      </c>
      <c r="B64" s="165">
        <v>41788</v>
      </c>
      <c r="C64" t="s">
        <v>356</v>
      </c>
      <c r="D64" t="s">
        <v>357</v>
      </c>
      <c r="E64">
        <v>1</v>
      </c>
      <c r="F64" s="166">
        <v>150</v>
      </c>
      <c r="G64">
        <v>150</v>
      </c>
    </row>
    <row r="65" spans="1:7" hidden="1">
      <c r="A65" t="s">
        <v>349</v>
      </c>
      <c r="B65" s="165">
        <v>41788</v>
      </c>
      <c r="C65" t="s">
        <v>356</v>
      </c>
      <c r="D65" t="s">
        <v>357</v>
      </c>
      <c r="E65">
        <v>2</v>
      </c>
      <c r="F65" s="166">
        <v>150</v>
      </c>
      <c r="G65">
        <v>300</v>
      </c>
    </row>
    <row r="66" spans="1:7" hidden="1">
      <c r="A66" t="s">
        <v>349</v>
      </c>
      <c r="B66" s="165">
        <v>41788</v>
      </c>
      <c r="C66" t="s">
        <v>350</v>
      </c>
      <c r="D66" t="s">
        <v>351</v>
      </c>
      <c r="E66">
        <v>2</v>
      </c>
      <c r="F66" s="166">
        <v>360</v>
      </c>
      <c r="G66">
        <v>720</v>
      </c>
    </row>
    <row r="67" spans="1:7" hidden="1">
      <c r="A67" t="s">
        <v>349</v>
      </c>
      <c r="B67" s="165">
        <v>41788</v>
      </c>
      <c r="C67" t="s">
        <v>350</v>
      </c>
      <c r="D67" t="s">
        <v>351</v>
      </c>
      <c r="E67">
        <v>17</v>
      </c>
      <c r="F67" s="166">
        <v>795</v>
      </c>
      <c r="G67">
        <v>13515</v>
      </c>
    </row>
    <row r="68" spans="1:7" hidden="1">
      <c r="A68" t="s">
        <v>349</v>
      </c>
      <c r="B68" s="165">
        <v>41795</v>
      </c>
      <c r="C68" t="s">
        <v>358</v>
      </c>
      <c r="D68" t="s">
        <v>359</v>
      </c>
      <c r="E68">
        <v>11</v>
      </c>
      <c r="F68" s="166">
        <v>418.72727272727275</v>
      </c>
      <c r="G68">
        <v>4606</v>
      </c>
    </row>
    <row r="69" spans="1:7" hidden="1">
      <c r="A69" t="s">
        <v>349</v>
      </c>
      <c r="B69" s="165">
        <v>41795</v>
      </c>
      <c r="C69" t="s">
        <v>358</v>
      </c>
      <c r="D69" t="s">
        <v>359</v>
      </c>
      <c r="E69">
        <v>8</v>
      </c>
      <c r="F69" s="166">
        <v>620.125</v>
      </c>
      <c r="G69">
        <v>4961</v>
      </c>
    </row>
    <row r="70" spans="1:7">
      <c r="A70" t="s">
        <v>349</v>
      </c>
      <c r="B70" s="165">
        <v>41795</v>
      </c>
      <c r="C70" t="s">
        <v>354</v>
      </c>
      <c r="D70" t="s">
        <v>355</v>
      </c>
      <c r="E70">
        <v>36</v>
      </c>
      <c r="F70" s="166">
        <v>359</v>
      </c>
      <c r="G70">
        <v>12924</v>
      </c>
    </row>
    <row r="71" spans="1:7" hidden="1">
      <c r="A71" t="s">
        <v>349</v>
      </c>
      <c r="B71" s="165">
        <v>41795</v>
      </c>
      <c r="C71" t="s">
        <v>356</v>
      </c>
      <c r="D71" t="s">
        <v>357</v>
      </c>
      <c r="E71">
        <v>2</v>
      </c>
      <c r="F71" s="166">
        <v>247</v>
      </c>
      <c r="G71">
        <v>494</v>
      </c>
    </row>
    <row r="72" spans="1:7" hidden="1">
      <c r="A72" t="s">
        <v>349</v>
      </c>
      <c r="B72" s="165">
        <v>41795</v>
      </c>
      <c r="C72" t="s">
        <v>356</v>
      </c>
      <c r="D72" t="s">
        <v>357</v>
      </c>
      <c r="E72">
        <v>38</v>
      </c>
      <c r="F72" s="166">
        <v>185</v>
      </c>
      <c r="G72">
        <v>7030</v>
      </c>
    </row>
    <row r="73" spans="1:7" hidden="1">
      <c r="A73" t="s">
        <v>349</v>
      </c>
      <c r="B73" s="165">
        <v>41795</v>
      </c>
      <c r="C73" t="s">
        <v>350</v>
      </c>
      <c r="D73" t="s">
        <v>351</v>
      </c>
      <c r="E73">
        <v>2</v>
      </c>
      <c r="F73" s="166">
        <v>675</v>
      </c>
      <c r="G73">
        <v>1350</v>
      </c>
    </row>
    <row r="74" spans="1:7" hidden="1">
      <c r="A74" t="s">
        <v>349</v>
      </c>
      <c r="B74" s="165">
        <v>41795</v>
      </c>
      <c r="C74" t="s">
        <v>350</v>
      </c>
      <c r="D74" t="s">
        <v>351</v>
      </c>
      <c r="E74">
        <v>11</v>
      </c>
      <c r="F74" s="166">
        <v>499</v>
      </c>
      <c r="G74">
        <v>5489</v>
      </c>
    </row>
    <row r="75" spans="1:7" hidden="1">
      <c r="A75" t="s">
        <v>349</v>
      </c>
      <c r="B75" s="165">
        <v>41795</v>
      </c>
      <c r="C75" t="s">
        <v>350</v>
      </c>
      <c r="D75" t="s">
        <v>351</v>
      </c>
      <c r="E75">
        <v>20</v>
      </c>
      <c r="F75" s="166">
        <v>517</v>
      </c>
      <c r="G75">
        <v>10340</v>
      </c>
    </row>
    <row r="76" spans="1:7" hidden="1">
      <c r="A76" t="s">
        <v>349</v>
      </c>
      <c r="B76" s="165">
        <v>41802</v>
      </c>
      <c r="C76" t="s">
        <v>358</v>
      </c>
      <c r="D76" t="s">
        <v>359</v>
      </c>
      <c r="E76">
        <v>8</v>
      </c>
      <c r="F76" s="166">
        <v>650</v>
      </c>
      <c r="G76">
        <v>5200</v>
      </c>
    </row>
    <row r="77" spans="1:7" hidden="1">
      <c r="A77" t="s">
        <v>349</v>
      </c>
      <c r="B77" s="165">
        <v>41802</v>
      </c>
      <c r="C77" t="s">
        <v>358</v>
      </c>
      <c r="D77" t="s">
        <v>359</v>
      </c>
      <c r="E77">
        <v>12</v>
      </c>
      <c r="F77" s="166">
        <v>650</v>
      </c>
      <c r="G77">
        <v>7800</v>
      </c>
    </row>
    <row r="78" spans="1:7" hidden="1">
      <c r="A78" t="s">
        <v>349</v>
      </c>
      <c r="B78" s="165">
        <v>41802</v>
      </c>
      <c r="C78" t="s">
        <v>352</v>
      </c>
      <c r="D78" t="s">
        <v>353</v>
      </c>
      <c r="E78">
        <v>5</v>
      </c>
      <c r="F78" s="166">
        <v>962</v>
      </c>
      <c r="G78">
        <v>4810</v>
      </c>
    </row>
    <row r="79" spans="1:7" hidden="1">
      <c r="A79" t="s">
        <v>349</v>
      </c>
      <c r="B79" s="165">
        <v>41802</v>
      </c>
      <c r="C79" t="s">
        <v>350</v>
      </c>
      <c r="D79" t="s">
        <v>351</v>
      </c>
      <c r="E79">
        <v>4</v>
      </c>
      <c r="F79" s="166">
        <v>525</v>
      </c>
      <c r="G79">
        <v>2100</v>
      </c>
    </row>
    <row r="80" spans="1:7">
      <c r="A80" t="s">
        <v>349</v>
      </c>
      <c r="B80" s="165">
        <v>41810</v>
      </c>
      <c r="C80" t="s">
        <v>354</v>
      </c>
      <c r="D80" t="s">
        <v>355</v>
      </c>
      <c r="E80">
        <v>21</v>
      </c>
      <c r="F80" s="166">
        <v>1062.3809523809523</v>
      </c>
      <c r="G80">
        <v>22310</v>
      </c>
    </row>
    <row r="81" spans="1:7" hidden="1">
      <c r="A81" t="s">
        <v>349</v>
      </c>
      <c r="B81" s="165">
        <v>41810</v>
      </c>
      <c r="C81" t="s">
        <v>350</v>
      </c>
      <c r="D81" t="s">
        <v>351</v>
      </c>
      <c r="E81">
        <v>1</v>
      </c>
      <c r="F81" s="166">
        <v>355</v>
      </c>
      <c r="G81">
        <v>355</v>
      </c>
    </row>
    <row r="82" spans="1:7" hidden="1">
      <c r="A82" t="s">
        <v>349</v>
      </c>
      <c r="B82" s="165">
        <v>41816</v>
      </c>
      <c r="C82" t="s">
        <v>358</v>
      </c>
      <c r="D82" t="s">
        <v>359</v>
      </c>
      <c r="E82">
        <v>10</v>
      </c>
      <c r="F82" s="166">
        <v>560</v>
      </c>
      <c r="G82">
        <v>5600</v>
      </c>
    </row>
    <row r="83" spans="1:7">
      <c r="A83" t="s">
        <v>349</v>
      </c>
      <c r="B83" s="165">
        <v>41816</v>
      </c>
      <c r="C83" t="s">
        <v>354</v>
      </c>
      <c r="D83" t="s">
        <v>355</v>
      </c>
      <c r="E83">
        <v>12</v>
      </c>
      <c r="F83" s="166">
        <v>320.25</v>
      </c>
      <c r="G83">
        <v>3843</v>
      </c>
    </row>
    <row r="84" spans="1:7">
      <c r="A84" t="s">
        <v>349</v>
      </c>
      <c r="B84" s="165">
        <v>41816</v>
      </c>
      <c r="C84" t="s">
        <v>354</v>
      </c>
      <c r="D84" t="s">
        <v>355</v>
      </c>
      <c r="E84">
        <v>10</v>
      </c>
      <c r="F84" s="166">
        <v>595</v>
      </c>
      <c r="G84">
        <v>5950</v>
      </c>
    </row>
    <row r="85" spans="1:7">
      <c r="A85" t="s">
        <v>349</v>
      </c>
      <c r="B85" s="165">
        <v>41816</v>
      </c>
      <c r="C85" t="s">
        <v>354</v>
      </c>
      <c r="D85" t="s">
        <v>355</v>
      </c>
      <c r="E85">
        <v>12</v>
      </c>
      <c r="F85" s="166">
        <v>501</v>
      </c>
      <c r="G85">
        <v>6012</v>
      </c>
    </row>
    <row r="86" spans="1:7">
      <c r="A86" t="s">
        <v>349</v>
      </c>
      <c r="B86" s="165">
        <v>41816</v>
      </c>
      <c r="C86" t="s">
        <v>354</v>
      </c>
      <c r="D86" t="s">
        <v>355</v>
      </c>
      <c r="E86">
        <v>16</v>
      </c>
      <c r="F86" s="166">
        <v>550</v>
      </c>
      <c r="G86">
        <v>8800</v>
      </c>
    </row>
    <row r="87" spans="1:7" hidden="1">
      <c r="A87" t="s">
        <v>349</v>
      </c>
      <c r="B87" s="165">
        <v>41816</v>
      </c>
      <c r="C87" t="s">
        <v>350</v>
      </c>
      <c r="D87" t="s">
        <v>351</v>
      </c>
      <c r="E87">
        <v>8</v>
      </c>
      <c r="F87" s="166">
        <v>175.375</v>
      </c>
      <c r="G87">
        <v>1403</v>
      </c>
    </row>
    <row r="88" spans="1:7" hidden="1">
      <c r="A88" t="s">
        <v>349</v>
      </c>
      <c r="B88" s="165">
        <v>41816</v>
      </c>
      <c r="C88" t="s">
        <v>350</v>
      </c>
      <c r="D88" t="s">
        <v>351</v>
      </c>
      <c r="E88">
        <v>2</v>
      </c>
      <c r="F88" s="166">
        <v>875</v>
      </c>
      <c r="G88">
        <v>1750</v>
      </c>
    </row>
    <row r="89" spans="1:7" hidden="1">
      <c r="A89" t="s">
        <v>349</v>
      </c>
      <c r="B89" s="165">
        <v>41816</v>
      </c>
      <c r="C89" t="s">
        <v>350</v>
      </c>
      <c r="D89" t="s">
        <v>351</v>
      </c>
      <c r="E89">
        <v>6</v>
      </c>
      <c r="F89" s="166">
        <v>322.66666666666669</v>
      </c>
      <c r="G89">
        <v>1936</v>
      </c>
    </row>
    <row r="90" spans="1:7" hidden="1">
      <c r="A90" t="s">
        <v>349</v>
      </c>
      <c r="B90" s="165">
        <v>41816</v>
      </c>
      <c r="C90" t="s">
        <v>350</v>
      </c>
      <c r="D90" t="s">
        <v>351</v>
      </c>
      <c r="E90">
        <v>5</v>
      </c>
      <c r="F90" s="166">
        <v>675</v>
      </c>
      <c r="G90">
        <v>3375</v>
      </c>
    </row>
    <row r="91" spans="1:7" hidden="1">
      <c r="A91" t="s">
        <v>349</v>
      </c>
      <c r="B91" s="165">
        <v>41816</v>
      </c>
      <c r="C91" t="s">
        <v>350</v>
      </c>
      <c r="D91" t="s">
        <v>351</v>
      </c>
      <c r="E91">
        <v>13</v>
      </c>
      <c r="F91" s="166">
        <v>519</v>
      </c>
      <c r="G91">
        <v>6747</v>
      </c>
    </row>
    <row r="92" spans="1:7" hidden="1">
      <c r="A92" t="s">
        <v>349</v>
      </c>
      <c r="B92" s="165">
        <v>41823</v>
      </c>
      <c r="C92" t="s">
        <v>358</v>
      </c>
      <c r="D92" t="s">
        <v>359</v>
      </c>
      <c r="E92">
        <v>3</v>
      </c>
      <c r="F92" s="166">
        <v>857</v>
      </c>
      <c r="G92">
        <v>2571</v>
      </c>
    </row>
    <row r="93" spans="1:7">
      <c r="A93" t="s">
        <v>349</v>
      </c>
      <c r="B93" s="165">
        <v>41823</v>
      </c>
      <c r="C93" t="s">
        <v>354</v>
      </c>
      <c r="D93" t="s">
        <v>355</v>
      </c>
      <c r="E93">
        <v>2</v>
      </c>
      <c r="F93" s="166">
        <v>480</v>
      </c>
      <c r="G93">
        <v>960</v>
      </c>
    </row>
    <row r="94" spans="1:7">
      <c r="A94" t="s">
        <v>349</v>
      </c>
      <c r="B94" s="165">
        <v>41823</v>
      </c>
      <c r="C94" t="s">
        <v>354</v>
      </c>
      <c r="D94" t="s">
        <v>355</v>
      </c>
      <c r="E94">
        <v>2</v>
      </c>
      <c r="F94" s="166">
        <v>648.5</v>
      </c>
      <c r="G94">
        <v>1297</v>
      </c>
    </row>
    <row r="95" spans="1:7">
      <c r="A95" t="s">
        <v>349</v>
      </c>
      <c r="B95" s="165">
        <v>41823</v>
      </c>
      <c r="C95" t="s">
        <v>354</v>
      </c>
      <c r="D95" t="s">
        <v>355</v>
      </c>
      <c r="E95">
        <v>6</v>
      </c>
      <c r="F95" s="166">
        <v>480</v>
      </c>
      <c r="G95">
        <v>2880</v>
      </c>
    </row>
    <row r="96" spans="1:7">
      <c r="A96" t="s">
        <v>349</v>
      </c>
      <c r="B96" s="165">
        <v>41823</v>
      </c>
      <c r="C96" t="s">
        <v>354</v>
      </c>
      <c r="D96" t="s">
        <v>355</v>
      </c>
      <c r="E96">
        <v>6</v>
      </c>
      <c r="F96" s="166">
        <v>641.66666666666663</v>
      </c>
      <c r="G96">
        <v>3850</v>
      </c>
    </row>
    <row r="97" spans="1:7">
      <c r="A97" t="s">
        <v>349</v>
      </c>
      <c r="B97" s="165">
        <v>41823</v>
      </c>
      <c r="C97" t="s">
        <v>354</v>
      </c>
      <c r="D97" t="s">
        <v>355</v>
      </c>
      <c r="E97">
        <v>6</v>
      </c>
      <c r="F97" s="166">
        <v>1034</v>
      </c>
      <c r="G97">
        <v>6204</v>
      </c>
    </row>
    <row r="98" spans="1:7" hidden="1">
      <c r="A98" t="s">
        <v>349</v>
      </c>
      <c r="B98" s="165">
        <v>41823</v>
      </c>
      <c r="C98" t="s">
        <v>350</v>
      </c>
      <c r="D98" t="s">
        <v>351</v>
      </c>
      <c r="E98">
        <v>1</v>
      </c>
      <c r="F98" s="166">
        <v>250</v>
      </c>
      <c r="G98">
        <v>250</v>
      </c>
    </row>
    <row r="99" spans="1:7" hidden="1">
      <c r="A99" t="s">
        <v>349</v>
      </c>
      <c r="B99" s="165">
        <v>41823</v>
      </c>
      <c r="C99" t="s">
        <v>350</v>
      </c>
      <c r="D99" t="s">
        <v>351</v>
      </c>
      <c r="E99">
        <v>2</v>
      </c>
      <c r="F99" s="166">
        <v>480</v>
      </c>
      <c r="G99">
        <v>960</v>
      </c>
    </row>
    <row r="100" spans="1:7" hidden="1">
      <c r="A100" t="s">
        <v>349</v>
      </c>
      <c r="B100" s="165">
        <v>41823</v>
      </c>
      <c r="C100" t="s">
        <v>350</v>
      </c>
      <c r="D100" t="s">
        <v>351</v>
      </c>
      <c r="E100">
        <v>2</v>
      </c>
      <c r="F100" s="166">
        <v>685</v>
      </c>
      <c r="G100">
        <v>1370</v>
      </c>
    </row>
    <row r="101" spans="1:7" hidden="1">
      <c r="A101" t="s">
        <v>349</v>
      </c>
      <c r="B101" s="165">
        <v>41823</v>
      </c>
      <c r="C101" t="s">
        <v>350</v>
      </c>
      <c r="D101" t="s">
        <v>351</v>
      </c>
      <c r="E101">
        <v>4</v>
      </c>
      <c r="F101" s="166">
        <v>800</v>
      </c>
      <c r="G101">
        <v>3200</v>
      </c>
    </row>
    <row r="102" spans="1:7" hidden="1">
      <c r="A102" t="s">
        <v>349</v>
      </c>
      <c r="B102" s="165">
        <v>41823</v>
      </c>
      <c r="C102" t="s">
        <v>350</v>
      </c>
      <c r="D102" t="s">
        <v>351</v>
      </c>
      <c r="E102">
        <v>8</v>
      </c>
      <c r="F102" s="166">
        <v>425</v>
      </c>
      <c r="G102">
        <v>3400</v>
      </c>
    </row>
    <row r="103" spans="1:7" hidden="1">
      <c r="A103" t="s">
        <v>349</v>
      </c>
      <c r="B103" s="165">
        <v>41823</v>
      </c>
      <c r="C103" t="s">
        <v>350</v>
      </c>
      <c r="D103" t="s">
        <v>351</v>
      </c>
      <c r="E103">
        <v>8</v>
      </c>
      <c r="F103" s="166">
        <v>494</v>
      </c>
      <c r="G103">
        <v>3952</v>
      </c>
    </row>
    <row r="104" spans="1:7" hidden="1">
      <c r="A104" t="s">
        <v>349</v>
      </c>
      <c r="B104" s="165">
        <v>41823</v>
      </c>
      <c r="C104" t="s">
        <v>350</v>
      </c>
      <c r="D104" t="s">
        <v>351</v>
      </c>
      <c r="E104">
        <v>19</v>
      </c>
      <c r="F104" s="166">
        <v>425</v>
      </c>
      <c r="G104">
        <v>8075</v>
      </c>
    </row>
    <row r="105" spans="1:7" hidden="1">
      <c r="A105" t="s">
        <v>349</v>
      </c>
      <c r="B105" s="165">
        <v>41823</v>
      </c>
      <c r="C105" t="s">
        <v>350</v>
      </c>
      <c r="D105" t="s">
        <v>351</v>
      </c>
      <c r="E105">
        <v>15</v>
      </c>
      <c r="F105" s="166">
        <v>544.20000000000005</v>
      </c>
      <c r="G105">
        <v>8163</v>
      </c>
    </row>
    <row r="106" spans="1:7">
      <c r="A106" t="s">
        <v>349</v>
      </c>
      <c r="B106" s="165">
        <v>41830</v>
      </c>
      <c r="C106" t="s">
        <v>354</v>
      </c>
      <c r="D106" t="s">
        <v>355</v>
      </c>
      <c r="E106">
        <v>10</v>
      </c>
      <c r="F106" s="166">
        <v>595</v>
      </c>
      <c r="G106">
        <v>5950</v>
      </c>
    </row>
    <row r="107" spans="1:7">
      <c r="A107" t="s">
        <v>349</v>
      </c>
      <c r="B107" s="165">
        <v>41830</v>
      </c>
      <c r="C107" t="s">
        <v>354</v>
      </c>
      <c r="D107" t="s">
        <v>355</v>
      </c>
      <c r="E107">
        <v>24</v>
      </c>
      <c r="F107" s="166">
        <v>406.33333333333331</v>
      </c>
      <c r="G107">
        <v>9752</v>
      </c>
    </row>
    <row r="108" spans="1:7" hidden="1">
      <c r="A108" t="s">
        <v>349</v>
      </c>
      <c r="B108" s="165">
        <v>41830</v>
      </c>
      <c r="C108" t="s">
        <v>352</v>
      </c>
      <c r="D108" t="s">
        <v>353</v>
      </c>
      <c r="E108">
        <v>5</v>
      </c>
      <c r="F108" s="166">
        <v>868</v>
      </c>
      <c r="G108">
        <v>4340</v>
      </c>
    </row>
    <row r="109" spans="1:7" hidden="1">
      <c r="A109" t="s">
        <v>349</v>
      </c>
      <c r="B109" s="165">
        <v>41830</v>
      </c>
      <c r="C109" t="s">
        <v>356</v>
      </c>
      <c r="D109" t="s">
        <v>357</v>
      </c>
      <c r="E109">
        <v>39</v>
      </c>
      <c r="F109" s="166">
        <v>275</v>
      </c>
      <c r="G109">
        <v>10725</v>
      </c>
    </row>
    <row r="110" spans="1:7" hidden="1">
      <c r="A110" t="s">
        <v>349</v>
      </c>
      <c r="B110" s="165">
        <v>41830</v>
      </c>
      <c r="C110" t="s">
        <v>350</v>
      </c>
      <c r="D110" t="s">
        <v>351</v>
      </c>
      <c r="E110">
        <v>12</v>
      </c>
      <c r="F110" s="166">
        <v>525</v>
      </c>
      <c r="G110">
        <v>6300</v>
      </c>
    </row>
    <row r="111" spans="1:7" hidden="1">
      <c r="A111" t="s">
        <v>349</v>
      </c>
      <c r="B111" s="165">
        <v>41837</v>
      </c>
      <c r="C111" t="s">
        <v>358</v>
      </c>
      <c r="D111" t="s">
        <v>359</v>
      </c>
      <c r="E111">
        <v>5</v>
      </c>
      <c r="F111" s="166">
        <v>531</v>
      </c>
      <c r="G111">
        <v>2655</v>
      </c>
    </row>
    <row r="112" spans="1:7" hidden="1">
      <c r="A112" t="s">
        <v>349</v>
      </c>
      <c r="B112" s="165">
        <v>41837</v>
      </c>
      <c r="C112" t="s">
        <v>358</v>
      </c>
      <c r="D112" t="s">
        <v>359</v>
      </c>
      <c r="E112">
        <v>10</v>
      </c>
      <c r="F112" s="166">
        <v>597.5</v>
      </c>
      <c r="G112">
        <v>5975</v>
      </c>
    </row>
    <row r="113" spans="1:7">
      <c r="A113" t="s">
        <v>349</v>
      </c>
      <c r="B113" s="165">
        <v>41837</v>
      </c>
      <c r="C113" t="s">
        <v>354</v>
      </c>
      <c r="D113" t="s">
        <v>355</v>
      </c>
      <c r="E113">
        <v>6</v>
      </c>
      <c r="F113" s="166">
        <v>699</v>
      </c>
      <c r="G113">
        <v>4194</v>
      </c>
    </row>
    <row r="114" spans="1:7">
      <c r="A114" t="s">
        <v>349</v>
      </c>
      <c r="B114" s="165">
        <v>41837</v>
      </c>
      <c r="C114" t="s">
        <v>354</v>
      </c>
      <c r="D114" t="s">
        <v>355</v>
      </c>
      <c r="E114">
        <v>17</v>
      </c>
      <c r="F114" s="166">
        <v>471.94117647058823</v>
      </c>
      <c r="G114">
        <v>8023</v>
      </c>
    </row>
    <row r="115" spans="1:7" hidden="1">
      <c r="A115" t="s">
        <v>349</v>
      </c>
      <c r="B115" s="165">
        <v>41837</v>
      </c>
      <c r="C115" t="s">
        <v>350</v>
      </c>
      <c r="D115" t="s">
        <v>351</v>
      </c>
      <c r="E115">
        <v>4</v>
      </c>
      <c r="F115" s="166">
        <v>534.5</v>
      </c>
      <c r="G115">
        <v>2138</v>
      </c>
    </row>
    <row r="116" spans="1:7" hidden="1">
      <c r="A116" t="s">
        <v>349</v>
      </c>
      <c r="B116" s="165">
        <v>41837</v>
      </c>
      <c r="C116" t="s">
        <v>350</v>
      </c>
      <c r="D116" t="s">
        <v>351</v>
      </c>
      <c r="E116">
        <v>10</v>
      </c>
      <c r="F116" s="166">
        <v>597.5</v>
      </c>
      <c r="G116">
        <v>5975</v>
      </c>
    </row>
    <row r="117" spans="1:7" hidden="1">
      <c r="A117" t="s">
        <v>349</v>
      </c>
      <c r="B117" s="165">
        <v>41837</v>
      </c>
      <c r="C117" t="s">
        <v>350</v>
      </c>
      <c r="D117" t="s">
        <v>351</v>
      </c>
      <c r="E117">
        <v>18</v>
      </c>
      <c r="F117" s="166">
        <v>437</v>
      </c>
      <c r="G117">
        <v>7866</v>
      </c>
    </row>
    <row r="118" spans="1:7" hidden="1">
      <c r="A118" t="s">
        <v>349</v>
      </c>
      <c r="B118" s="165">
        <v>41851</v>
      </c>
      <c r="C118" t="s">
        <v>358</v>
      </c>
      <c r="D118" t="s">
        <v>359</v>
      </c>
      <c r="E118">
        <v>10</v>
      </c>
      <c r="F118" s="166">
        <v>550</v>
      </c>
      <c r="G118">
        <v>5500</v>
      </c>
    </row>
    <row r="119" spans="1:7" hidden="1">
      <c r="A119" t="s">
        <v>349</v>
      </c>
      <c r="B119" s="165">
        <v>41851</v>
      </c>
      <c r="C119" t="s">
        <v>358</v>
      </c>
      <c r="D119" t="s">
        <v>359</v>
      </c>
      <c r="E119">
        <v>9</v>
      </c>
      <c r="F119" s="166">
        <v>1733</v>
      </c>
      <c r="G119">
        <v>15597</v>
      </c>
    </row>
    <row r="120" spans="1:7">
      <c r="A120" t="s">
        <v>349</v>
      </c>
      <c r="B120" s="165">
        <v>41851</v>
      </c>
      <c r="C120" t="s">
        <v>354</v>
      </c>
      <c r="D120" t="s">
        <v>355</v>
      </c>
      <c r="E120">
        <v>5</v>
      </c>
      <c r="F120" s="166">
        <v>570</v>
      </c>
      <c r="G120">
        <v>2850</v>
      </c>
    </row>
    <row r="121" spans="1:7">
      <c r="A121" t="s">
        <v>349</v>
      </c>
      <c r="B121" s="165">
        <v>41851</v>
      </c>
      <c r="C121" t="s">
        <v>354</v>
      </c>
      <c r="D121" t="s">
        <v>355</v>
      </c>
      <c r="E121">
        <v>8</v>
      </c>
      <c r="F121" s="166">
        <v>539.125</v>
      </c>
      <c r="G121">
        <v>4313</v>
      </c>
    </row>
    <row r="122" spans="1:7">
      <c r="A122" t="s">
        <v>349</v>
      </c>
      <c r="B122" s="165">
        <v>41851</v>
      </c>
      <c r="C122" t="s">
        <v>354</v>
      </c>
      <c r="D122" t="s">
        <v>355</v>
      </c>
      <c r="E122">
        <v>12</v>
      </c>
      <c r="F122" s="166">
        <v>439.58333333333331</v>
      </c>
      <c r="G122">
        <v>5275</v>
      </c>
    </row>
    <row r="123" spans="1:7">
      <c r="A123" t="s">
        <v>349</v>
      </c>
      <c r="B123" s="165">
        <v>41851</v>
      </c>
      <c r="C123" t="s">
        <v>354</v>
      </c>
      <c r="D123" t="s">
        <v>355</v>
      </c>
      <c r="E123">
        <v>12</v>
      </c>
      <c r="F123" s="166">
        <v>550</v>
      </c>
      <c r="G123">
        <v>6600</v>
      </c>
    </row>
    <row r="124" spans="1:7">
      <c r="A124" t="s">
        <v>349</v>
      </c>
      <c r="B124" s="165">
        <v>41851</v>
      </c>
      <c r="C124" t="s">
        <v>354</v>
      </c>
      <c r="D124" t="s">
        <v>355</v>
      </c>
      <c r="E124">
        <v>12</v>
      </c>
      <c r="F124" s="166">
        <v>554.16666666666663</v>
      </c>
      <c r="G124">
        <v>6650</v>
      </c>
    </row>
    <row r="125" spans="1:7">
      <c r="A125" t="s">
        <v>349</v>
      </c>
      <c r="B125" s="165">
        <v>41851</v>
      </c>
      <c r="C125" t="s">
        <v>354</v>
      </c>
      <c r="D125" t="s">
        <v>355</v>
      </c>
      <c r="E125">
        <v>13</v>
      </c>
      <c r="F125" s="166">
        <v>605.76923076923072</v>
      </c>
      <c r="G125">
        <v>7875</v>
      </c>
    </row>
    <row r="126" spans="1:7">
      <c r="A126" t="s">
        <v>349</v>
      </c>
      <c r="B126" s="165">
        <v>41851</v>
      </c>
      <c r="C126" t="s">
        <v>354</v>
      </c>
      <c r="D126" t="s">
        <v>355</v>
      </c>
      <c r="E126">
        <v>21</v>
      </c>
      <c r="F126" s="166">
        <v>384.76190476190476</v>
      </c>
      <c r="G126">
        <v>8080</v>
      </c>
    </row>
    <row r="127" spans="1:7">
      <c r="A127" t="s">
        <v>349</v>
      </c>
      <c r="B127" s="165">
        <v>41851</v>
      </c>
      <c r="C127" t="s">
        <v>354</v>
      </c>
      <c r="D127" t="s">
        <v>355</v>
      </c>
      <c r="E127">
        <v>13</v>
      </c>
      <c r="F127" s="166">
        <v>830</v>
      </c>
      <c r="G127">
        <v>10790</v>
      </c>
    </row>
    <row r="128" spans="1:7">
      <c r="A128" t="s">
        <v>349</v>
      </c>
      <c r="B128" s="165">
        <v>41851</v>
      </c>
      <c r="C128" t="s">
        <v>354</v>
      </c>
      <c r="D128" t="s">
        <v>355</v>
      </c>
      <c r="E128">
        <v>8</v>
      </c>
      <c r="F128" s="166">
        <v>1423.5</v>
      </c>
      <c r="G128">
        <v>11388</v>
      </c>
    </row>
    <row r="129" spans="1:7">
      <c r="A129" t="s">
        <v>349</v>
      </c>
      <c r="B129" s="165">
        <v>41851</v>
      </c>
      <c r="C129" t="s">
        <v>354</v>
      </c>
      <c r="D129" t="s">
        <v>355</v>
      </c>
      <c r="E129">
        <v>20</v>
      </c>
      <c r="F129" s="166">
        <v>595</v>
      </c>
      <c r="G129">
        <v>11900</v>
      </c>
    </row>
    <row r="130" spans="1:7" hidden="1">
      <c r="A130" t="s">
        <v>349</v>
      </c>
      <c r="B130" s="165">
        <v>41851</v>
      </c>
      <c r="C130" t="s">
        <v>352</v>
      </c>
      <c r="D130" t="s">
        <v>353</v>
      </c>
      <c r="E130">
        <v>4</v>
      </c>
      <c r="F130" s="166">
        <v>820.75</v>
      </c>
      <c r="G130">
        <v>3283</v>
      </c>
    </row>
    <row r="131" spans="1:7" hidden="1">
      <c r="A131" t="s">
        <v>349</v>
      </c>
      <c r="B131" s="165">
        <v>41851</v>
      </c>
      <c r="C131" t="s">
        <v>356</v>
      </c>
      <c r="D131" t="s">
        <v>357</v>
      </c>
      <c r="E131">
        <v>1</v>
      </c>
      <c r="F131" s="166">
        <v>201</v>
      </c>
      <c r="G131">
        <v>201</v>
      </c>
    </row>
    <row r="132" spans="1:7" hidden="1">
      <c r="A132" t="s">
        <v>349</v>
      </c>
      <c r="B132" s="165">
        <v>41851</v>
      </c>
      <c r="C132" t="s">
        <v>356</v>
      </c>
      <c r="D132" t="s">
        <v>357</v>
      </c>
      <c r="E132">
        <v>6</v>
      </c>
      <c r="F132" s="166">
        <v>235.83333333333334</v>
      </c>
      <c r="G132">
        <v>1415</v>
      </c>
    </row>
    <row r="133" spans="1:7" hidden="1">
      <c r="A133" t="s">
        <v>349</v>
      </c>
      <c r="B133" s="165">
        <v>41851</v>
      </c>
      <c r="C133" t="s">
        <v>356</v>
      </c>
      <c r="D133" t="s">
        <v>357</v>
      </c>
      <c r="E133">
        <v>13</v>
      </c>
      <c r="F133" s="166">
        <v>496.61538461538464</v>
      </c>
      <c r="G133">
        <v>6456</v>
      </c>
    </row>
    <row r="134" spans="1:7" hidden="1">
      <c r="A134" t="s">
        <v>349</v>
      </c>
      <c r="B134" s="165">
        <v>41851</v>
      </c>
      <c r="C134" t="s">
        <v>356</v>
      </c>
      <c r="D134" t="s">
        <v>357</v>
      </c>
      <c r="E134">
        <v>47</v>
      </c>
      <c r="F134" s="166">
        <v>270</v>
      </c>
      <c r="G134">
        <v>12690</v>
      </c>
    </row>
    <row r="135" spans="1:7" hidden="1">
      <c r="A135" t="s">
        <v>349</v>
      </c>
      <c r="B135" s="165">
        <v>41851</v>
      </c>
      <c r="C135" t="s">
        <v>350</v>
      </c>
      <c r="D135" t="s">
        <v>351</v>
      </c>
      <c r="E135">
        <v>1</v>
      </c>
      <c r="F135" s="166">
        <v>685</v>
      </c>
      <c r="G135">
        <v>685</v>
      </c>
    </row>
    <row r="136" spans="1:7" hidden="1">
      <c r="A136" t="s">
        <v>349</v>
      </c>
      <c r="B136" s="165">
        <v>41851</v>
      </c>
      <c r="C136" t="s">
        <v>350</v>
      </c>
      <c r="D136" t="s">
        <v>351</v>
      </c>
      <c r="E136">
        <v>4</v>
      </c>
      <c r="F136" s="166">
        <v>270</v>
      </c>
      <c r="G136">
        <v>1080</v>
      </c>
    </row>
    <row r="137" spans="1:7" hidden="1">
      <c r="A137" t="s">
        <v>349</v>
      </c>
      <c r="B137" s="165">
        <v>41851</v>
      </c>
      <c r="C137" t="s">
        <v>350</v>
      </c>
      <c r="D137" t="s">
        <v>351</v>
      </c>
      <c r="E137">
        <v>10</v>
      </c>
      <c r="F137" s="166">
        <v>272.7</v>
      </c>
      <c r="G137">
        <v>2727</v>
      </c>
    </row>
    <row r="138" spans="1:7" hidden="1">
      <c r="A138" t="s">
        <v>349</v>
      </c>
      <c r="B138" s="165">
        <v>41851</v>
      </c>
      <c r="C138" t="s">
        <v>350</v>
      </c>
      <c r="D138" t="s">
        <v>351</v>
      </c>
      <c r="E138">
        <v>8</v>
      </c>
      <c r="F138" s="166">
        <v>354.75</v>
      </c>
      <c r="G138">
        <v>2838</v>
      </c>
    </row>
    <row r="139" spans="1:7" hidden="1">
      <c r="A139" t="s">
        <v>349</v>
      </c>
      <c r="B139" s="165">
        <v>41851</v>
      </c>
      <c r="C139" t="s">
        <v>350</v>
      </c>
      <c r="D139" t="s">
        <v>351</v>
      </c>
      <c r="E139">
        <v>10</v>
      </c>
      <c r="F139" s="166">
        <v>315</v>
      </c>
      <c r="G139">
        <v>3150</v>
      </c>
    </row>
    <row r="140" spans="1:7" hidden="1">
      <c r="A140" t="s">
        <v>349</v>
      </c>
      <c r="B140" s="165">
        <v>41851</v>
      </c>
      <c r="C140" t="s">
        <v>350</v>
      </c>
      <c r="D140" t="s">
        <v>351</v>
      </c>
      <c r="E140">
        <v>10</v>
      </c>
      <c r="F140" s="166">
        <v>550</v>
      </c>
      <c r="G140">
        <v>5500</v>
      </c>
    </row>
    <row r="141" spans="1:7" hidden="1">
      <c r="A141" t="s">
        <v>349</v>
      </c>
      <c r="B141" s="165">
        <v>41851</v>
      </c>
      <c r="C141" t="s">
        <v>350</v>
      </c>
      <c r="D141" t="s">
        <v>351</v>
      </c>
      <c r="E141">
        <v>12</v>
      </c>
      <c r="F141" s="166">
        <v>558.33333333333337</v>
      </c>
      <c r="G141">
        <v>6700</v>
      </c>
    </row>
    <row r="142" spans="1:7" hidden="1">
      <c r="A142" t="s">
        <v>349</v>
      </c>
      <c r="B142" s="165">
        <v>41851</v>
      </c>
      <c r="C142" t="s">
        <v>350</v>
      </c>
      <c r="D142" t="s">
        <v>351</v>
      </c>
      <c r="E142">
        <v>10</v>
      </c>
      <c r="F142" s="166">
        <v>767</v>
      </c>
      <c r="G142">
        <v>7670</v>
      </c>
    </row>
    <row r="143" spans="1:7" hidden="1">
      <c r="A143" t="s">
        <v>349</v>
      </c>
      <c r="B143" s="165">
        <v>41858</v>
      </c>
      <c r="C143" t="s">
        <v>358</v>
      </c>
      <c r="D143" t="s">
        <v>359</v>
      </c>
      <c r="E143">
        <v>4</v>
      </c>
      <c r="F143" s="166">
        <v>341</v>
      </c>
      <c r="G143">
        <v>1364</v>
      </c>
    </row>
    <row r="144" spans="1:7">
      <c r="A144" t="s">
        <v>349</v>
      </c>
      <c r="B144" s="165">
        <v>41858</v>
      </c>
      <c r="C144" t="s">
        <v>354</v>
      </c>
      <c r="D144" t="s">
        <v>355</v>
      </c>
      <c r="E144">
        <v>10</v>
      </c>
      <c r="F144" s="166">
        <v>301</v>
      </c>
      <c r="G144">
        <v>3010</v>
      </c>
    </row>
    <row r="145" spans="1:7">
      <c r="A145" t="s">
        <v>349</v>
      </c>
      <c r="B145" s="165">
        <v>41858</v>
      </c>
      <c r="C145" t="s">
        <v>354</v>
      </c>
      <c r="D145" t="s">
        <v>355</v>
      </c>
      <c r="E145">
        <v>12</v>
      </c>
      <c r="F145" s="166">
        <v>536.08333333333337</v>
      </c>
      <c r="G145">
        <v>6433</v>
      </c>
    </row>
    <row r="146" spans="1:7" hidden="1">
      <c r="A146" t="s">
        <v>349</v>
      </c>
      <c r="B146" s="165">
        <v>41858</v>
      </c>
      <c r="C146" t="s">
        <v>350</v>
      </c>
      <c r="D146" t="s">
        <v>351</v>
      </c>
      <c r="E146">
        <v>4</v>
      </c>
      <c r="F146" s="166">
        <v>625</v>
      </c>
      <c r="G146">
        <v>2500</v>
      </c>
    </row>
    <row r="147" spans="1:7" hidden="1">
      <c r="A147" t="s">
        <v>349</v>
      </c>
      <c r="B147" s="165">
        <v>41858</v>
      </c>
      <c r="C147" t="s">
        <v>350</v>
      </c>
      <c r="D147" t="s">
        <v>351</v>
      </c>
      <c r="E147">
        <v>4</v>
      </c>
      <c r="F147" s="166">
        <v>732.5</v>
      </c>
      <c r="G147">
        <v>2930</v>
      </c>
    </row>
    <row r="148" spans="1:7" hidden="1">
      <c r="A148" t="s">
        <v>349</v>
      </c>
      <c r="B148" s="165">
        <v>41858</v>
      </c>
      <c r="C148" t="s">
        <v>350</v>
      </c>
      <c r="D148" t="s">
        <v>351</v>
      </c>
      <c r="E148">
        <v>8</v>
      </c>
      <c r="F148" s="166">
        <v>370</v>
      </c>
      <c r="G148">
        <v>2960</v>
      </c>
    </row>
    <row r="149" spans="1:7" hidden="1">
      <c r="A149" t="s">
        <v>349</v>
      </c>
      <c r="B149" s="165">
        <v>41865</v>
      </c>
      <c r="C149" t="s">
        <v>350</v>
      </c>
      <c r="D149" t="s">
        <v>351</v>
      </c>
      <c r="E149">
        <v>41</v>
      </c>
      <c r="F149" s="166">
        <v>395</v>
      </c>
      <c r="G149">
        <v>16195</v>
      </c>
    </row>
    <row r="150" spans="1:7" hidden="1">
      <c r="A150" t="s">
        <v>349</v>
      </c>
      <c r="B150" s="165">
        <v>41872</v>
      </c>
      <c r="C150" t="s">
        <v>358</v>
      </c>
      <c r="D150" t="s">
        <v>359</v>
      </c>
      <c r="E150">
        <v>4</v>
      </c>
      <c r="F150" s="166">
        <v>550</v>
      </c>
      <c r="G150">
        <v>2200</v>
      </c>
    </row>
    <row r="151" spans="1:7" hidden="1">
      <c r="A151" t="s">
        <v>349</v>
      </c>
      <c r="B151" s="165">
        <v>41872</v>
      </c>
      <c r="C151" t="s">
        <v>358</v>
      </c>
      <c r="D151" t="s">
        <v>359</v>
      </c>
      <c r="E151">
        <v>9</v>
      </c>
      <c r="F151" s="166">
        <v>475</v>
      </c>
      <c r="G151">
        <v>4275</v>
      </c>
    </row>
    <row r="152" spans="1:7" hidden="1">
      <c r="A152" t="s">
        <v>349</v>
      </c>
      <c r="B152" s="165">
        <v>41872</v>
      </c>
      <c r="C152" t="s">
        <v>358</v>
      </c>
      <c r="D152" t="s">
        <v>359</v>
      </c>
      <c r="E152">
        <v>8</v>
      </c>
      <c r="F152" s="166">
        <v>985</v>
      </c>
      <c r="G152">
        <v>7880</v>
      </c>
    </row>
    <row r="153" spans="1:7">
      <c r="A153" t="s">
        <v>349</v>
      </c>
      <c r="B153" s="165">
        <v>41872</v>
      </c>
      <c r="C153" t="s">
        <v>354</v>
      </c>
      <c r="D153" t="s">
        <v>355</v>
      </c>
      <c r="E153">
        <v>11</v>
      </c>
      <c r="F153" s="166">
        <v>985</v>
      </c>
      <c r="G153">
        <v>10835</v>
      </c>
    </row>
    <row r="154" spans="1:7">
      <c r="A154" t="s">
        <v>349</v>
      </c>
      <c r="B154" s="165">
        <v>41872</v>
      </c>
      <c r="C154" t="s">
        <v>354</v>
      </c>
      <c r="D154" t="s">
        <v>355</v>
      </c>
      <c r="E154">
        <v>18</v>
      </c>
      <c r="F154" s="166">
        <v>957.72222222222217</v>
      </c>
      <c r="G154">
        <v>17239</v>
      </c>
    </row>
    <row r="155" spans="1:7" hidden="1">
      <c r="A155" t="s">
        <v>349</v>
      </c>
      <c r="B155" s="165">
        <v>41872</v>
      </c>
      <c r="C155" t="s">
        <v>352</v>
      </c>
      <c r="D155" t="s">
        <v>353</v>
      </c>
      <c r="E155">
        <v>2</v>
      </c>
      <c r="F155" s="166">
        <v>1239</v>
      </c>
      <c r="G155">
        <v>2478</v>
      </c>
    </row>
    <row r="156" spans="1:7" hidden="1">
      <c r="A156" t="s">
        <v>349</v>
      </c>
      <c r="B156" s="165">
        <v>41872</v>
      </c>
      <c r="C156" t="s">
        <v>352</v>
      </c>
      <c r="D156" t="s">
        <v>353</v>
      </c>
      <c r="E156">
        <v>14</v>
      </c>
      <c r="F156" s="166">
        <v>450</v>
      </c>
      <c r="G156">
        <v>6300</v>
      </c>
    </row>
    <row r="157" spans="1:7" hidden="1">
      <c r="A157" t="s">
        <v>349</v>
      </c>
      <c r="B157" s="165">
        <v>41872</v>
      </c>
      <c r="C157" t="s">
        <v>356</v>
      </c>
      <c r="D157" t="s">
        <v>357</v>
      </c>
      <c r="E157">
        <v>1</v>
      </c>
      <c r="F157" s="166">
        <v>275</v>
      </c>
      <c r="G157">
        <v>275</v>
      </c>
    </row>
    <row r="158" spans="1:7" hidden="1">
      <c r="A158" t="s">
        <v>349</v>
      </c>
      <c r="B158" s="165">
        <v>41872</v>
      </c>
      <c r="C158" t="s">
        <v>356</v>
      </c>
      <c r="D158" t="s">
        <v>357</v>
      </c>
      <c r="E158">
        <v>7</v>
      </c>
      <c r="F158" s="166">
        <v>289.28571428571428</v>
      </c>
      <c r="G158">
        <v>2025</v>
      </c>
    </row>
    <row r="159" spans="1:7" hidden="1">
      <c r="A159" t="s">
        <v>349</v>
      </c>
      <c r="B159" s="165">
        <v>41872</v>
      </c>
      <c r="C159" t="s">
        <v>350</v>
      </c>
      <c r="D159" t="s">
        <v>351</v>
      </c>
      <c r="E159">
        <v>4</v>
      </c>
      <c r="F159" s="166">
        <v>525</v>
      </c>
      <c r="G159">
        <v>2100</v>
      </c>
    </row>
    <row r="160" spans="1:7" hidden="1">
      <c r="A160" t="s">
        <v>349</v>
      </c>
      <c r="B160" s="165">
        <v>41872</v>
      </c>
      <c r="C160" t="s">
        <v>350</v>
      </c>
      <c r="D160" t="s">
        <v>351</v>
      </c>
      <c r="E160">
        <v>4</v>
      </c>
      <c r="F160" s="166">
        <v>550</v>
      </c>
      <c r="G160">
        <v>2200</v>
      </c>
    </row>
    <row r="161" spans="1:7" hidden="1">
      <c r="A161" t="s">
        <v>349</v>
      </c>
      <c r="B161" s="165">
        <v>41872</v>
      </c>
      <c r="C161" t="s">
        <v>350</v>
      </c>
      <c r="D161" t="s">
        <v>351</v>
      </c>
      <c r="E161">
        <v>2</v>
      </c>
      <c r="F161" s="166">
        <v>1395</v>
      </c>
      <c r="G161">
        <v>2790</v>
      </c>
    </row>
    <row r="162" spans="1:7" hidden="1">
      <c r="A162" t="s">
        <v>349</v>
      </c>
      <c r="B162" s="165">
        <v>41872</v>
      </c>
      <c r="C162" t="s">
        <v>350</v>
      </c>
      <c r="D162" t="s">
        <v>351</v>
      </c>
      <c r="E162">
        <v>8</v>
      </c>
      <c r="F162" s="166">
        <v>381.875</v>
      </c>
      <c r="G162">
        <v>3055</v>
      </c>
    </row>
    <row r="163" spans="1:7" hidden="1">
      <c r="A163" t="s">
        <v>349</v>
      </c>
      <c r="B163" s="165">
        <v>41872</v>
      </c>
      <c r="C163" t="s">
        <v>350</v>
      </c>
      <c r="D163" t="s">
        <v>351</v>
      </c>
      <c r="E163">
        <v>9</v>
      </c>
      <c r="F163" s="166">
        <v>503.33333333333331</v>
      </c>
      <c r="G163">
        <v>4530</v>
      </c>
    </row>
    <row r="164" spans="1:7" hidden="1">
      <c r="A164" t="s">
        <v>349</v>
      </c>
      <c r="B164" s="165">
        <v>41872</v>
      </c>
      <c r="C164" t="s">
        <v>350</v>
      </c>
      <c r="D164" t="s">
        <v>351</v>
      </c>
      <c r="E164">
        <v>10</v>
      </c>
      <c r="F164" s="166">
        <v>480.3</v>
      </c>
      <c r="G164">
        <v>4803</v>
      </c>
    </row>
    <row r="165" spans="1:7">
      <c r="A165" t="s">
        <v>349</v>
      </c>
      <c r="B165" s="165">
        <v>41879</v>
      </c>
      <c r="C165" t="s">
        <v>354</v>
      </c>
      <c r="D165" t="s">
        <v>355</v>
      </c>
      <c r="E165">
        <v>20</v>
      </c>
      <c r="F165" s="166">
        <v>497</v>
      </c>
      <c r="G165">
        <v>9940</v>
      </c>
    </row>
    <row r="166" spans="1:7" hidden="1">
      <c r="A166" t="s">
        <v>349</v>
      </c>
      <c r="B166" s="165">
        <v>41879</v>
      </c>
      <c r="C166" t="s">
        <v>356</v>
      </c>
      <c r="D166" t="s">
        <v>357</v>
      </c>
      <c r="E166">
        <v>2</v>
      </c>
      <c r="F166" s="166">
        <v>275</v>
      </c>
      <c r="G166">
        <v>550</v>
      </c>
    </row>
    <row r="167" spans="1:7" hidden="1">
      <c r="A167" t="s">
        <v>349</v>
      </c>
      <c r="B167" s="165">
        <v>41879</v>
      </c>
      <c r="C167" t="s">
        <v>356</v>
      </c>
      <c r="D167" t="s">
        <v>357</v>
      </c>
      <c r="E167">
        <v>2</v>
      </c>
      <c r="F167" s="166">
        <v>316</v>
      </c>
      <c r="G167">
        <v>632</v>
      </c>
    </row>
    <row r="168" spans="1:7" hidden="1">
      <c r="A168" t="s">
        <v>349</v>
      </c>
      <c r="B168" s="165">
        <v>41879</v>
      </c>
      <c r="C168" t="s">
        <v>356</v>
      </c>
      <c r="D168" t="s">
        <v>357</v>
      </c>
      <c r="E168">
        <v>8</v>
      </c>
      <c r="F168" s="166">
        <v>276.25</v>
      </c>
      <c r="G168">
        <v>2210</v>
      </c>
    </row>
    <row r="169" spans="1:7" hidden="1">
      <c r="A169" t="s">
        <v>349</v>
      </c>
      <c r="B169" s="165">
        <v>41879</v>
      </c>
      <c r="C169" t="s">
        <v>356</v>
      </c>
      <c r="D169" t="s">
        <v>357</v>
      </c>
      <c r="E169">
        <v>24</v>
      </c>
      <c r="F169" s="166">
        <v>190</v>
      </c>
      <c r="G169">
        <v>4560</v>
      </c>
    </row>
    <row r="170" spans="1:7" hidden="1">
      <c r="A170" t="s">
        <v>349</v>
      </c>
      <c r="B170" s="165">
        <v>41879</v>
      </c>
      <c r="C170" t="s">
        <v>350</v>
      </c>
      <c r="D170" t="s">
        <v>351</v>
      </c>
      <c r="E170">
        <v>7</v>
      </c>
      <c r="F170" s="166">
        <v>411.28571428571428</v>
      </c>
      <c r="G170">
        <v>2879</v>
      </c>
    </row>
    <row r="171" spans="1:7" hidden="1">
      <c r="A171" t="s">
        <v>349</v>
      </c>
      <c r="B171" s="165">
        <v>41879</v>
      </c>
      <c r="C171" t="s">
        <v>350</v>
      </c>
      <c r="D171" t="s">
        <v>351</v>
      </c>
      <c r="E171">
        <v>15</v>
      </c>
      <c r="F171" s="166">
        <v>375.66666666666669</v>
      </c>
      <c r="G171">
        <v>5635</v>
      </c>
    </row>
    <row r="172" spans="1:7" hidden="1">
      <c r="A172" t="s">
        <v>349</v>
      </c>
      <c r="B172" s="165">
        <v>41893</v>
      </c>
      <c r="C172" t="s">
        <v>350</v>
      </c>
      <c r="D172" t="s">
        <v>351</v>
      </c>
      <c r="E172">
        <v>8</v>
      </c>
      <c r="F172" s="166">
        <v>334.875</v>
      </c>
      <c r="G172">
        <v>2679</v>
      </c>
    </row>
    <row r="173" spans="1:7" hidden="1">
      <c r="A173" t="s">
        <v>349</v>
      </c>
      <c r="B173" s="165">
        <v>41900</v>
      </c>
      <c r="C173" t="s">
        <v>358</v>
      </c>
      <c r="D173" t="s">
        <v>359</v>
      </c>
      <c r="E173">
        <v>5</v>
      </c>
      <c r="F173" s="166">
        <v>510.8</v>
      </c>
      <c r="G173">
        <v>2554</v>
      </c>
    </row>
    <row r="174" spans="1:7" hidden="1">
      <c r="A174" t="s">
        <v>349</v>
      </c>
      <c r="B174" s="165">
        <v>41900</v>
      </c>
      <c r="C174" t="s">
        <v>358</v>
      </c>
      <c r="D174" t="s">
        <v>359</v>
      </c>
      <c r="E174">
        <v>11</v>
      </c>
      <c r="F174" s="166">
        <v>386.90909090909093</v>
      </c>
      <c r="G174">
        <v>4256</v>
      </c>
    </row>
    <row r="175" spans="1:7" hidden="1">
      <c r="A175" t="s">
        <v>349</v>
      </c>
      <c r="B175" s="165">
        <v>41900</v>
      </c>
      <c r="C175" t="s">
        <v>358</v>
      </c>
      <c r="D175" t="s">
        <v>359</v>
      </c>
      <c r="E175">
        <v>17</v>
      </c>
      <c r="F175" s="166">
        <v>928.82352941176475</v>
      </c>
      <c r="G175">
        <v>15790</v>
      </c>
    </row>
    <row r="176" spans="1:7">
      <c r="A176" t="s">
        <v>349</v>
      </c>
      <c r="B176" s="165">
        <v>41900</v>
      </c>
      <c r="C176" t="s">
        <v>354</v>
      </c>
      <c r="D176" t="s">
        <v>355</v>
      </c>
      <c r="E176">
        <v>5</v>
      </c>
      <c r="F176" s="166">
        <v>1245</v>
      </c>
      <c r="G176">
        <v>6225</v>
      </c>
    </row>
    <row r="177" spans="1:7">
      <c r="A177" t="s">
        <v>349</v>
      </c>
      <c r="B177" s="165">
        <v>41900</v>
      </c>
      <c r="C177" t="s">
        <v>354</v>
      </c>
      <c r="D177" t="s">
        <v>355</v>
      </c>
      <c r="E177">
        <v>15</v>
      </c>
      <c r="F177" s="166">
        <v>536.33333333333337</v>
      </c>
      <c r="G177">
        <v>8045</v>
      </c>
    </row>
    <row r="178" spans="1:7">
      <c r="A178" t="s">
        <v>349</v>
      </c>
      <c r="B178" s="165">
        <v>41900</v>
      </c>
      <c r="C178" t="s">
        <v>354</v>
      </c>
      <c r="D178" t="s">
        <v>355</v>
      </c>
      <c r="E178">
        <v>7</v>
      </c>
      <c r="F178" s="166">
        <v>1245</v>
      </c>
      <c r="G178">
        <v>8715</v>
      </c>
    </row>
    <row r="179" spans="1:7">
      <c r="A179" t="s">
        <v>349</v>
      </c>
      <c r="B179" s="165">
        <v>41900</v>
      </c>
      <c r="C179" t="s">
        <v>354</v>
      </c>
      <c r="D179" t="s">
        <v>355</v>
      </c>
      <c r="E179">
        <v>10</v>
      </c>
      <c r="F179" s="166">
        <v>1169.0999999999999</v>
      </c>
      <c r="G179">
        <v>11691</v>
      </c>
    </row>
    <row r="180" spans="1:7">
      <c r="A180" t="s">
        <v>349</v>
      </c>
      <c r="B180" s="165">
        <v>41900</v>
      </c>
      <c r="C180" t="s">
        <v>354</v>
      </c>
      <c r="D180" t="s">
        <v>355</v>
      </c>
      <c r="E180">
        <v>20</v>
      </c>
      <c r="F180" s="166">
        <v>610</v>
      </c>
      <c r="G180">
        <v>12200</v>
      </c>
    </row>
    <row r="181" spans="1:7" hidden="1">
      <c r="A181" t="s">
        <v>349</v>
      </c>
      <c r="B181" s="165">
        <v>41900</v>
      </c>
      <c r="C181" t="s">
        <v>352</v>
      </c>
      <c r="D181" t="s">
        <v>353</v>
      </c>
      <c r="E181">
        <v>3</v>
      </c>
      <c r="F181" s="166">
        <v>598</v>
      </c>
      <c r="G181">
        <v>1794</v>
      </c>
    </row>
    <row r="182" spans="1:7" hidden="1">
      <c r="A182" t="s">
        <v>349</v>
      </c>
      <c r="B182" s="165">
        <v>41900</v>
      </c>
      <c r="C182" t="s">
        <v>356</v>
      </c>
      <c r="D182" t="s">
        <v>357</v>
      </c>
      <c r="E182">
        <v>3</v>
      </c>
      <c r="F182" s="166">
        <v>192.66666666666666</v>
      </c>
      <c r="G182">
        <v>578</v>
      </c>
    </row>
    <row r="183" spans="1:7" hidden="1">
      <c r="A183" t="s">
        <v>349</v>
      </c>
      <c r="B183" s="165">
        <v>41900</v>
      </c>
      <c r="C183" t="s">
        <v>350</v>
      </c>
      <c r="D183" t="s">
        <v>351</v>
      </c>
      <c r="E183">
        <v>1</v>
      </c>
      <c r="F183" s="166">
        <v>600</v>
      </c>
      <c r="G183">
        <v>600</v>
      </c>
    </row>
    <row r="184" spans="1:7" hidden="1">
      <c r="A184" t="s">
        <v>349</v>
      </c>
      <c r="B184" s="165">
        <v>41900</v>
      </c>
      <c r="C184" t="s">
        <v>350</v>
      </c>
      <c r="D184" t="s">
        <v>351</v>
      </c>
      <c r="E184">
        <v>3</v>
      </c>
      <c r="F184" s="166">
        <v>495</v>
      </c>
      <c r="G184">
        <v>1485</v>
      </c>
    </row>
    <row r="185" spans="1:7" hidden="1">
      <c r="A185" t="s">
        <v>349</v>
      </c>
      <c r="B185" s="165">
        <v>41900</v>
      </c>
      <c r="C185" t="s">
        <v>350</v>
      </c>
      <c r="D185" t="s">
        <v>351</v>
      </c>
      <c r="E185">
        <v>3</v>
      </c>
      <c r="F185" s="166">
        <v>555</v>
      </c>
      <c r="G185">
        <v>1665</v>
      </c>
    </row>
    <row r="186" spans="1:7" hidden="1">
      <c r="A186" t="s">
        <v>349</v>
      </c>
      <c r="B186" s="165">
        <v>41900</v>
      </c>
      <c r="C186" t="s">
        <v>350</v>
      </c>
      <c r="D186" t="s">
        <v>351</v>
      </c>
      <c r="E186">
        <v>5</v>
      </c>
      <c r="F186" s="166">
        <v>384</v>
      </c>
      <c r="G186">
        <v>1920</v>
      </c>
    </row>
    <row r="187" spans="1:7" hidden="1">
      <c r="A187" t="s">
        <v>349</v>
      </c>
      <c r="B187" s="165">
        <v>41900</v>
      </c>
      <c r="C187" t="s">
        <v>350</v>
      </c>
      <c r="D187" t="s">
        <v>351</v>
      </c>
      <c r="E187">
        <v>9</v>
      </c>
      <c r="F187" s="166">
        <v>720</v>
      </c>
      <c r="G187">
        <v>6480</v>
      </c>
    </row>
    <row r="188" spans="1:7" hidden="1">
      <c r="A188" t="s">
        <v>349</v>
      </c>
      <c r="B188" s="165">
        <v>41900</v>
      </c>
      <c r="C188" t="s">
        <v>350</v>
      </c>
      <c r="D188" t="s">
        <v>351</v>
      </c>
      <c r="E188">
        <v>12</v>
      </c>
      <c r="F188" s="166">
        <v>566.66666666666663</v>
      </c>
      <c r="G188">
        <v>6800</v>
      </c>
    </row>
    <row r="189" spans="1:7" hidden="1">
      <c r="A189" t="s">
        <v>349</v>
      </c>
      <c r="B189" s="165">
        <v>41907</v>
      </c>
      <c r="C189" t="s">
        <v>358</v>
      </c>
      <c r="D189" t="s">
        <v>359</v>
      </c>
      <c r="E189">
        <v>1</v>
      </c>
      <c r="F189" s="166">
        <v>552</v>
      </c>
      <c r="G189">
        <v>552</v>
      </c>
    </row>
    <row r="190" spans="1:7" hidden="1">
      <c r="A190" t="s">
        <v>349</v>
      </c>
      <c r="B190" s="165">
        <v>41907</v>
      </c>
      <c r="C190" t="s">
        <v>358</v>
      </c>
      <c r="D190" t="s">
        <v>359</v>
      </c>
      <c r="E190">
        <v>4</v>
      </c>
      <c r="F190" s="166">
        <v>585</v>
      </c>
      <c r="G190">
        <v>2340</v>
      </c>
    </row>
    <row r="191" spans="1:7" hidden="1">
      <c r="A191" t="s">
        <v>349</v>
      </c>
      <c r="B191" s="165">
        <v>41907</v>
      </c>
      <c r="C191" t="s">
        <v>358</v>
      </c>
      <c r="D191" t="s">
        <v>359</v>
      </c>
      <c r="E191">
        <v>10</v>
      </c>
      <c r="F191" s="166">
        <v>420.2</v>
      </c>
      <c r="G191">
        <v>4202</v>
      </c>
    </row>
    <row r="192" spans="1:7" hidden="1">
      <c r="A192" t="s">
        <v>349</v>
      </c>
      <c r="B192" s="165">
        <v>41907</v>
      </c>
      <c r="C192" t="s">
        <v>358</v>
      </c>
      <c r="D192" t="s">
        <v>359</v>
      </c>
      <c r="E192">
        <v>12</v>
      </c>
      <c r="F192" s="166">
        <v>815</v>
      </c>
      <c r="G192">
        <v>9780</v>
      </c>
    </row>
    <row r="193" spans="1:7">
      <c r="A193" t="s">
        <v>349</v>
      </c>
      <c r="B193" s="165">
        <v>41907</v>
      </c>
      <c r="C193" t="s">
        <v>354</v>
      </c>
      <c r="D193" t="s">
        <v>355</v>
      </c>
      <c r="E193">
        <v>4</v>
      </c>
      <c r="F193" s="166">
        <v>445</v>
      </c>
      <c r="G193">
        <v>1780</v>
      </c>
    </row>
    <row r="194" spans="1:7">
      <c r="A194" t="s">
        <v>349</v>
      </c>
      <c r="B194" s="165">
        <v>41907</v>
      </c>
      <c r="C194" t="s">
        <v>354</v>
      </c>
      <c r="D194" t="s">
        <v>355</v>
      </c>
      <c r="E194">
        <v>4</v>
      </c>
      <c r="F194" s="166">
        <v>700</v>
      </c>
      <c r="G194">
        <v>2800</v>
      </c>
    </row>
    <row r="195" spans="1:7">
      <c r="A195" t="s">
        <v>349</v>
      </c>
      <c r="B195" s="165">
        <v>41907</v>
      </c>
      <c r="C195" t="s">
        <v>354</v>
      </c>
      <c r="D195" t="s">
        <v>355</v>
      </c>
      <c r="E195">
        <v>6</v>
      </c>
      <c r="F195" s="166">
        <v>680</v>
      </c>
      <c r="G195">
        <v>4080</v>
      </c>
    </row>
    <row r="196" spans="1:7">
      <c r="A196" t="s">
        <v>349</v>
      </c>
      <c r="B196" s="165">
        <v>41907</v>
      </c>
      <c r="C196" t="s">
        <v>354</v>
      </c>
      <c r="D196" t="s">
        <v>355</v>
      </c>
      <c r="E196">
        <v>4</v>
      </c>
      <c r="F196" s="166">
        <v>1245</v>
      </c>
      <c r="G196">
        <v>4980</v>
      </c>
    </row>
    <row r="197" spans="1:7">
      <c r="A197" t="s">
        <v>349</v>
      </c>
      <c r="B197" s="165">
        <v>41907</v>
      </c>
      <c r="C197" t="s">
        <v>354</v>
      </c>
      <c r="D197" t="s">
        <v>355</v>
      </c>
      <c r="E197">
        <v>17</v>
      </c>
      <c r="F197" s="166">
        <v>486.76470588235293</v>
      </c>
      <c r="G197">
        <v>8275</v>
      </c>
    </row>
    <row r="198" spans="1:7" hidden="1">
      <c r="A198" t="s">
        <v>349</v>
      </c>
      <c r="B198" s="165">
        <v>41907</v>
      </c>
      <c r="C198" t="s">
        <v>352</v>
      </c>
      <c r="D198" t="s">
        <v>353</v>
      </c>
      <c r="E198">
        <v>6</v>
      </c>
      <c r="F198" s="166">
        <v>975</v>
      </c>
      <c r="G198">
        <v>5850</v>
      </c>
    </row>
    <row r="199" spans="1:7" hidden="1">
      <c r="A199" t="s">
        <v>349</v>
      </c>
      <c r="B199" s="165">
        <v>41907</v>
      </c>
      <c r="C199" t="s">
        <v>356</v>
      </c>
      <c r="D199" t="s">
        <v>357</v>
      </c>
      <c r="E199">
        <v>1</v>
      </c>
      <c r="F199" s="166">
        <v>300</v>
      </c>
      <c r="G199">
        <v>300</v>
      </c>
    </row>
    <row r="200" spans="1:7" hidden="1">
      <c r="A200" t="s">
        <v>349</v>
      </c>
      <c r="B200" s="165">
        <v>41907</v>
      </c>
      <c r="C200" t="s">
        <v>356</v>
      </c>
      <c r="D200" t="s">
        <v>357</v>
      </c>
      <c r="E200">
        <v>1</v>
      </c>
      <c r="F200" s="166">
        <v>450</v>
      </c>
      <c r="G200">
        <v>450</v>
      </c>
    </row>
    <row r="201" spans="1:7" hidden="1">
      <c r="A201" t="s">
        <v>349</v>
      </c>
      <c r="B201" s="165">
        <v>41907</v>
      </c>
      <c r="C201" t="s">
        <v>356</v>
      </c>
      <c r="D201" t="s">
        <v>357</v>
      </c>
      <c r="E201">
        <v>6</v>
      </c>
      <c r="F201" s="166">
        <v>176.5</v>
      </c>
      <c r="G201">
        <v>1059</v>
      </c>
    </row>
    <row r="202" spans="1:7" hidden="1">
      <c r="A202" t="s">
        <v>349</v>
      </c>
      <c r="B202" s="165">
        <v>41907</v>
      </c>
      <c r="C202" t="s">
        <v>356</v>
      </c>
      <c r="D202" t="s">
        <v>357</v>
      </c>
      <c r="E202">
        <v>6</v>
      </c>
      <c r="F202" s="166">
        <v>187</v>
      </c>
      <c r="G202">
        <v>1122</v>
      </c>
    </row>
    <row r="203" spans="1:7" hidden="1">
      <c r="A203" t="s">
        <v>349</v>
      </c>
      <c r="B203" s="165">
        <v>41907</v>
      </c>
      <c r="C203" t="s">
        <v>356</v>
      </c>
      <c r="D203" t="s">
        <v>357</v>
      </c>
      <c r="E203">
        <v>3</v>
      </c>
      <c r="F203" s="166">
        <v>385.33333333333331</v>
      </c>
      <c r="G203">
        <v>1156</v>
      </c>
    </row>
    <row r="204" spans="1:7" hidden="1">
      <c r="A204" t="s">
        <v>349</v>
      </c>
      <c r="B204" s="165">
        <v>41907</v>
      </c>
      <c r="C204" t="s">
        <v>356</v>
      </c>
      <c r="D204" t="s">
        <v>357</v>
      </c>
      <c r="E204">
        <v>21</v>
      </c>
      <c r="F204" s="166">
        <v>226.28571428571428</v>
      </c>
      <c r="G204">
        <v>4752</v>
      </c>
    </row>
    <row r="205" spans="1:7" hidden="1">
      <c r="A205" t="s">
        <v>349</v>
      </c>
      <c r="B205" s="165">
        <v>41907</v>
      </c>
      <c r="C205" t="s">
        <v>356</v>
      </c>
      <c r="D205" t="s">
        <v>357</v>
      </c>
      <c r="E205">
        <v>13</v>
      </c>
      <c r="F205" s="166">
        <v>386</v>
      </c>
      <c r="G205">
        <v>5018</v>
      </c>
    </row>
    <row r="206" spans="1:7" hidden="1">
      <c r="A206" t="s">
        <v>349</v>
      </c>
      <c r="B206" s="165">
        <v>41907</v>
      </c>
      <c r="C206" t="s">
        <v>356</v>
      </c>
      <c r="D206" t="s">
        <v>357</v>
      </c>
      <c r="E206">
        <v>52</v>
      </c>
      <c r="F206" s="166">
        <v>500</v>
      </c>
      <c r="G206">
        <v>26000</v>
      </c>
    </row>
    <row r="207" spans="1:7" hidden="1">
      <c r="A207" t="s">
        <v>349</v>
      </c>
      <c r="B207" s="165">
        <v>41907</v>
      </c>
      <c r="C207" t="s">
        <v>350</v>
      </c>
      <c r="D207" t="s">
        <v>351</v>
      </c>
      <c r="E207">
        <v>9</v>
      </c>
      <c r="F207" s="166">
        <v>200</v>
      </c>
      <c r="G207">
        <v>1800</v>
      </c>
    </row>
    <row r="208" spans="1:7" hidden="1">
      <c r="A208" t="s">
        <v>349</v>
      </c>
      <c r="B208" s="165">
        <v>41907</v>
      </c>
      <c r="C208" t="s">
        <v>350</v>
      </c>
      <c r="D208" t="s">
        <v>351</v>
      </c>
      <c r="E208">
        <v>11</v>
      </c>
      <c r="F208" s="166">
        <v>590.90909090909088</v>
      </c>
      <c r="G208">
        <v>6500</v>
      </c>
    </row>
    <row r="209" spans="1:7" hidden="1">
      <c r="A209" t="s">
        <v>349</v>
      </c>
      <c r="B209" s="165">
        <v>41907</v>
      </c>
      <c r="C209" t="s">
        <v>350</v>
      </c>
      <c r="D209" t="s">
        <v>351</v>
      </c>
      <c r="E209">
        <v>17</v>
      </c>
      <c r="F209" s="166">
        <v>560</v>
      </c>
      <c r="G209">
        <v>9520</v>
      </c>
    </row>
    <row r="210" spans="1:7" hidden="1">
      <c r="A210" t="s">
        <v>349</v>
      </c>
      <c r="B210" s="165">
        <v>41921</v>
      </c>
      <c r="C210" t="s">
        <v>358</v>
      </c>
      <c r="D210" t="s">
        <v>359</v>
      </c>
      <c r="E210">
        <v>2</v>
      </c>
      <c r="F210" s="166">
        <v>544</v>
      </c>
      <c r="G210">
        <v>1088</v>
      </c>
    </row>
    <row r="211" spans="1:7">
      <c r="A211" t="s">
        <v>349</v>
      </c>
      <c r="B211" s="165">
        <v>41921</v>
      </c>
      <c r="C211" t="s">
        <v>354</v>
      </c>
      <c r="D211" t="s">
        <v>355</v>
      </c>
      <c r="E211">
        <v>3</v>
      </c>
      <c r="F211" s="166">
        <v>544</v>
      </c>
      <c r="G211">
        <v>1632</v>
      </c>
    </row>
    <row r="212" spans="1:7">
      <c r="A212" t="s">
        <v>349</v>
      </c>
      <c r="B212" s="165">
        <v>41921</v>
      </c>
      <c r="C212" t="s">
        <v>354</v>
      </c>
      <c r="D212" t="s">
        <v>355</v>
      </c>
      <c r="E212">
        <v>7</v>
      </c>
      <c r="F212" s="166">
        <v>1245</v>
      </c>
      <c r="G212">
        <v>8715</v>
      </c>
    </row>
    <row r="213" spans="1:7" hidden="1">
      <c r="A213" t="s">
        <v>349</v>
      </c>
      <c r="B213" s="165">
        <v>41921</v>
      </c>
      <c r="C213" t="s">
        <v>352</v>
      </c>
      <c r="D213" t="s">
        <v>353</v>
      </c>
      <c r="E213">
        <v>11</v>
      </c>
      <c r="F213" s="166">
        <v>915.90909090909088</v>
      </c>
      <c r="G213">
        <v>10075</v>
      </c>
    </row>
    <row r="214" spans="1:7" hidden="1">
      <c r="A214" t="s">
        <v>349</v>
      </c>
      <c r="B214" s="165">
        <v>41921</v>
      </c>
      <c r="C214" t="s">
        <v>352</v>
      </c>
      <c r="D214" t="s">
        <v>353</v>
      </c>
      <c r="E214">
        <v>20</v>
      </c>
      <c r="F214" s="166">
        <v>1733</v>
      </c>
      <c r="G214">
        <v>34660</v>
      </c>
    </row>
    <row r="215" spans="1:7" hidden="1">
      <c r="A215" t="s">
        <v>349</v>
      </c>
      <c r="B215" s="165">
        <v>41921</v>
      </c>
      <c r="C215" t="s">
        <v>356</v>
      </c>
      <c r="D215" t="s">
        <v>357</v>
      </c>
      <c r="E215">
        <v>1</v>
      </c>
      <c r="F215" s="166">
        <v>250</v>
      </c>
      <c r="G215">
        <v>250</v>
      </c>
    </row>
    <row r="216" spans="1:7" hidden="1">
      <c r="A216" t="s">
        <v>349</v>
      </c>
      <c r="B216" s="165">
        <v>41921</v>
      </c>
      <c r="C216" t="s">
        <v>350</v>
      </c>
      <c r="D216" t="s">
        <v>351</v>
      </c>
      <c r="E216">
        <v>9</v>
      </c>
      <c r="F216" s="166">
        <v>561.11111111111109</v>
      </c>
      <c r="G216">
        <v>5050</v>
      </c>
    </row>
    <row r="217" spans="1:7" hidden="1">
      <c r="A217" t="s">
        <v>349</v>
      </c>
      <c r="B217" s="165">
        <v>41921</v>
      </c>
      <c r="C217" t="s">
        <v>350</v>
      </c>
      <c r="D217" t="s">
        <v>351</v>
      </c>
      <c r="E217">
        <v>14</v>
      </c>
      <c r="F217" s="166">
        <v>696.42857142857144</v>
      </c>
      <c r="G217">
        <v>9750</v>
      </c>
    </row>
    <row r="218" spans="1:7" hidden="1">
      <c r="A218" t="s">
        <v>349</v>
      </c>
      <c r="B218" s="165">
        <v>41928</v>
      </c>
      <c r="C218" t="s">
        <v>350</v>
      </c>
      <c r="D218" t="s">
        <v>351</v>
      </c>
      <c r="E218">
        <v>7</v>
      </c>
      <c r="F218" s="166">
        <v>359.28571428571428</v>
      </c>
      <c r="G218">
        <v>2515</v>
      </c>
    </row>
    <row r="219" spans="1:7" hidden="1">
      <c r="A219" t="s">
        <v>349</v>
      </c>
      <c r="B219" s="165">
        <v>41936</v>
      </c>
      <c r="C219" t="s">
        <v>358</v>
      </c>
      <c r="D219" t="s">
        <v>359</v>
      </c>
      <c r="E219">
        <v>1</v>
      </c>
      <c r="F219" s="166">
        <v>441</v>
      </c>
      <c r="G219">
        <v>441</v>
      </c>
    </row>
    <row r="220" spans="1:7">
      <c r="A220" t="s">
        <v>349</v>
      </c>
      <c r="B220" s="165">
        <v>41936</v>
      </c>
      <c r="C220" t="s">
        <v>354</v>
      </c>
      <c r="D220" t="s">
        <v>355</v>
      </c>
      <c r="E220">
        <v>4</v>
      </c>
      <c r="F220" s="166">
        <v>750</v>
      </c>
      <c r="G220">
        <v>3000</v>
      </c>
    </row>
    <row r="221" spans="1:7">
      <c r="A221" t="s">
        <v>349</v>
      </c>
      <c r="B221" s="165">
        <v>41936</v>
      </c>
      <c r="C221" t="s">
        <v>354</v>
      </c>
      <c r="D221" t="s">
        <v>355</v>
      </c>
      <c r="E221">
        <v>8</v>
      </c>
      <c r="F221" s="166">
        <v>381.375</v>
      </c>
      <c r="G221">
        <v>3051</v>
      </c>
    </row>
    <row r="222" spans="1:7">
      <c r="A222" t="s">
        <v>349</v>
      </c>
      <c r="B222" s="165">
        <v>41936</v>
      </c>
      <c r="C222" t="s">
        <v>354</v>
      </c>
      <c r="D222" t="s">
        <v>355</v>
      </c>
      <c r="E222">
        <v>11</v>
      </c>
      <c r="F222" s="166">
        <v>412</v>
      </c>
      <c r="G222">
        <v>4532</v>
      </c>
    </row>
    <row r="223" spans="1:7">
      <c r="A223" t="s">
        <v>349</v>
      </c>
      <c r="B223" s="165">
        <v>41936</v>
      </c>
      <c r="C223" t="s">
        <v>354</v>
      </c>
      <c r="D223" t="s">
        <v>355</v>
      </c>
      <c r="E223">
        <v>12</v>
      </c>
      <c r="F223" s="166">
        <v>414.41666666666669</v>
      </c>
      <c r="G223">
        <v>4973</v>
      </c>
    </row>
    <row r="224" spans="1:7">
      <c r="A224" t="s">
        <v>349</v>
      </c>
      <c r="B224" s="165">
        <v>41936</v>
      </c>
      <c r="C224" t="s">
        <v>354</v>
      </c>
      <c r="D224" t="s">
        <v>355</v>
      </c>
      <c r="E224">
        <v>12</v>
      </c>
      <c r="F224" s="166">
        <v>414.41666666666669</v>
      </c>
      <c r="G224">
        <v>4973</v>
      </c>
    </row>
    <row r="225" spans="1:7" hidden="1">
      <c r="A225" t="s">
        <v>349</v>
      </c>
      <c r="B225" s="165">
        <v>41936</v>
      </c>
      <c r="C225" t="s">
        <v>352</v>
      </c>
      <c r="D225" t="s">
        <v>353</v>
      </c>
      <c r="E225">
        <v>4</v>
      </c>
      <c r="F225" s="166">
        <v>1070</v>
      </c>
      <c r="G225">
        <v>4280</v>
      </c>
    </row>
    <row r="226" spans="1:7" hidden="1">
      <c r="A226" t="s">
        <v>349</v>
      </c>
      <c r="B226" s="165">
        <v>41936</v>
      </c>
      <c r="C226" t="s">
        <v>352</v>
      </c>
      <c r="D226" t="s">
        <v>353</v>
      </c>
      <c r="E226">
        <v>14</v>
      </c>
      <c r="F226" s="166">
        <v>1094.7857142857142</v>
      </c>
      <c r="G226">
        <v>15327</v>
      </c>
    </row>
    <row r="227" spans="1:7" hidden="1">
      <c r="A227" t="s">
        <v>349</v>
      </c>
      <c r="B227" s="165">
        <v>41936</v>
      </c>
      <c r="C227" t="s">
        <v>356</v>
      </c>
      <c r="D227" t="s">
        <v>357</v>
      </c>
      <c r="E227">
        <v>1</v>
      </c>
      <c r="F227" s="166">
        <v>479</v>
      </c>
      <c r="G227">
        <v>479</v>
      </c>
    </row>
    <row r="228" spans="1:7" hidden="1">
      <c r="A228" t="s">
        <v>349</v>
      </c>
      <c r="B228" s="165">
        <v>41936</v>
      </c>
      <c r="C228" t="s">
        <v>350</v>
      </c>
      <c r="D228" t="s">
        <v>351</v>
      </c>
      <c r="E228">
        <v>3</v>
      </c>
      <c r="F228" s="166">
        <v>200</v>
      </c>
      <c r="G228">
        <v>600</v>
      </c>
    </row>
    <row r="229" spans="1:7" hidden="1">
      <c r="A229" t="s">
        <v>349</v>
      </c>
      <c r="B229" s="165">
        <v>41936</v>
      </c>
      <c r="C229" t="s">
        <v>350</v>
      </c>
      <c r="D229" t="s">
        <v>351</v>
      </c>
      <c r="E229">
        <v>2</v>
      </c>
      <c r="F229" s="166">
        <v>323</v>
      </c>
      <c r="G229">
        <v>646</v>
      </c>
    </row>
    <row r="230" spans="1:7" hidden="1">
      <c r="A230" t="s">
        <v>349</v>
      </c>
      <c r="B230" s="165">
        <v>41936</v>
      </c>
      <c r="C230" t="s">
        <v>350</v>
      </c>
      <c r="D230" t="s">
        <v>351</v>
      </c>
      <c r="E230">
        <v>5</v>
      </c>
      <c r="F230" s="166">
        <v>600</v>
      </c>
      <c r="G230">
        <v>3000</v>
      </c>
    </row>
    <row r="231" spans="1:7" hidden="1">
      <c r="A231" t="s">
        <v>349</v>
      </c>
      <c r="B231" s="165">
        <v>41936</v>
      </c>
      <c r="C231" t="s">
        <v>350</v>
      </c>
      <c r="D231" t="s">
        <v>351</v>
      </c>
      <c r="E231">
        <v>12</v>
      </c>
      <c r="F231" s="166">
        <v>489</v>
      </c>
      <c r="G231">
        <v>5868</v>
      </c>
    </row>
    <row r="232" spans="1:7" hidden="1">
      <c r="A232" t="s">
        <v>349</v>
      </c>
      <c r="B232" s="165">
        <v>41936</v>
      </c>
      <c r="C232" t="s">
        <v>350</v>
      </c>
      <c r="D232" t="s">
        <v>351</v>
      </c>
      <c r="E232">
        <v>8</v>
      </c>
      <c r="F232" s="166">
        <v>787.875</v>
      </c>
      <c r="G232">
        <v>6303</v>
      </c>
    </row>
    <row r="233" spans="1:7" hidden="1">
      <c r="A233" t="s">
        <v>349</v>
      </c>
      <c r="B233" s="165">
        <v>41936</v>
      </c>
      <c r="C233" t="s">
        <v>350</v>
      </c>
      <c r="D233" t="s">
        <v>351</v>
      </c>
      <c r="E233">
        <v>10</v>
      </c>
      <c r="F233" s="166">
        <v>637</v>
      </c>
      <c r="G233">
        <v>6370</v>
      </c>
    </row>
    <row r="234" spans="1:7" hidden="1">
      <c r="A234" t="s">
        <v>349</v>
      </c>
      <c r="B234" s="165">
        <v>41943</v>
      </c>
      <c r="C234" t="s">
        <v>358</v>
      </c>
      <c r="D234" t="s">
        <v>359</v>
      </c>
      <c r="E234">
        <v>3</v>
      </c>
      <c r="F234" s="166">
        <v>722</v>
      </c>
      <c r="G234">
        <v>2166</v>
      </c>
    </row>
    <row r="235" spans="1:7" hidden="1">
      <c r="A235" t="s">
        <v>349</v>
      </c>
      <c r="B235" s="165">
        <v>41943</v>
      </c>
      <c r="C235" t="s">
        <v>358</v>
      </c>
      <c r="D235" t="s">
        <v>359</v>
      </c>
      <c r="E235">
        <v>10</v>
      </c>
      <c r="F235" s="166">
        <v>675</v>
      </c>
      <c r="G235">
        <v>6750</v>
      </c>
    </row>
    <row r="236" spans="1:7">
      <c r="A236" t="s">
        <v>349</v>
      </c>
      <c r="B236" s="165">
        <v>41943</v>
      </c>
      <c r="C236" t="s">
        <v>354</v>
      </c>
      <c r="D236" t="s">
        <v>355</v>
      </c>
      <c r="E236">
        <v>2</v>
      </c>
      <c r="F236" s="166">
        <v>815</v>
      </c>
      <c r="G236">
        <v>1630</v>
      </c>
    </row>
    <row r="237" spans="1:7">
      <c r="A237" t="s">
        <v>349</v>
      </c>
      <c r="B237" s="165">
        <v>41943</v>
      </c>
      <c r="C237" t="s">
        <v>354</v>
      </c>
      <c r="D237" t="s">
        <v>355</v>
      </c>
      <c r="E237">
        <v>15</v>
      </c>
      <c r="F237" s="166">
        <v>299</v>
      </c>
      <c r="G237">
        <v>4485</v>
      </c>
    </row>
    <row r="238" spans="1:7">
      <c r="A238" t="s">
        <v>349</v>
      </c>
      <c r="B238" s="165">
        <v>41943</v>
      </c>
      <c r="C238" t="s">
        <v>354</v>
      </c>
      <c r="D238" t="s">
        <v>355</v>
      </c>
      <c r="E238">
        <v>12</v>
      </c>
      <c r="F238" s="166">
        <v>434.58333333333331</v>
      </c>
      <c r="G238">
        <v>5215</v>
      </c>
    </row>
    <row r="239" spans="1:7">
      <c r="A239" t="s">
        <v>349</v>
      </c>
      <c r="B239" s="165">
        <v>41943</v>
      </c>
      <c r="C239" t="s">
        <v>354</v>
      </c>
      <c r="D239" t="s">
        <v>355</v>
      </c>
      <c r="E239">
        <v>12</v>
      </c>
      <c r="F239" s="166">
        <v>445.08333333333331</v>
      </c>
      <c r="G239">
        <v>5341</v>
      </c>
    </row>
    <row r="240" spans="1:7">
      <c r="A240" t="s">
        <v>349</v>
      </c>
      <c r="B240" s="165">
        <v>41943</v>
      </c>
      <c r="C240" t="s">
        <v>354</v>
      </c>
      <c r="D240" t="s">
        <v>355</v>
      </c>
      <c r="E240">
        <v>16</v>
      </c>
      <c r="F240" s="166">
        <v>446.4375</v>
      </c>
      <c r="G240">
        <v>7143</v>
      </c>
    </row>
    <row r="241" spans="1:7">
      <c r="A241" t="s">
        <v>349</v>
      </c>
      <c r="B241" s="165">
        <v>41943</v>
      </c>
      <c r="C241" t="s">
        <v>354</v>
      </c>
      <c r="D241" t="s">
        <v>355</v>
      </c>
      <c r="E241">
        <v>24</v>
      </c>
      <c r="F241" s="166">
        <v>438.70833333333331</v>
      </c>
      <c r="G241">
        <v>10529</v>
      </c>
    </row>
    <row r="242" spans="1:7">
      <c r="A242" t="s">
        <v>349</v>
      </c>
      <c r="B242" s="165">
        <v>41943</v>
      </c>
      <c r="C242" t="s">
        <v>354</v>
      </c>
      <c r="D242" t="s">
        <v>355</v>
      </c>
      <c r="E242">
        <v>24</v>
      </c>
      <c r="F242" s="166">
        <v>445</v>
      </c>
      <c r="G242">
        <v>10680</v>
      </c>
    </row>
    <row r="243" spans="1:7" hidden="1">
      <c r="A243" t="s">
        <v>349</v>
      </c>
      <c r="B243" s="165">
        <v>41943</v>
      </c>
      <c r="C243" t="s">
        <v>352</v>
      </c>
      <c r="D243" t="s">
        <v>353</v>
      </c>
      <c r="E243">
        <v>2</v>
      </c>
      <c r="F243" s="166">
        <v>880</v>
      </c>
      <c r="G243">
        <v>1760</v>
      </c>
    </row>
    <row r="244" spans="1:7" hidden="1">
      <c r="A244" t="s">
        <v>349</v>
      </c>
      <c r="B244" s="165">
        <v>41943</v>
      </c>
      <c r="C244" t="s">
        <v>352</v>
      </c>
      <c r="D244" t="s">
        <v>353</v>
      </c>
      <c r="E244">
        <v>2</v>
      </c>
      <c r="F244" s="166">
        <v>880</v>
      </c>
      <c r="G244">
        <v>1760</v>
      </c>
    </row>
    <row r="245" spans="1:7" hidden="1">
      <c r="A245" t="s">
        <v>349</v>
      </c>
      <c r="B245" s="165">
        <v>41943</v>
      </c>
      <c r="C245" t="s">
        <v>352</v>
      </c>
      <c r="D245" t="s">
        <v>353</v>
      </c>
      <c r="E245">
        <v>4</v>
      </c>
      <c r="F245" s="166">
        <v>497</v>
      </c>
      <c r="G245">
        <v>1988</v>
      </c>
    </row>
    <row r="246" spans="1:7" hidden="1">
      <c r="A246" t="s">
        <v>349</v>
      </c>
      <c r="B246" s="165">
        <v>41943</v>
      </c>
      <c r="C246" t="s">
        <v>352</v>
      </c>
      <c r="D246" t="s">
        <v>353</v>
      </c>
      <c r="E246">
        <v>5</v>
      </c>
      <c r="F246" s="166">
        <v>880</v>
      </c>
      <c r="G246">
        <v>4400</v>
      </c>
    </row>
    <row r="247" spans="1:7" hidden="1">
      <c r="A247" t="s">
        <v>349</v>
      </c>
      <c r="B247" s="165">
        <v>41943</v>
      </c>
      <c r="C247" t="s">
        <v>352</v>
      </c>
      <c r="D247" t="s">
        <v>353</v>
      </c>
      <c r="E247">
        <v>5</v>
      </c>
      <c r="F247" s="166">
        <v>1750</v>
      </c>
      <c r="G247">
        <v>8750</v>
      </c>
    </row>
    <row r="248" spans="1:7" hidden="1">
      <c r="A248" t="s">
        <v>349</v>
      </c>
      <c r="B248" s="165">
        <v>41943</v>
      </c>
      <c r="C248" t="s">
        <v>352</v>
      </c>
      <c r="D248" t="s">
        <v>353</v>
      </c>
      <c r="E248">
        <v>49</v>
      </c>
      <c r="F248" s="166">
        <v>1704.9795918367347</v>
      </c>
      <c r="G248">
        <v>83544</v>
      </c>
    </row>
    <row r="249" spans="1:7" hidden="1">
      <c r="A249" t="s">
        <v>349</v>
      </c>
      <c r="B249" s="165">
        <v>41943</v>
      </c>
      <c r="C249" t="s">
        <v>356</v>
      </c>
      <c r="D249" t="s">
        <v>357</v>
      </c>
      <c r="E249">
        <v>2</v>
      </c>
      <c r="F249" s="166">
        <v>200</v>
      </c>
      <c r="G249">
        <v>400</v>
      </c>
    </row>
    <row r="250" spans="1:7" hidden="1">
      <c r="A250" t="s">
        <v>349</v>
      </c>
      <c r="B250" s="165">
        <v>41943</v>
      </c>
      <c r="C250" t="s">
        <v>356</v>
      </c>
      <c r="D250" t="s">
        <v>357</v>
      </c>
      <c r="E250">
        <v>3</v>
      </c>
      <c r="F250" s="166">
        <v>260</v>
      </c>
      <c r="G250">
        <v>780</v>
      </c>
    </row>
    <row r="251" spans="1:7" hidden="1">
      <c r="A251" t="s">
        <v>349</v>
      </c>
      <c r="B251" s="165">
        <v>41943</v>
      </c>
      <c r="C251" t="s">
        <v>356</v>
      </c>
      <c r="D251" t="s">
        <v>357</v>
      </c>
      <c r="E251">
        <v>21</v>
      </c>
      <c r="F251" s="166">
        <v>265.66666666666669</v>
      </c>
      <c r="G251">
        <v>5579</v>
      </c>
    </row>
    <row r="252" spans="1:7" hidden="1">
      <c r="A252" t="s">
        <v>349</v>
      </c>
      <c r="B252" s="165">
        <v>41943</v>
      </c>
      <c r="C252" t="s">
        <v>350</v>
      </c>
      <c r="D252" t="s">
        <v>351</v>
      </c>
      <c r="E252">
        <v>2</v>
      </c>
      <c r="F252" s="166">
        <v>198.5</v>
      </c>
      <c r="G252">
        <v>397</v>
      </c>
    </row>
    <row r="253" spans="1:7" hidden="1">
      <c r="A253" t="s">
        <v>349</v>
      </c>
      <c r="B253" s="165">
        <v>41943</v>
      </c>
      <c r="C253" t="s">
        <v>350</v>
      </c>
      <c r="D253" t="s">
        <v>351</v>
      </c>
      <c r="E253">
        <v>3</v>
      </c>
      <c r="F253" s="166">
        <v>399</v>
      </c>
      <c r="G253">
        <v>1197</v>
      </c>
    </row>
    <row r="254" spans="1:7" hidden="1">
      <c r="A254" t="s">
        <v>349</v>
      </c>
      <c r="B254" s="165">
        <v>41943</v>
      </c>
      <c r="C254" t="s">
        <v>350</v>
      </c>
      <c r="D254" t="s">
        <v>351</v>
      </c>
      <c r="E254">
        <v>9</v>
      </c>
      <c r="F254" s="166">
        <v>227.33333333333334</v>
      </c>
      <c r="G254">
        <v>2046</v>
      </c>
    </row>
    <row r="255" spans="1:7" hidden="1">
      <c r="A255" t="s">
        <v>349</v>
      </c>
      <c r="B255" s="165">
        <v>41943</v>
      </c>
      <c r="C255" t="s">
        <v>350</v>
      </c>
      <c r="D255" t="s">
        <v>351</v>
      </c>
      <c r="E255">
        <v>6</v>
      </c>
      <c r="F255" s="166">
        <v>650</v>
      </c>
      <c r="G255">
        <v>3900</v>
      </c>
    </row>
    <row r="256" spans="1:7" hidden="1">
      <c r="A256" t="s">
        <v>349</v>
      </c>
      <c r="B256" s="165">
        <v>41943</v>
      </c>
      <c r="C256" t="s">
        <v>350</v>
      </c>
      <c r="D256" t="s">
        <v>351</v>
      </c>
      <c r="E256">
        <v>15</v>
      </c>
      <c r="F256" s="166">
        <v>722</v>
      </c>
      <c r="G256">
        <v>10830</v>
      </c>
    </row>
    <row r="257" spans="1:7" hidden="1">
      <c r="A257" t="s">
        <v>349</v>
      </c>
      <c r="B257" s="165">
        <v>41949</v>
      </c>
      <c r="C257" t="s">
        <v>358</v>
      </c>
      <c r="D257" t="s">
        <v>359</v>
      </c>
      <c r="E257">
        <v>2</v>
      </c>
      <c r="F257" s="166">
        <v>757</v>
      </c>
      <c r="G257">
        <v>1514</v>
      </c>
    </row>
    <row r="258" spans="1:7" hidden="1">
      <c r="A258" t="s">
        <v>349</v>
      </c>
      <c r="B258" s="165">
        <v>41949</v>
      </c>
      <c r="C258" t="s">
        <v>358</v>
      </c>
      <c r="D258" t="s">
        <v>359</v>
      </c>
      <c r="E258">
        <v>16</v>
      </c>
      <c r="F258" s="166">
        <v>482.5</v>
      </c>
      <c r="G258">
        <v>7720</v>
      </c>
    </row>
    <row r="259" spans="1:7">
      <c r="A259" t="s">
        <v>349</v>
      </c>
      <c r="B259" s="165">
        <v>41949</v>
      </c>
      <c r="C259" t="s">
        <v>354</v>
      </c>
      <c r="D259" t="s">
        <v>355</v>
      </c>
      <c r="E259">
        <v>11</v>
      </c>
      <c r="F259" s="166">
        <v>402.27272727272725</v>
      </c>
      <c r="G259">
        <v>4425</v>
      </c>
    </row>
    <row r="260" spans="1:7">
      <c r="A260" t="s">
        <v>349</v>
      </c>
      <c r="B260" s="165">
        <v>41949</v>
      </c>
      <c r="C260" t="s">
        <v>354</v>
      </c>
      <c r="D260" t="s">
        <v>355</v>
      </c>
      <c r="E260">
        <v>12</v>
      </c>
      <c r="F260" s="166">
        <v>446.41666666666669</v>
      </c>
      <c r="G260">
        <v>5357</v>
      </c>
    </row>
    <row r="261" spans="1:7">
      <c r="A261" t="s">
        <v>349</v>
      </c>
      <c r="B261" s="165">
        <v>41949</v>
      </c>
      <c r="C261" t="s">
        <v>354</v>
      </c>
      <c r="D261" t="s">
        <v>355</v>
      </c>
      <c r="E261">
        <v>7</v>
      </c>
      <c r="F261" s="166">
        <v>1245</v>
      </c>
      <c r="G261">
        <v>8715</v>
      </c>
    </row>
    <row r="262" spans="1:7">
      <c r="A262" t="s">
        <v>349</v>
      </c>
      <c r="B262" s="165">
        <v>41949</v>
      </c>
      <c r="C262" t="s">
        <v>354</v>
      </c>
      <c r="D262" t="s">
        <v>355</v>
      </c>
      <c r="E262">
        <v>33</v>
      </c>
      <c r="F262" s="166">
        <v>912.39393939393938</v>
      </c>
      <c r="G262">
        <v>30109</v>
      </c>
    </row>
    <row r="263" spans="1:7" hidden="1">
      <c r="A263" t="s">
        <v>349</v>
      </c>
      <c r="B263" s="165">
        <v>41949</v>
      </c>
      <c r="C263" t="s">
        <v>352</v>
      </c>
      <c r="D263" t="s">
        <v>353</v>
      </c>
      <c r="E263">
        <v>5</v>
      </c>
      <c r="F263" s="166">
        <v>872.2</v>
      </c>
      <c r="G263">
        <v>4361</v>
      </c>
    </row>
    <row r="264" spans="1:7" hidden="1">
      <c r="A264" t="s">
        <v>349</v>
      </c>
      <c r="B264" s="165">
        <v>41949</v>
      </c>
      <c r="C264" t="s">
        <v>356</v>
      </c>
      <c r="D264" t="s">
        <v>357</v>
      </c>
      <c r="E264">
        <v>2</v>
      </c>
      <c r="F264" s="166">
        <v>350</v>
      </c>
      <c r="G264">
        <v>700</v>
      </c>
    </row>
    <row r="265" spans="1:7" hidden="1">
      <c r="A265" t="s">
        <v>349</v>
      </c>
      <c r="B265" s="165">
        <v>41949</v>
      </c>
      <c r="C265" t="s">
        <v>356</v>
      </c>
      <c r="D265" t="s">
        <v>357</v>
      </c>
      <c r="E265">
        <v>9</v>
      </c>
      <c r="F265" s="166">
        <v>295.11111111111109</v>
      </c>
      <c r="G265">
        <v>2656</v>
      </c>
    </row>
    <row r="266" spans="1:7" hidden="1">
      <c r="A266" t="s">
        <v>349</v>
      </c>
      <c r="B266" s="165">
        <v>41949</v>
      </c>
      <c r="C266" t="s">
        <v>356</v>
      </c>
      <c r="D266" t="s">
        <v>357</v>
      </c>
      <c r="E266">
        <v>10</v>
      </c>
      <c r="F266" s="166">
        <v>320.2</v>
      </c>
      <c r="G266">
        <v>3202</v>
      </c>
    </row>
    <row r="267" spans="1:7" hidden="1">
      <c r="A267" t="s">
        <v>349</v>
      </c>
      <c r="B267" s="165">
        <v>41949</v>
      </c>
      <c r="C267" t="s">
        <v>356</v>
      </c>
      <c r="D267" t="s">
        <v>357</v>
      </c>
      <c r="E267">
        <v>18</v>
      </c>
      <c r="F267" s="166">
        <v>353.33333333333331</v>
      </c>
      <c r="G267">
        <v>6360</v>
      </c>
    </row>
    <row r="268" spans="1:7" hidden="1">
      <c r="A268" t="s">
        <v>349</v>
      </c>
      <c r="B268" s="165">
        <v>41949</v>
      </c>
      <c r="C268" t="s">
        <v>356</v>
      </c>
      <c r="D268" t="s">
        <v>357</v>
      </c>
      <c r="E268">
        <v>27</v>
      </c>
      <c r="F268" s="166">
        <v>452</v>
      </c>
      <c r="G268">
        <v>12204</v>
      </c>
    </row>
    <row r="269" spans="1:7" hidden="1">
      <c r="A269" t="s">
        <v>349</v>
      </c>
      <c r="B269" s="165">
        <v>41949</v>
      </c>
      <c r="C269" t="s">
        <v>350</v>
      </c>
      <c r="D269" t="s">
        <v>351</v>
      </c>
      <c r="E269">
        <v>1</v>
      </c>
      <c r="F269" s="166">
        <v>330</v>
      </c>
      <c r="G269">
        <v>330</v>
      </c>
    </row>
    <row r="270" spans="1:7" hidden="1">
      <c r="A270" t="s">
        <v>349</v>
      </c>
      <c r="B270" s="165">
        <v>41949</v>
      </c>
      <c r="C270" t="s">
        <v>350</v>
      </c>
      <c r="D270" t="s">
        <v>351</v>
      </c>
      <c r="E270">
        <v>2</v>
      </c>
      <c r="F270" s="166">
        <v>350</v>
      </c>
      <c r="G270">
        <v>700</v>
      </c>
    </row>
    <row r="271" spans="1:7" hidden="1">
      <c r="A271" t="s">
        <v>349</v>
      </c>
      <c r="B271" s="165">
        <v>41949</v>
      </c>
      <c r="C271" t="s">
        <v>350</v>
      </c>
      <c r="D271" t="s">
        <v>351</v>
      </c>
      <c r="E271">
        <v>1</v>
      </c>
      <c r="F271" s="166">
        <v>795</v>
      </c>
      <c r="G271">
        <v>795</v>
      </c>
    </row>
    <row r="272" spans="1:7" hidden="1">
      <c r="A272" t="s">
        <v>349</v>
      </c>
      <c r="B272" s="165">
        <v>41949</v>
      </c>
      <c r="C272" t="s">
        <v>350</v>
      </c>
      <c r="D272" t="s">
        <v>351</v>
      </c>
      <c r="E272">
        <v>2</v>
      </c>
      <c r="F272" s="166">
        <v>422.5</v>
      </c>
      <c r="G272">
        <v>845</v>
      </c>
    </row>
    <row r="273" spans="1:7" hidden="1">
      <c r="A273" t="s">
        <v>349</v>
      </c>
      <c r="B273" s="165">
        <v>41949</v>
      </c>
      <c r="C273" t="s">
        <v>350</v>
      </c>
      <c r="D273" t="s">
        <v>351</v>
      </c>
      <c r="E273">
        <v>4</v>
      </c>
      <c r="F273" s="166">
        <v>615</v>
      </c>
      <c r="G273">
        <v>2460</v>
      </c>
    </row>
    <row r="274" spans="1:7" hidden="1">
      <c r="A274" t="s">
        <v>349</v>
      </c>
      <c r="B274" s="165">
        <v>41949</v>
      </c>
      <c r="C274" t="s">
        <v>350</v>
      </c>
      <c r="D274" t="s">
        <v>351</v>
      </c>
      <c r="E274">
        <v>8</v>
      </c>
      <c r="F274" s="166">
        <v>550</v>
      </c>
      <c r="G274">
        <v>4400</v>
      </c>
    </row>
    <row r="275" spans="1:7" hidden="1">
      <c r="A275" t="s">
        <v>349</v>
      </c>
      <c r="B275" s="165">
        <v>41949</v>
      </c>
      <c r="C275" t="s">
        <v>350</v>
      </c>
      <c r="D275" t="s">
        <v>351</v>
      </c>
      <c r="E275">
        <v>13</v>
      </c>
      <c r="F275" s="166">
        <v>392.30769230769232</v>
      </c>
      <c r="G275">
        <v>5100</v>
      </c>
    </row>
    <row r="276" spans="1:7" hidden="1">
      <c r="A276" t="s">
        <v>349</v>
      </c>
      <c r="B276" s="165">
        <v>41949</v>
      </c>
      <c r="C276" t="s">
        <v>350</v>
      </c>
      <c r="D276" t="s">
        <v>351</v>
      </c>
      <c r="E276">
        <v>15</v>
      </c>
      <c r="F276" s="166">
        <v>705.6</v>
      </c>
      <c r="G276">
        <v>10584</v>
      </c>
    </row>
    <row r="277" spans="1:7">
      <c r="A277" t="s">
        <v>349</v>
      </c>
      <c r="B277" s="165">
        <v>41957</v>
      </c>
      <c r="C277" t="s">
        <v>354</v>
      </c>
      <c r="D277" t="s">
        <v>355</v>
      </c>
      <c r="E277">
        <v>2</v>
      </c>
      <c r="F277" s="166">
        <v>360</v>
      </c>
      <c r="G277">
        <v>720</v>
      </c>
    </row>
    <row r="278" spans="1:7">
      <c r="A278" t="s">
        <v>349</v>
      </c>
      <c r="B278" s="165">
        <v>41957</v>
      </c>
      <c r="C278" t="s">
        <v>354</v>
      </c>
      <c r="D278" t="s">
        <v>355</v>
      </c>
      <c r="E278">
        <v>4</v>
      </c>
      <c r="F278" s="166">
        <v>556.75</v>
      </c>
      <c r="G278">
        <v>2227</v>
      </c>
    </row>
    <row r="279" spans="1:7">
      <c r="A279" t="s">
        <v>349</v>
      </c>
      <c r="B279" s="165">
        <v>41957</v>
      </c>
      <c r="C279" t="s">
        <v>354</v>
      </c>
      <c r="D279" t="s">
        <v>355</v>
      </c>
      <c r="E279">
        <v>8</v>
      </c>
      <c r="F279" s="166">
        <v>556.625</v>
      </c>
      <c r="G279">
        <v>4453</v>
      </c>
    </row>
    <row r="280" spans="1:7">
      <c r="A280" t="s">
        <v>349</v>
      </c>
      <c r="B280" s="165">
        <v>41957</v>
      </c>
      <c r="C280" t="s">
        <v>354</v>
      </c>
      <c r="D280" t="s">
        <v>355</v>
      </c>
      <c r="E280">
        <v>8</v>
      </c>
      <c r="F280" s="166">
        <v>556.625</v>
      </c>
      <c r="G280">
        <v>4453</v>
      </c>
    </row>
    <row r="281" spans="1:7">
      <c r="A281" t="s">
        <v>349</v>
      </c>
      <c r="B281" s="165">
        <v>41957</v>
      </c>
      <c r="C281" t="s">
        <v>354</v>
      </c>
      <c r="D281" t="s">
        <v>355</v>
      </c>
      <c r="E281">
        <v>8</v>
      </c>
      <c r="F281" s="166">
        <v>556.625</v>
      </c>
      <c r="G281">
        <v>4453</v>
      </c>
    </row>
    <row r="282" spans="1:7">
      <c r="A282" t="s">
        <v>349</v>
      </c>
      <c r="B282" s="165">
        <v>41957</v>
      </c>
      <c r="C282" t="s">
        <v>354</v>
      </c>
      <c r="D282" t="s">
        <v>355</v>
      </c>
      <c r="E282">
        <v>16</v>
      </c>
      <c r="F282" s="166">
        <v>550</v>
      </c>
      <c r="G282">
        <v>8800</v>
      </c>
    </row>
    <row r="283" spans="1:7" hidden="1">
      <c r="A283" t="s">
        <v>349</v>
      </c>
      <c r="B283" s="165">
        <v>41957</v>
      </c>
      <c r="C283" t="s">
        <v>352</v>
      </c>
      <c r="D283" t="s">
        <v>353</v>
      </c>
      <c r="E283">
        <v>3</v>
      </c>
      <c r="F283" s="166">
        <v>875</v>
      </c>
      <c r="G283">
        <v>2625</v>
      </c>
    </row>
    <row r="284" spans="1:7" hidden="1">
      <c r="A284" t="s">
        <v>349</v>
      </c>
      <c r="B284" s="165">
        <v>41957</v>
      </c>
      <c r="C284" t="s">
        <v>352</v>
      </c>
      <c r="D284" t="s">
        <v>353</v>
      </c>
      <c r="E284">
        <v>4</v>
      </c>
      <c r="F284" s="166">
        <v>846.5</v>
      </c>
      <c r="G284">
        <v>3386</v>
      </c>
    </row>
    <row r="285" spans="1:7" hidden="1">
      <c r="A285" t="s">
        <v>349</v>
      </c>
      <c r="B285" s="165">
        <v>41957</v>
      </c>
      <c r="C285" t="s">
        <v>352</v>
      </c>
      <c r="D285" t="s">
        <v>353</v>
      </c>
      <c r="E285">
        <v>5</v>
      </c>
      <c r="F285" s="166">
        <v>836</v>
      </c>
      <c r="G285">
        <v>4180</v>
      </c>
    </row>
    <row r="286" spans="1:7" hidden="1">
      <c r="A286" t="s">
        <v>349</v>
      </c>
      <c r="B286" s="165">
        <v>41957</v>
      </c>
      <c r="C286" t="s">
        <v>352</v>
      </c>
      <c r="D286" t="s">
        <v>353</v>
      </c>
      <c r="E286">
        <v>6</v>
      </c>
      <c r="F286" s="166">
        <v>828.16666666666663</v>
      </c>
      <c r="G286">
        <v>4969</v>
      </c>
    </row>
    <row r="287" spans="1:7" hidden="1">
      <c r="A287" t="s">
        <v>349</v>
      </c>
      <c r="B287" s="165">
        <v>41957</v>
      </c>
      <c r="C287" t="s">
        <v>352</v>
      </c>
      <c r="D287" t="s">
        <v>353</v>
      </c>
      <c r="E287">
        <v>6</v>
      </c>
      <c r="F287" s="166">
        <v>828.16666666666663</v>
      </c>
      <c r="G287">
        <v>4969</v>
      </c>
    </row>
    <row r="288" spans="1:7" hidden="1">
      <c r="A288" t="s">
        <v>349</v>
      </c>
      <c r="B288" s="165">
        <v>41957</v>
      </c>
      <c r="C288" t="s">
        <v>352</v>
      </c>
      <c r="D288" t="s">
        <v>353</v>
      </c>
      <c r="E288">
        <v>8</v>
      </c>
      <c r="F288" s="166">
        <v>802.875</v>
      </c>
      <c r="G288">
        <v>6423</v>
      </c>
    </row>
    <row r="289" spans="1:7" hidden="1">
      <c r="A289" t="s">
        <v>349</v>
      </c>
      <c r="B289" s="165">
        <v>41957</v>
      </c>
      <c r="C289" t="s">
        <v>352</v>
      </c>
      <c r="D289" t="s">
        <v>353</v>
      </c>
      <c r="E289">
        <v>8</v>
      </c>
      <c r="F289" s="166">
        <v>802.875</v>
      </c>
      <c r="G289">
        <v>6423</v>
      </c>
    </row>
    <row r="290" spans="1:7" hidden="1">
      <c r="A290" t="s">
        <v>349</v>
      </c>
      <c r="B290" s="165">
        <v>41957</v>
      </c>
      <c r="C290" t="s">
        <v>352</v>
      </c>
      <c r="D290" t="s">
        <v>353</v>
      </c>
      <c r="E290">
        <v>9</v>
      </c>
      <c r="F290" s="166">
        <v>794.55555555555554</v>
      </c>
      <c r="G290">
        <v>7151</v>
      </c>
    </row>
    <row r="291" spans="1:7" hidden="1">
      <c r="A291" t="s">
        <v>349</v>
      </c>
      <c r="B291" s="165">
        <v>41957</v>
      </c>
      <c r="C291" t="s">
        <v>352</v>
      </c>
      <c r="D291" t="s">
        <v>353</v>
      </c>
      <c r="E291">
        <v>9</v>
      </c>
      <c r="F291" s="166">
        <v>794.55555555555554</v>
      </c>
      <c r="G291">
        <v>7151</v>
      </c>
    </row>
    <row r="292" spans="1:7" hidden="1">
      <c r="A292" t="s">
        <v>349</v>
      </c>
      <c r="B292" s="165">
        <v>41957</v>
      </c>
      <c r="C292" t="s">
        <v>352</v>
      </c>
      <c r="D292" t="s">
        <v>353</v>
      </c>
      <c r="E292">
        <v>9</v>
      </c>
      <c r="F292" s="166">
        <v>794.55555555555554</v>
      </c>
      <c r="G292">
        <v>7151</v>
      </c>
    </row>
    <row r="293" spans="1:7" hidden="1">
      <c r="A293" t="s">
        <v>349</v>
      </c>
      <c r="B293" s="165">
        <v>41957</v>
      </c>
      <c r="C293" t="s">
        <v>352</v>
      </c>
      <c r="D293" t="s">
        <v>353</v>
      </c>
      <c r="E293">
        <v>11</v>
      </c>
      <c r="F293" s="166">
        <v>782.18181818181813</v>
      </c>
      <c r="G293">
        <v>8604</v>
      </c>
    </row>
    <row r="294" spans="1:7" hidden="1">
      <c r="A294" t="s">
        <v>349</v>
      </c>
      <c r="B294" s="165">
        <v>41957</v>
      </c>
      <c r="C294" t="s">
        <v>352</v>
      </c>
      <c r="D294" t="s">
        <v>353</v>
      </c>
      <c r="E294">
        <v>8</v>
      </c>
      <c r="F294" s="166">
        <v>2400</v>
      </c>
      <c r="G294">
        <v>19200</v>
      </c>
    </row>
    <row r="295" spans="1:7" hidden="1">
      <c r="A295" t="s">
        <v>349</v>
      </c>
      <c r="B295" s="165">
        <v>41957</v>
      </c>
      <c r="C295" t="s">
        <v>356</v>
      </c>
      <c r="D295" t="s">
        <v>357</v>
      </c>
      <c r="E295">
        <v>1</v>
      </c>
      <c r="F295" s="166">
        <v>350</v>
      </c>
      <c r="G295">
        <v>350</v>
      </c>
    </row>
    <row r="296" spans="1:7" hidden="1">
      <c r="A296" t="s">
        <v>349</v>
      </c>
      <c r="B296" s="165">
        <v>41957</v>
      </c>
      <c r="C296" t="s">
        <v>356</v>
      </c>
      <c r="D296" t="s">
        <v>357</v>
      </c>
      <c r="E296">
        <v>1</v>
      </c>
      <c r="F296" s="166">
        <v>370</v>
      </c>
      <c r="G296">
        <v>370</v>
      </c>
    </row>
    <row r="297" spans="1:7" hidden="1">
      <c r="A297" t="s">
        <v>349</v>
      </c>
      <c r="B297" s="165">
        <v>41957</v>
      </c>
      <c r="C297" t="s">
        <v>356</v>
      </c>
      <c r="D297" t="s">
        <v>357</v>
      </c>
      <c r="E297">
        <v>7</v>
      </c>
      <c r="F297" s="166">
        <v>303.28571428571428</v>
      </c>
      <c r="G297">
        <v>2123</v>
      </c>
    </row>
    <row r="298" spans="1:7" hidden="1">
      <c r="A298" t="s">
        <v>349</v>
      </c>
      <c r="B298" s="165">
        <v>41963</v>
      </c>
      <c r="C298" t="s">
        <v>358</v>
      </c>
      <c r="D298" t="s">
        <v>359</v>
      </c>
      <c r="E298">
        <v>1</v>
      </c>
      <c r="F298" s="166">
        <v>385</v>
      </c>
      <c r="G298">
        <v>385</v>
      </c>
    </row>
    <row r="299" spans="1:7" hidden="1">
      <c r="A299" t="s">
        <v>349</v>
      </c>
      <c r="B299" s="165">
        <v>41963</v>
      </c>
      <c r="C299" t="s">
        <v>358</v>
      </c>
      <c r="D299" t="s">
        <v>359</v>
      </c>
      <c r="E299">
        <v>6</v>
      </c>
      <c r="F299" s="166">
        <v>485</v>
      </c>
      <c r="G299">
        <v>2910</v>
      </c>
    </row>
    <row r="300" spans="1:7" hidden="1">
      <c r="A300" t="s">
        <v>349</v>
      </c>
      <c r="B300" s="165">
        <v>41963</v>
      </c>
      <c r="C300" t="s">
        <v>358</v>
      </c>
      <c r="D300" t="s">
        <v>359</v>
      </c>
      <c r="E300">
        <v>5</v>
      </c>
      <c r="F300" s="166">
        <v>650</v>
      </c>
      <c r="G300">
        <v>3250</v>
      </c>
    </row>
    <row r="301" spans="1:7" hidden="1">
      <c r="A301" t="s">
        <v>349</v>
      </c>
      <c r="B301" s="165">
        <v>41963</v>
      </c>
      <c r="C301" t="s">
        <v>358</v>
      </c>
      <c r="D301" t="s">
        <v>359</v>
      </c>
      <c r="E301">
        <v>6</v>
      </c>
      <c r="F301" s="166">
        <v>1100</v>
      </c>
      <c r="G301">
        <v>6600</v>
      </c>
    </row>
    <row r="302" spans="1:7">
      <c r="A302" t="s">
        <v>349</v>
      </c>
      <c r="B302" s="165">
        <v>41963</v>
      </c>
      <c r="C302" t="s">
        <v>354</v>
      </c>
      <c r="D302" t="s">
        <v>355</v>
      </c>
      <c r="E302">
        <v>1</v>
      </c>
      <c r="F302" s="166">
        <v>500</v>
      </c>
      <c r="G302">
        <v>500</v>
      </c>
    </row>
    <row r="303" spans="1:7">
      <c r="A303" t="s">
        <v>349</v>
      </c>
      <c r="B303" s="165">
        <v>41963</v>
      </c>
      <c r="C303" t="s">
        <v>354</v>
      </c>
      <c r="D303" t="s">
        <v>355</v>
      </c>
      <c r="E303">
        <v>2</v>
      </c>
      <c r="F303" s="166">
        <v>650</v>
      </c>
      <c r="G303">
        <v>1300</v>
      </c>
    </row>
    <row r="304" spans="1:7">
      <c r="A304" t="s">
        <v>349</v>
      </c>
      <c r="B304" s="165">
        <v>41963</v>
      </c>
      <c r="C304" t="s">
        <v>354</v>
      </c>
      <c r="D304" t="s">
        <v>355</v>
      </c>
      <c r="E304">
        <v>6</v>
      </c>
      <c r="F304" s="166">
        <v>390</v>
      </c>
      <c r="G304">
        <v>2340</v>
      </c>
    </row>
    <row r="305" spans="1:7">
      <c r="A305" t="s">
        <v>349</v>
      </c>
      <c r="B305" s="165">
        <v>41963</v>
      </c>
      <c r="C305" t="s">
        <v>354</v>
      </c>
      <c r="D305" t="s">
        <v>355</v>
      </c>
      <c r="E305">
        <v>7</v>
      </c>
      <c r="F305" s="166">
        <v>482.71428571428572</v>
      </c>
      <c r="G305">
        <v>3379</v>
      </c>
    </row>
    <row r="306" spans="1:7">
      <c r="A306" t="s">
        <v>349</v>
      </c>
      <c r="B306" s="165">
        <v>41963</v>
      </c>
      <c r="C306" t="s">
        <v>354</v>
      </c>
      <c r="D306" t="s">
        <v>355</v>
      </c>
      <c r="E306">
        <v>16</v>
      </c>
      <c r="F306" s="166">
        <v>385</v>
      </c>
      <c r="G306">
        <v>6160</v>
      </c>
    </row>
    <row r="307" spans="1:7">
      <c r="A307" t="s">
        <v>349</v>
      </c>
      <c r="B307" s="165">
        <v>41963</v>
      </c>
      <c r="C307" t="s">
        <v>354</v>
      </c>
      <c r="D307" t="s">
        <v>355</v>
      </c>
      <c r="E307">
        <v>16</v>
      </c>
      <c r="F307" s="166">
        <v>466</v>
      </c>
      <c r="G307">
        <v>7456</v>
      </c>
    </row>
    <row r="308" spans="1:7" hidden="1">
      <c r="A308" t="s">
        <v>349</v>
      </c>
      <c r="B308" s="165">
        <v>41963</v>
      </c>
      <c r="C308" t="s">
        <v>352</v>
      </c>
      <c r="D308" t="s">
        <v>353</v>
      </c>
      <c r="E308">
        <v>4</v>
      </c>
      <c r="F308" s="166">
        <v>999</v>
      </c>
      <c r="G308">
        <v>3996</v>
      </c>
    </row>
    <row r="309" spans="1:7" hidden="1">
      <c r="A309" t="s">
        <v>349</v>
      </c>
      <c r="B309" s="165">
        <v>41963</v>
      </c>
      <c r="C309" t="s">
        <v>352</v>
      </c>
      <c r="D309" t="s">
        <v>353</v>
      </c>
      <c r="E309">
        <v>11</v>
      </c>
      <c r="F309" s="166">
        <v>390</v>
      </c>
      <c r="G309">
        <v>4290</v>
      </c>
    </row>
    <row r="310" spans="1:7" hidden="1">
      <c r="A310" t="s">
        <v>349</v>
      </c>
      <c r="B310" s="165">
        <v>41963</v>
      </c>
      <c r="C310" t="s">
        <v>352</v>
      </c>
      <c r="D310" t="s">
        <v>353</v>
      </c>
      <c r="E310">
        <v>62</v>
      </c>
      <c r="F310" s="166">
        <v>1250</v>
      </c>
      <c r="G310">
        <v>77500</v>
      </c>
    </row>
    <row r="311" spans="1:7" hidden="1">
      <c r="A311" t="s">
        <v>349</v>
      </c>
      <c r="B311" s="165">
        <v>41963</v>
      </c>
      <c r="C311" t="s">
        <v>356</v>
      </c>
      <c r="D311" t="s">
        <v>357</v>
      </c>
      <c r="E311">
        <v>1</v>
      </c>
      <c r="F311" s="166">
        <v>237</v>
      </c>
      <c r="G311">
        <v>237</v>
      </c>
    </row>
    <row r="312" spans="1:7" hidden="1">
      <c r="A312" t="s">
        <v>349</v>
      </c>
      <c r="B312" s="165">
        <v>41963</v>
      </c>
      <c r="C312" t="s">
        <v>356</v>
      </c>
      <c r="D312" t="s">
        <v>357</v>
      </c>
      <c r="E312">
        <v>7</v>
      </c>
      <c r="F312" s="166">
        <v>287</v>
      </c>
      <c r="G312">
        <v>2009</v>
      </c>
    </row>
    <row r="313" spans="1:7" hidden="1">
      <c r="A313" t="s">
        <v>349</v>
      </c>
      <c r="B313" s="165">
        <v>41963</v>
      </c>
      <c r="C313" t="s">
        <v>356</v>
      </c>
      <c r="D313" t="s">
        <v>357</v>
      </c>
      <c r="E313">
        <v>29</v>
      </c>
      <c r="F313" s="166">
        <v>155</v>
      </c>
      <c r="G313">
        <v>4495</v>
      </c>
    </row>
    <row r="314" spans="1:7" hidden="1">
      <c r="A314" t="s">
        <v>349</v>
      </c>
      <c r="B314" s="165">
        <v>41963</v>
      </c>
      <c r="C314" t="s">
        <v>350</v>
      </c>
      <c r="D314" t="s">
        <v>351</v>
      </c>
      <c r="E314">
        <v>1</v>
      </c>
      <c r="F314" s="166">
        <v>385</v>
      </c>
      <c r="G314">
        <v>385</v>
      </c>
    </row>
    <row r="315" spans="1:7" hidden="1">
      <c r="A315" t="s">
        <v>349</v>
      </c>
      <c r="B315" s="165">
        <v>41963</v>
      </c>
      <c r="C315" t="s">
        <v>350</v>
      </c>
      <c r="D315" t="s">
        <v>351</v>
      </c>
      <c r="E315">
        <v>2</v>
      </c>
      <c r="F315" s="166">
        <v>510</v>
      </c>
      <c r="G315">
        <v>1020</v>
      </c>
    </row>
    <row r="316" spans="1:7" hidden="1">
      <c r="A316" t="s">
        <v>349</v>
      </c>
      <c r="B316" s="165">
        <v>41963</v>
      </c>
      <c r="C316" t="s">
        <v>350</v>
      </c>
      <c r="D316" t="s">
        <v>351</v>
      </c>
      <c r="E316">
        <v>2</v>
      </c>
      <c r="F316" s="166">
        <v>552</v>
      </c>
      <c r="G316">
        <v>1104</v>
      </c>
    </row>
    <row r="317" spans="1:7" hidden="1">
      <c r="A317" t="s">
        <v>349</v>
      </c>
      <c r="B317" s="165">
        <v>41963</v>
      </c>
      <c r="C317" t="s">
        <v>350</v>
      </c>
      <c r="D317" t="s">
        <v>351</v>
      </c>
      <c r="E317">
        <v>5</v>
      </c>
      <c r="F317" s="166">
        <v>300</v>
      </c>
      <c r="G317">
        <v>1500</v>
      </c>
    </row>
    <row r="318" spans="1:7" hidden="1">
      <c r="A318" t="s">
        <v>349</v>
      </c>
      <c r="B318" s="165">
        <v>41963</v>
      </c>
      <c r="C318" t="s">
        <v>350</v>
      </c>
      <c r="D318" t="s">
        <v>351</v>
      </c>
      <c r="E318">
        <v>2</v>
      </c>
      <c r="F318" s="166">
        <v>916.5</v>
      </c>
      <c r="G318">
        <v>1833</v>
      </c>
    </row>
    <row r="319" spans="1:7" hidden="1">
      <c r="A319" t="s">
        <v>349</v>
      </c>
      <c r="B319" s="165">
        <v>41963</v>
      </c>
      <c r="C319" t="s">
        <v>350</v>
      </c>
      <c r="D319" t="s">
        <v>351</v>
      </c>
      <c r="E319">
        <v>16</v>
      </c>
      <c r="F319" s="166">
        <v>217.5</v>
      </c>
      <c r="G319">
        <v>3480</v>
      </c>
    </row>
    <row r="320" spans="1:7" hidden="1">
      <c r="A320" t="s">
        <v>349</v>
      </c>
      <c r="B320" s="165">
        <v>41963</v>
      </c>
      <c r="C320" t="s">
        <v>350</v>
      </c>
      <c r="D320" t="s">
        <v>351</v>
      </c>
      <c r="E320">
        <v>13</v>
      </c>
      <c r="F320" s="166">
        <v>366.69230769230768</v>
      </c>
      <c r="G320">
        <v>4767</v>
      </c>
    </row>
    <row r="321" spans="1:7" hidden="1">
      <c r="A321" t="s">
        <v>349</v>
      </c>
      <c r="B321" s="165">
        <v>41963</v>
      </c>
      <c r="C321" t="s">
        <v>350</v>
      </c>
      <c r="D321" t="s">
        <v>351</v>
      </c>
      <c r="E321">
        <v>11</v>
      </c>
      <c r="F321" s="166">
        <v>654.5454545454545</v>
      </c>
      <c r="G321">
        <v>7200</v>
      </c>
    </row>
    <row r="322" spans="1:7" hidden="1">
      <c r="A322" t="s">
        <v>349</v>
      </c>
      <c r="B322" s="165">
        <v>41963</v>
      </c>
      <c r="C322" t="s">
        <v>350</v>
      </c>
      <c r="D322" t="s">
        <v>351</v>
      </c>
      <c r="E322">
        <v>13</v>
      </c>
      <c r="F322" s="166">
        <v>714</v>
      </c>
      <c r="G322">
        <v>9282</v>
      </c>
    </row>
    <row r="323" spans="1:7" hidden="1">
      <c r="A323" t="s">
        <v>349</v>
      </c>
      <c r="B323" s="165">
        <v>41963</v>
      </c>
      <c r="C323" t="s">
        <v>350</v>
      </c>
      <c r="D323" t="s">
        <v>351</v>
      </c>
      <c r="E323">
        <v>17</v>
      </c>
      <c r="F323" s="166">
        <v>733.35294117647061</v>
      </c>
      <c r="G323">
        <v>12467</v>
      </c>
    </row>
    <row r="324" spans="1:7" hidden="1">
      <c r="A324" t="s">
        <v>349</v>
      </c>
      <c r="B324" s="165">
        <v>41971</v>
      </c>
      <c r="C324" t="s">
        <v>358</v>
      </c>
      <c r="D324" t="s">
        <v>359</v>
      </c>
      <c r="E324">
        <v>2</v>
      </c>
      <c r="F324" s="166">
        <v>448</v>
      </c>
      <c r="G324">
        <v>896</v>
      </c>
    </row>
    <row r="325" spans="1:7" hidden="1">
      <c r="A325" t="s">
        <v>349</v>
      </c>
      <c r="B325" s="165">
        <v>41971</v>
      </c>
      <c r="C325" t="s">
        <v>358</v>
      </c>
      <c r="D325" t="s">
        <v>359</v>
      </c>
      <c r="E325">
        <v>11</v>
      </c>
      <c r="F325" s="166">
        <v>680</v>
      </c>
      <c r="G325">
        <v>7480</v>
      </c>
    </row>
    <row r="326" spans="1:7" hidden="1">
      <c r="A326" t="s">
        <v>349</v>
      </c>
      <c r="B326" s="165">
        <v>41971</v>
      </c>
      <c r="C326" t="s">
        <v>356</v>
      </c>
      <c r="D326" t="s">
        <v>357</v>
      </c>
      <c r="E326">
        <v>1</v>
      </c>
      <c r="F326" s="166">
        <v>420</v>
      </c>
      <c r="G326">
        <v>420</v>
      </c>
    </row>
    <row r="327" spans="1:7" hidden="1">
      <c r="A327" t="s">
        <v>349</v>
      </c>
      <c r="B327" s="165">
        <v>41971</v>
      </c>
      <c r="C327" t="s">
        <v>356</v>
      </c>
      <c r="D327" t="s">
        <v>357</v>
      </c>
      <c r="E327">
        <v>5</v>
      </c>
      <c r="F327" s="166">
        <v>175</v>
      </c>
      <c r="G327">
        <v>875</v>
      </c>
    </row>
    <row r="328" spans="1:7" hidden="1">
      <c r="A328" t="s">
        <v>349</v>
      </c>
      <c r="B328" s="165">
        <v>41971</v>
      </c>
      <c r="C328" t="s">
        <v>350</v>
      </c>
      <c r="D328" t="s">
        <v>351</v>
      </c>
      <c r="E328">
        <v>1</v>
      </c>
      <c r="F328" s="166">
        <v>685</v>
      </c>
      <c r="G328">
        <v>685</v>
      </c>
    </row>
    <row r="329" spans="1:7" hidden="1">
      <c r="A329" t="s">
        <v>349</v>
      </c>
      <c r="B329" s="165">
        <v>41971</v>
      </c>
      <c r="C329" t="s">
        <v>350</v>
      </c>
      <c r="D329" t="s">
        <v>351</v>
      </c>
      <c r="E329">
        <v>8</v>
      </c>
      <c r="F329" s="166">
        <v>306</v>
      </c>
      <c r="G329">
        <v>2448</v>
      </c>
    </row>
    <row r="330" spans="1:7" hidden="1">
      <c r="A330" t="s">
        <v>349</v>
      </c>
      <c r="B330" s="165">
        <v>41971</v>
      </c>
      <c r="C330" t="s">
        <v>350</v>
      </c>
      <c r="D330" t="s">
        <v>351</v>
      </c>
      <c r="E330">
        <v>9</v>
      </c>
      <c r="F330" s="166">
        <v>448</v>
      </c>
      <c r="G330">
        <v>4032</v>
      </c>
    </row>
    <row r="331" spans="1:7">
      <c r="A331" t="s">
        <v>349</v>
      </c>
      <c r="B331" s="165">
        <v>41977</v>
      </c>
      <c r="C331" t="s">
        <v>354</v>
      </c>
      <c r="D331" t="s">
        <v>355</v>
      </c>
      <c r="E331">
        <v>9</v>
      </c>
      <c r="F331" s="166">
        <v>1144.4444444444443</v>
      </c>
      <c r="G331">
        <v>10300</v>
      </c>
    </row>
    <row r="332" spans="1:7" hidden="1">
      <c r="A332" t="s">
        <v>349</v>
      </c>
      <c r="B332" s="165">
        <v>41977</v>
      </c>
      <c r="C332" t="s">
        <v>352</v>
      </c>
      <c r="D332" t="s">
        <v>353</v>
      </c>
      <c r="E332">
        <v>9</v>
      </c>
      <c r="F332" s="166">
        <v>794.55555555555554</v>
      </c>
      <c r="G332">
        <v>7151</v>
      </c>
    </row>
    <row r="333" spans="1:7" hidden="1">
      <c r="A333" t="s">
        <v>349</v>
      </c>
      <c r="B333" s="165">
        <v>41977</v>
      </c>
      <c r="C333" t="s">
        <v>360</v>
      </c>
      <c r="D333" t="s">
        <v>361</v>
      </c>
      <c r="E333">
        <v>5</v>
      </c>
      <c r="F333" s="166">
        <v>975</v>
      </c>
      <c r="G333">
        <v>4875</v>
      </c>
    </row>
    <row r="334" spans="1:7" hidden="1">
      <c r="A334" t="s">
        <v>349</v>
      </c>
      <c r="B334" s="165">
        <v>41977</v>
      </c>
      <c r="C334" t="s">
        <v>356</v>
      </c>
      <c r="D334" t="s">
        <v>357</v>
      </c>
      <c r="E334">
        <v>2</v>
      </c>
      <c r="F334" s="166">
        <v>132.5</v>
      </c>
      <c r="G334">
        <v>265</v>
      </c>
    </row>
    <row r="335" spans="1:7" hidden="1">
      <c r="A335" t="s">
        <v>349</v>
      </c>
      <c r="B335" s="165">
        <v>41977</v>
      </c>
      <c r="C335" t="s">
        <v>356</v>
      </c>
      <c r="D335" t="s">
        <v>357</v>
      </c>
      <c r="E335">
        <v>4</v>
      </c>
      <c r="F335" s="166">
        <v>375</v>
      </c>
      <c r="G335">
        <v>1500</v>
      </c>
    </row>
    <row r="336" spans="1:7" hidden="1">
      <c r="A336" t="s">
        <v>349</v>
      </c>
      <c r="B336" s="165">
        <v>41977</v>
      </c>
      <c r="C336" t="s">
        <v>356</v>
      </c>
      <c r="D336" t="s">
        <v>357</v>
      </c>
      <c r="E336">
        <v>6</v>
      </c>
      <c r="F336" s="166">
        <v>400.16666666666669</v>
      </c>
      <c r="G336">
        <v>2401</v>
      </c>
    </row>
    <row r="337" spans="1:7" hidden="1">
      <c r="A337" t="s">
        <v>349</v>
      </c>
      <c r="B337" s="165">
        <v>41977</v>
      </c>
      <c r="C337" t="s">
        <v>350</v>
      </c>
      <c r="D337" t="s">
        <v>351</v>
      </c>
      <c r="E337">
        <v>4</v>
      </c>
      <c r="F337" s="166">
        <v>296</v>
      </c>
      <c r="G337">
        <v>1184</v>
      </c>
    </row>
    <row r="338" spans="1:7" hidden="1">
      <c r="A338" t="s">
        <v>349</v>
      </c>
      <c r="B338" s="165">
        <v>41977</v>
      </c>
      <c r="C338" t="s">
        <v>350</v>
      </c>
      <c r="D338" t="s">
        <v>351</v>
      </c>
      <c r="E338">
        <v>14</v>
      </c>
      <c r="F338" s="166">
        <v>450</v>
      </c>
      <c r="G338">
        <v>6300</v>
      </c>
    </row>
    <row r="339" spans="1:7" hidden="1">
      <c r="A339" t="s">
        <v>349</v>
      </c>
      <c r="B339" s="165">
        <v>41984</v>
      </c>
      <c r="C339" t="s">
        <v>356</v>
      </c>
      <c r="D339" t="s">
        <v>357</v>
      </c>
      <c r="E339">
        <v>3</v>
      </c>
      <c r="F339" s="166">
        <v>176.33333333333334</v>
      </c>
      <c r="G339">
        <v>529</v>
      </c>
    </row>
    <row r="340" spans="1:7" hidden="1">
      <c r="A340" t="s">
        <v>349</v>
      </c>
      <c r="B340" s="165">
        <v>41984</v>
      </c>
      <c r="C340" t="s">
        <v>356</v>
      </c>
      <c r="D340" t="s">
        <v>357</v>
      </c>
      <c r="E340">
        <v>4</v>
      </c>
      <c r="F340" s="166">
        <v>238.75</v>
      </c>
      <c r="G340">
        <v>955</v>
      </c>
    </row>
    <row r="341" spans="1:7" hidden="1">
      <c r="A341" t="s">
        <v>349</v>
      </c>
      <c r="B341" s="165">
        <v>41984</v>
      </c>
      <c r="C341" t="s">
        <v>350</v>
      </c>
      <c r="D341" t="s">
        <v>351</v>
      </c>
      <c r="E341">
        <v>4</v>
      </c>
      <c r="F341" s="166">
        <v>675</v>
      </c>
      <c r="G341">
        <v>2700</v>
      </c>
    </row>
    <row r="342" spans="1:7" hidden="1">
      <c r="A342" t="s">
        <v>349</v>
      </c>
      <c r="B342" s="165">
        <v>41984</v>
      </c>
      <c r="C342" t="s">
        <v>350</v>
      </c>
      <c r="D342" t="s">
        <v>351</v>
      </c>
      <c r="E342">
        <v>6</v>
      </c>
      <c r="F342" s="166">
        <v>630</v>
      </c>
      <c r="G342">
        <v>3780</v>
      </c>
    </row>
    <row r="343" spans="1:7" hidden="1">
      <c r="A343" t="s">
        <v>349</v>
      </c>
      <c r="B343" s="165">
        <v>41991</v>
      </c>
      <c r="C343" t="s">
        <v>358</v>
      </c>
      <c r="D343" t="s">
        <v>359</v>
      </c>
      <c r="E343">
        <v>7</v>
      </c>
      <c r="F343" s="166">
        <v>575</v>
      </c>
      <c r="G343">
        <v>4025</v>
      </c>
    </row>
    <row r="344" spans="1:7" hidden="1">
      <c r="A344" t="s">
        <v>349</v>
      </c>
      <c r="B344" s="165">
        <v>41991</v>
      </c>
      <c r="C344" t="s">
        <v>358</v>
      </c>
      <c r="D344" t="s">
        <v>359</v>
      </c>
      <c r="E344">
        <v>4</v>
      </c>
      <c r="F344" s="166">
        <v>1730</v>
      </c>
      <c r="G344">
        <v>6920</v>
      </c>
    </row>
    <row r="345" spans="1:7">
      <c r="A345" t="s">
        <v>349</v>
      </c>
      <c r="B345" s="165">
        <v>41991</v>
      </c>
      <c r="C345" t="s">
        <v>354</v>
      </c>
      <c r="D345" t="s">
        <v>355</v>
      </c>
      <c r="E345">
        <v>3</v>
      </c>
      <c r="F345" s="166">
        <v>815</v>
      </c>
      <c r="G345">
        <v>2445</v>
      </c>
    </row>
    <row r="346" spans="1:7">
      <c r="A346" t="s">
        <v>349</v>
      </c>
      <c r="B346" s="165">
        <v>41991</v>
      </c>
      <c r="C346" t="s">
        <v>354</v>
      </c>
      <c r="D346" t="s">
        <v>355</v>
      </c>
      <c r="E346">
        <v>6</v>
      </c>
      <c r="F346" s="166">
        <v>839.16666666666663</v>
      </c>
      <c r="G346">
        <v>5035</v>
      </c>
    </row>
    <row r="347" spans="1:7" hidden="1">
      <c r="A347" t="s">
        <v>349</v>
      </c>
      <c r="B347" s="165">
        <v>41991</v>
      </c>
      <c r="C347" t="s">
        <v>352</v>
      </c>
      <c r="D347" t="s">
        <v>353</v>
      </c>
      <c r="E347">
        <v>2</v>
      </c>
      <c r="F347" s="166">
        <v>575</v>
      </c>
      <c r="G347">
        <v>1150</v>
      </c>
    </row>
    <row r="348" spans="1:7" hidden="1">
      <c r="A348" t="s">
        <v>349</v>
      </c>
      <c r="B348" s="165">
        <v>41991</v>
      </c>
      <c r="C348" t="s">
        <v>356</v>
      </c>
      <c r="D348" t="s">
        <v>357</v>
      </c>
      <c r="E348">
        <v>3</v>
      </c>
      <c r="F348" s="166">
        <v>275.33333333333331</v>
      </c>
      <c r="G348">
        <v>826</v>
      </c>
    </row>
    <row r="349" spans="1:7" hidden="1">
      <c r="A349" t="s">
        <v>349</v>
      </c>
      <c r="B349" s="165">
        <v>41991</v>
      </c>
      <c r="C349" t="s">
        <v>350</v>
      </c>
      <c r="D349" t="s">
        <v>351</v>
      </c>
      <c r="E349">
        <v>4</v>
      </c>
      <c r="F349" s="166">
        <v>1460.5</v>
      </c>
      <c r="G349">
        <v>5842</v>
      </c>
    </row>
    <row r="350" spans="1:7" hidden="1">
      <c r="A350" t="s">
        <v>349</v>
      </c>
      <c r="B350" s="165">
        <v>41991</v>
      </c>
      <c r="C350" t="s">
        <v>350</v>
      </c>
      <c r="D350" t="s">
        <v>351</v>
      </c>
      <c r="E350">
        <v>31</v>
      </c>
      <c r="F350" s="166">
        <v>321.25806451612902</v>
      </c>
      <c r="G350">
        <v>9959</v>
      </c>
    </row>
    <row r="351" spans="1:7" hidden="1">
      <c r="A351" t="s">
        <v>349</v>
      </c>
      <c r="B351" s="165">
        <v>41991</v>
      </c>
      <c r="C351" t="s">
        <v>350</v>
      </c>
      <c r="D351" t="s">
        <v>351</v>
      </c>
      <c r="E351">
        <v>18</v>
      </c>
      <c r="F351" s="166">
        <v>613.22222222222217</v>
      </c>
      <c r="G351">
        <v>11038</v>
      </c>
    </row>
    <row r="352" spans="1:7" hidden="1">
      <c r="A352" t="s">
        <v>349</v>
      </c>
      <c r="B352" s="165">
        <v>41991</v>
      </c>
      <c r="C352" t="s">
        <v>350</v>
      </c>
      <c r="D352" t="s">
        <v>351</v>
      </c>
      <c r="E352">
        <v>37</v>
      </c>
      <c r="F352" s="166">
        <v>300</v>
      </c>
      <c r="G352">
        <v>11100</v>
      </c>
    </row>
    <row r="353" spans="1:7" hidden="1">
      <c r="A353" t="s">
        <v>349</v>
      </c>
      <c r="B353" s="165">
        <v>41999</v>
      </c>
      <c r="C353" t="s">
        <v>358</v>
      </c>
      <c r="D353" t="s">
        <v>359</v>
      </c>
      <c r="E353">
        <v>1</v>
      </c>
      <c r="F353" s="166">
        <v>537</v>
      </c>
      <c r="G353">
        <v>537</v>
      </c>
    </row>
    <row r="354" spans="1:7" hidden="1">
      <c r="A354" t="s">
        <v>349</v>
      </c>
      <c r="B354" s="165">
        <v>41999</v>
      </c>
      <c r="C354" t="s">
        <v>358</v>
      </c>
      <c r="D354" t="s">
        <v>359</v>
      </c>
      <c r="E354">
        <v>1</v>
      </c>
      <c r="F354" s="166">
        <v>724</v>
      </c>
      <c r="G354">
        <v>724</v>
      </c>
    </row>
    <row r="355" spans="1:7" hidden="1">
      <c r="A355" t="s">
        <v>349</v>
      </c>
      <c r="B355" s="165">
        <v>41999</v>
      </c>
      <c r="C355" t="s">
        <v>358</v>
      </c>
      <c r="D355" t="s">
        <v>359</v>
      </c>
      <c r="E355">
        <v>3</v>
      </c>
      <c r="F355" s="166">
        <v>418.33333333333331</v>
      </c>
      <c r="G355">
        <v>1255</v>
      </c>
    </row>
    <row r="356" spans="1:7">
      <c r="A356" t="s">
        <v>349</v>
      </c>
      <c r="B356" s="165">
        <v>41999</v>
      </c>
      <c r="C356" t="s">
        <v>354</v>
      </c>
      <c r="D356" t="s">
        <v>355</v>
      </c>
      <c r="E356">
        <v>3</v>
      </c>
      <c r="F356" s="166">
        <v>700</v>
      </c>
      <c r="G356">
        <v>2100</v>
      </c>
    </row>
    <row r="357" spans="1:7">
      <c r="A357" t="s">
        <v>349</v>
      </c>
      <c r="B357" s="165">
        <v>41999</v>
      </c>
      <c r="C357" t="s">
        <v>354</v>
      </c>
      <c r="D357" t="s">
        <v>355</v>
      </c>
      <c r="E357">
        <v>4</v>
      </c>
      <c r="F357" s="166">
        <v>642</v>
      </c>
      <c r="G357">
        <v>2568</v>
      </c>
    </row>
    <row r="358" spans="1:7">
      <c r="A358" t="s">
        <v>349</v>
      </c>
      <c r="B358" s="165">
        <v>41999</v>
      </c>
      <c r="C358" t="s">
        <v>354</v>
      </c>
      <c r="D358" t="s">
        <v>355</v>
      </c>
      <c r="E358">
        <v>6</v>
      </c>
      <c r="F358" s="166">
        <v>528</v>
      </c>
      <c r="G358">
        <v>3168</v>
      </c>
    </row>
    <row r="359" spans="1:7">
      <c r="A359" t="s">
        <v>349</v>
      </c>
      <c r="B359" s="165">
        <v>41999</v>
      </c>
      <c r="C359" t="s">
        <v>354</v>
      </c>
      <c r="D359" t="s">
        <v>355</v>
      </c>
      <c r="E359">
        <v>13</v>
      </c>
      <c r="F359" s="166">
        <v>666.46153846153845</v>
      </c>
      <c r="G359">
        <v>8664</v>
      </c>
    </row>
    <row r="360" spans="1:7" hidden="1">
      <c r="A360" t="s">
        <v>349</v>
      </c>
      <c r="B360" s="165">
        <v>41999</v>
      </c>
      <c r="C360" t="s">
        <v>356</v>
      </c>
      <c r="D360" t="s">
        <v>357</v>
      </c>
      <c r="E360">
        <v>2</v>
      </c>
      <c r="F360" s="166">
        <v>585</v>
      </c>
      <c r="G360">
        <v>1170</v>
      </c>
    </row>
    <row r="361" spans="1:7" hidden="1">
      <c r="A361" t="s">
        <v>349</v>
      </c>
      <c r="B361" s="165">
        <v>41999</v>
      </c>
      <c r="C361" t="s">
        <v>356</v>
      </c>
      <c r="D361" t="s">
        <v>357</v>
      </c>
      <c r="E361">
        <v>15</v>
      </c>
      <c r="F361" s="166">
        <v>304.39999999999998</v>
      </c>
      <c r="G361">
        <v>4566</v>
      </c>
    </row>
    <row r="362" spans="1:7" hidden="1">
      <c r="A362" t="s">
        <v>349</v>
      </c>
      <c r="B362" s="165">
        <v>41999</v>
      </c>
      <c r="C362" t="s">
        <v>356</v>
      </c>
      <c r="D362" t="s">
        <v>357</v>
      </c>
      <c r="E362">
        <v>43</v>
      </c>
      <c r="F362" s="166">
        <v>154</v>
      </c>
      <c r="G362">
        <v>6622</v>
      </c>
    </row>
    <row r="363" spans="1:7" hidden="1">
      <c r="A363" t="s">
        <v>349</v>
      </c>
      <c r="B363" s="165">
        <v>41999</v>
      </c>
      <c r="C363" t="s">
        <v>356</v>
      </c>
      <c r="D363" t="s">
        <v>357</v>
      </c>
      <c r="E363">
        <v>18</v>
      </c>
      <c r="F363" s="166">
        <v>389.27777777777777</v>
      </c>
      <c r="G363">
        <v>7007</v>
      </c>
    </row>
    <row r="364" spans="1:7" hidden="1">
      <c r="A364" t="s">
        <v>349</v>
      </c>
      <c r="B364" s="165">
        <v>41999</v>
      </c>
      <c r="C364" t="s">
        <v>350</v>
      </c>
      <c r="D364" t="s">
        <v>351</v>
      </c>
      <c r="E364">
        <v>2</v>
      </c>
      <c r="F364" s="166">
        <v>357</v>
      </c>
      <c r="G364">
        <v>714</v>
      </c>
    </row>
    <row r="365" spans="1:7" hidden="1">
      <c r="A365" t="s">
        <v>349</v>
      </c>
      <c r="B365" s="165">
        <v>41999</v>
      </c>
      <c r="C365" t="s">
        <v>350</v>
      </c>
      <c r="D365" t="s">
        <v>351</v>
      </c>
      <c r="E365">
        <v>4</v>
      </c>
      <c r="F365" s="166">
        <v>270</v>
      </c>
      <c r="G365">
        <v>1080</v>
      </c>
    </row>
    <row r="366" spans="1:7" hidden="1">
      <c r="A366" t="s">
        <v>349</v>
      </c>
      <c r="B366" s="165">
        <v>41999</v>
      </c>
      <c r="C366" t="s">
        <v>350</v>
      </c>
      <c r="D366" t="s">
        <v>351</v>
      </c>
      <c r="E366">
        <v>23</v>
      </c>
      <c r="F366" s="166">
        <v>532.52173913043475</v>
      </c>
      <c r="G366">
        <v>12248</v>
      </c>
    </row>
    <row r="367" spans="1:7" hidden="1">
      <c r="A367" t="s">
        <v>349</v>
      </c>
      <c r="B367" s="165">
        <v>41999</v>
      </c>
      <c r="C367" t="s">
        <v>350</v>
      </c>
      <c r="D367" t="s">
        <v>351</v>
      </c>
      <c r="E367">
        <v>39</v>
      </c>
      <c r="F367" s="166">
        <v>381.89743589743591</v>
      </c>
      <c r="G367">
        <v>14894</v>
      </c>
    </row>
    <row r="368" spans="1:7" hidden="1">
      <c r="A368" t="s">
        <v>349</v>
      </c>
      <c r="B368" s="165">
        <v>42004</v>
      </c>
      <c r="C368" t="s">
        <v>358</v>
      </c>
      <c r="D368" t="s">
        <v>359</v>
      </c>
      <c r="E368">
        <v>2</v>
      </c>
      <c r="F368" s="166">
        <v>537</v>
      </c>
      <c r="G368">
        <v>1074</v>
      </c>
    </row>
    <row r="369" spans="1:7" hidden="1">
      <c r="A369" t="s">
        <v>349</v>
      </c>
      <c r="B369" s="165">
        <v>42004</v>
      </c>
      <c r="C369" t="s">
        <v>358</v>
      </c>
      <c r="D369" t="s">
        <v>359</v>
      </c>
      <c r="E369">
        <v>4</v>
      </c>
      <c r="F369" s="166">
        <v>1190</v>
      </c>
      <c r="G369">
        <v>4760</v>
      </c>
    </row>
    <row r="370" spans="1:7" hidden="1">
      <c r="A370" t="s">
        <v>349</v>
      </c>
      <c r="B370" s="165">
        <v>42004</v>
      </c>
      <c r="C370" t="s">
        <v>358</v>
      </c>
      <c r="D370" t="s">
        <v>359</v>
      </c>
      <c r="E370">
        <v>16</v>
      </c>
      <c r="F370" s="166">
        <v>485</v>
      </c>
      <c r="G370">
        <v>7760</v>
      </c>
    </row>
    <row r="371" spans="1:7" hidden="1">
      <c r="A371" t="s">
        <v>349</v>
      </c>
      <c r="B371" s="165">
        <v>42004</v>
      </c>
      <c r="C371" t="s">
        <v>358</v>
      </c>
      <c r="D371" t="s">
        <v>359</v>
      </c>
      <c r="E371">
        <v>14</v>
      </c>
      <c r="F371" s="166">
        <v>750.21428571428567</v>
      </c>
      <c r="G371">
        <v>10503</v>
      </c>
    </row>
    <row r="372" spans="1:7">
      <c r="A372" t="s">
        <v>349</v>
      </c>
      <c r="B372" s="165">
        <v>42004</v>
      </c>
      <c r="C372" t="s">
        <v>354</v>
      </c>
      <c r="D372" t="s">
        <v>355</v>
      </c>
      <c r="E372">
        <v>2</v>
      </c>
      <c r="F372" s="166">
        <v>596</v>
      </c>
      <c r="G372">
        <v>1192</v>
      </c>
    </row>
    <row r="373" spans="1:7">
      <c r="A373" t="s">
        <v>349</v>
      </c>
      <c r="B373" s="165">
        <v>42004</v>
      </c>
      <c r="C373" t="s">
        <v>354</v>
      </c>
      <c r="D373" t="s">
        <v>355</v>
      </c>
      <c r="E373">
        <v>3</v>
      </c>
      <c r="F373" s="166">
        <v>798</v>
      </c>
      <c r="G373">
        <v>2394</v>
      </c>
    </row>
    <row r="374" spans="1:7">
      <c r="A374" t="s">
        <v>349</v>
      </c>
      <c r="B374" s="165">
        <v>42004</v>
      </c>
      <c r="C374" t="s">
        <v>354</v>
      </c>
      <c r="D374" t="s">
        <v>355</v>
      </c>
      <c r="E374">
        <v>4</v>
      </c>
      <c r="F374" s="166">
        <v>910</v>
      </c>
      <c r="G374">
        <v>3640</v>
      </c>
    </row>
    <row r="375" spans="1:7">
      <c r="A375" t="s">
        <v>349</v>
      </c>
      <c r="B375" s="165">
        <v>42004</v>
      </c>
      <c r="C375" t="s">
        <v>354</v>
      </c>
      <c r="D375" t="s">
        <v>355</v>
      </c>
      <c r="E375">
        <v>6</v>
      </c>
      <c r="F375" s="166">
        <v>620</v>
      </c>
      <c r="G375">
        <v>3720</v>
      </c>
    </row>
    <row r="376" spans="1:7">
      <c r="A376" t="s">
        <v>349</v>
      </c>
      <c r="B376" s="165">
        <v>42004</v>
      </c>
      <c r="C376" t="s">
        <v>354</v>
      </c>
      <c r="D376" t="s">
        <v>355</v>
      </c>
      <c r="E376">
        <v>9</v>
      </c>
      <c r="F376" s="166">
        <v>486</v>
      </c>
      <c r="G376">
        <v>4374</v>
      </c>
    </row>
    <row r="377" spans="1:7">
      <c r="A377" t="s">
        <v>349</v>
      </c>
      <c r="B377" s="165">
        <v>42004</v>
      </c>
      <c r="C377" t="s">
        <v>354</v>
      </c>
      <c r="D377" t="s">
        <v>355</v>
      </c>
      <c r="E377">
        <v>5</v>
      </c>
      <c r="F377" s="166">
        <v>1200</v>
      </c>
      <c r="G377">
        <v>6000</v>
      </c>
    </row>
    <row r="378" spans="1:7">
      <c r="A378" t="s">
        <v>349</v>
      </c>
      <c r="B378" s="165">
        <v>42004</v>
      </c>
      <c r="C378" t="s">
        <v>354</v>
      </c>
      <c r="D378" t="s">
        <v>355</v>
      </c>
      <c r="E378">
        <v>7</v>
      </c>
      <c r="F378" s="166">
        <v>865</v>
      </c>
      <c r="G378">
        <v>6055</v>
      </c>
    </row>
    <row r="379" spans="1:7">
      <c r="A379" t="s">
        <v>349</v>
      </c>
      <c r="B379" s="165">
        <v>42004</v>
      </c>
      <c r="C379" t="s">
        <v>354</v>
      </c>
      <c r="D379" t="s">
        <v>355</v>
      </c>
      <c r="E379">
        <v>4</v>
      </c>
      <c r="F379" s="166">
        <v>1547</v>
      </c>
      <c r="G379">
        <v>6188</v>
      </c>
    </row>
    <row r="380" spans="1:7">
      <c r="A380" t="s">
        <v>349</v>
      </c>
      <c r="B380" s="165">
        <v>42004</v>
      </c>
      <c r="C380" t="s">
        <v>354</v>
      </c>
      <c r="D380" t="s">
        <v>355</v>
      </c>
      <c r="E380">
        <v>7</v>
      </c>
      <c r="F380" s="166">
        <v>995.71428571428567</v>
      </c>
      <c r="G380">
        <v>6970</v>
      </c>
    </row>
    <row r="381" spans="1:7">
      <c r="A381" t="s">
        <v>349</v>
      </c>
      <c r="B381" s="165">
        <v>42004</v>
      </c>
      <c r="C381" t="s">
        <v>354</v>
      </c>
      <c r="D381" t="s">
        <v>355</v>
      </c>
      <c r="E381">
        <v>9</v>
      </c>
      <c r="F381" s="166">
        <v>989</v>
      </c>
      <c r="G381">
        <v>8901</v>
      </c>
    </row>
    <row r="382" spans="1:7">
      <c r="A382" t="s">
        <v>349</v>
      </c>
      <c r="B382" s="165">
        <v>42004</v>
      </c>
      <c r="C382" t="s">
        <v>354</v>
      </c>
      <c r="D382" t="s">
        <v>355</v>
      </c>
      <c r="E382">
        <v>24</v>
      </c>
      <c r="F382" s="166">
        <v>995</v>
      </c>
      <c r="G382">
        <v>23880</v>
      </c>
    </row>
    <row r="383" spans="1:7">
      <c r="A383" t="s">
        <v>349</v>
      </c>
      <c r="B383" s="165">
        <v>42004</v>
      </c>
      <c r="C383" t="s">
        <v>354</v>
      </c>
      <c r="D383" t="s">
        <v>355</v>
      </c>
      <c r="E383">
        <v>19</v>
      </c>
      <c r="F383" s="166">
        <v>1376.578947368421</v>
      </c>
      <c r="G383">
        <v>26155</v>
      </c>
    </row>
    <row r="384" spans="1:7">
      <c r="A384" t="s">
        <v>349</v>
      </c>
      <c r="B384" s="165">
        <v>42004</v>
      </c>
      <c r="C384" t="s">
        <v>354</v>
      </c>
      <c r="D384" t="s">
        <v>355</v>
      </c>
      <c r="E384">
        <v>93</v>
      </c>
      <c r="F384" s="166">
        <v>520</v>
      </c>
      <c r="G384">
        <v>48360</v>
      </c>
    </row>
    <row r="385" spans="1:7" hidden="1">
      <c r="A385" t="s">
        <v>349</v>
      </c>
      <c r="B385" s="165">
        <v>42004</v>
      </c>
      <c r="C385" t="s">
        <v>352</v>
      </c>
      <c r="D385" t="s">
        <v>353</v>
      </c>
      <c r="E385">
        <v>42</v>
      </c>
      <c r="F385" s="166">
        <v>1085</v>
      </c>
      <c r="G385">
        <v>45570</v>
      </c>
    </row>
    <row r="386" spans="1:7" hidden="1">
      <c r="A386" t="s">
        <v>349</v>
      </c>
      <c r="B386" s="165">
        <v>42004</v>
      </c>
      <c r="C386" t="s">
        <v>352</v>
      </c>
      <c r="D386" t="s">
        <v>353</v>
      </c>
      <c r="E386">
        <v>55</v>
      </c>
      <c r="F386" s="166">
        <v>1192.090909090909</v>
      </c>
      <c r="G386">
        <v>65565</v>
      </c>
    </row>
    <row r="387" spans="1:7" hidden="1">
      <c r="A387" t="s">
        <v>349</v>
      </c>
      <c r="B387" s="165">
        <v>42004</v>
      </c>
      <c r="C387" t="s">
        <v>352</v>
      </c>
      <c r="D387" t="s">
        <v>353</v>
      </c>
      <c r="E387">
        <v>81</v>
      </c>
      <c r="F387" s="166">
        <v>1200</v>
      </c>
      <c r="G387">
        <v>97200</v>
      </c>
    </row>
    <row r="388" spans="1:7" hidden="1">
      <c r="A388" t="s">
        <v>349</v>
      </c>
      <c r="B388" s="165">
        <v>42004</v>
      </c>
      <c r="C388" t="s">
        <v>360</v>
      </c>
      <c r="D388" t="s">
        <v>361</v>
      </c>
      <c r="E388">
        <v>8</v>
      </c>
      <c r="F388" s="166">
        <v>1502</v>
      </c>
      <c r="G388">
        <v>12016</v>
      </c>
    </row>
    <row r="389" spans="1:7" hidden="1">
      <c r="A389" t="s">
        <v>349</v>
      </c>
      <c r="B389" s="165">
        <v>42004</v>
      </c>
      <c r="C389" t="s">
        <v>360</v>
      </c>
      <c r="D389" t="s">
        <v>361</v>
      </c>
      <c r="E389">
        <v>23</v>
      </c>
      <c r="F389" s="166">
        <v>1502</v>
      </c>
      <c r="G389">
        <v>34546</v>
      </c>
    </row>
    <row r="390" spans="1:7" hidden="1">
      <c r="A390" t="s">
        <v>349</v>
      </c>
      <c r="B390" s="165">
        <v>42004</v>
      </c>
      <c r="C390" t="s">
        <v>356</v>
      </c>
      <c r="D390" t="s">
        <v>357</v>
      </c>
      <c r="E390">
        <v>2</v>
      </c>
      <c r="F390" s="166">
        <v>385</v>
      </c>
      <c r="G390">
        <v>770</v>
      </c>
    </row>
    <row r="391" spans="1:7" hidden="1">
      <c r="A391" t="s">
        <v>349</v>
      </c>
      <c r="B391" s="165">
        <v>42004</v>
      </c>
      <c r="C391" t="s">
        <v>356</v>
      </c>
      <c r="D391" t="s">
        <v>357</v>
      </c>
      <c r="E391">
        <v>4</v>
      </c>
      <c r="F391" s="166">
        <v>250</v>
      </c>
      <c r="G391">
        <v>1000</v>
      </c>
    </row>
    <row r="392" spans="1:7" hidden="1">
      <c r="A392" t="s">
        <v>349</v>
      </c>
      <c r="B392" s="165">
        <v>42004</v>
      </c>
      <c r="C392" t="s">
        <v>356</v>
      </c>
      <c r="D392" t="s">
        <v>357</v>
      </c>
      <c r="E392">
        <v>4</v>
      </c>
      <c r="F392" s="166">
        <v>264.75</v>
      </c>
      <c r="G392">
        <v>1059</v>
      </c>
    </row>
    <row r="393" spans="1:7" hidden="1">
      <c r="A393" t="s">
        <v>349</v>
      </c>
      <c r="B393" s="165">
        <v>42004</v>
      </c>
      <c r="C393" t="s">
        <v>350</v>
      </c>
      <c r="D393" t="s">
        <v>351</v>
      </c>
      <c r="E393">
        <v>1</v>
      </c>
      <c r="F393" s="166">
        <v>250</v>
      </c>
      <c r="G393">
        <v>250</v>
      </c>
    </row>
    <row r="394" spans="1:7" hidden="1">
      <c r="A394" t="s">
        <v>349</v>
      </c>
      <c r="B394" s="165">
        <v>42004</v>
      </c>
      <c r="C394" t="s">
        <v>350</v>
      </c>
      <c r="D394" t="s">
        <v>351</v>
      </c>
      <c r="E394">
        <v>2</v>
      </c>
      <c r="F394" s="166">
        <v>257</v>
      </c>
      <c r="G394">
        <v>514</v>
      </c>
    </row>
    <row r="395" spans="1:7" hidden="1">
      <c r="A395" t="s">
        <v>349</v>
      </c>
      <c r="B395" s="165">
        <v>42004</v>
      </c>
      <c r="C395" t="s">
        <v>350</v>
      </c>
      <c r="D395" t="s">
        <v>351</v>
      </c>
      <c r="E395">
        <v>1</v>
      </c>
      <c r="F395" s="166">
        <v>550</v>
      </c>
      <c r="G395">
        <v>550</v>
      </c>
    </row>
    <row r="396" spans="1:7" hidden="1">
      <c r="A396" t="s">
        <v>349</v>
      </c>
      <c r="B396" s="165">
        <v>42004</v>
      </c>
      <c r="C396" t="s">
        <v>350</v>
      </c>
      <c r="D396" t="s">
        <v>351</v>
      </c>
      <c r="E396">
        <v>2</v>
      </c>
      <c r="F396" s="166">
        <v>396</v>
      </c>
      <c r="G396">
        <v>792</v>
      </c>
    </row>
    <row r="397" spans="1:7" hidden="1">
      <c r="A397" t="s">
        <v>349</v>
      </c>
      <c r="B397" s="165">
        <v>42004</v>
      </c>
      <c r="C397" t="s">
        <v>350</v>
      </c>
      <c r="D397" t="s">
        <v>351</v>
      </c>
      <c r="E397">
        <v>1</v>
      </c>
      <c r="F397" s="166">
        <v>865</v>
      </c>
      <c r="G397">
        <v>865</v>
      </c>
    </row>
    <row r="398" spans="1:7" hidden="1">
      <c r="A398" t="s">
        <v>349</v>
      </c>
      <c r="B398" s="165">
        <v>42004</v>
      </c>
      <c r="C398" t="s">
        <v>350</v>
      </c>
      <c r="D398" t="s">
        <v>351</v>
      </c>
      <c r="E398">
        <v>1</v>
      </c>
      <c r="F398" s="166">
        <v>1190</v>
      </c>
      <c r="G398">
        <v>1190</v>
      </c>
    </row>
    <row r="399" spans="1:7" hidden="1">
      <c r="A399" t="s">
        <v>349</v>
      </c>
      <c r="B399" s="165">
        <v>42004</v>
      </c>
      <c r="C399" t="s">
        <v>350</v>
      </c>
      <c r="D399" t="s">
        <v>351</v>
      </c>
      <c r="E399">
        <v>2</v>
      </c>
      <c r="F399" s="166">
        <v>750</v>
      </c>
      <c r="G399">
        <v>1500</v>
      </c>
    </row>
    <row r="400" spans="1:7" hidden="1">
      <c r="A400" t="s">
        <v>349</v>
      </c>
      <c r="B400" s="165">
        <v>42004</v>
      </c>
      <c r="C400" t="s">
        <v>350</v>
      </c>
      <c r="D400" t="s">
        <v>351</v>
      </c>
      <c r="E400">
        <v>10</v>
      </c>
      <c r="F400" s="166">
        <v>570</v>
      </c>
      <c r="G400">
        <v>5700</v>
      </c>
    </row>
    <row r="401" spans="1:7" hidden="1">
      <c r="A401" t="s">
        <v>349</v>
      </c>
      <c r="B401" s="165">
        <v>42004</v>
      </c>
      <c r="C401" t="s">
        <v>350</v>
      </c>
      <c r="D401" t="s">
        <v>351</v>
      </c>
      <c r="E401">
        <v>10</v>
      </c>
      <c r="F401" s="166">
        <v>570</v>
      </c>
      <c r="G401">
        <v>5700</v>
      </c>
    </row>
    <row r="402" spans="1:7" hidden="1">
      <c r="A402" t="s">
        <v>349</v>
      </c>
      <c r="B402" s="165">
        <v>42004</v>
      </c>
      <c r="C402" t="s">
        <v>350</v>
      </c>
      <c r="D402" t="s">
        <v>351</v>
      </c>
      <c r="E402">
        <v>15</v>
      </c>
      <c r="F402" s="166">
        <v>388</v>
      </c>
      <c r="G402">
        <v>5820</v>
      </c>
    </row>
    <row r="403" spans="1:7" hidden="1">
      <c r="A403" t="s">
        <v>349</v>
      </c>
      <c r="B403" s="165">
        <v>42004</v>
      </c>
      <c r="C403" t="s">
        <v>350</v>
      </c>
      <c r="D403" t="s">
        <v>351</v>
      </c>
      <c r="E403">
        <v>26</v>
      </c>
      <c r="F403" s="166">
        <v>891.84615384615381</v>
      </c>
      <c r="G403">
        <v>23188</v>
      </c>
    </row>
    <row r="404" spans="1:7" hidden="1">
      <c r="A404" t="s">
        <v>349</v>
      </c>
      <c r="B404" s="165">
        <v>42004</v>
      </c>
      <c r="C404" t="s">
        <v>350</v>
      </c>
      <c r="D404" t="s">
        <v>351</v>
      </c>
      <c r="E404">
        <v>120</v>
      </c>
      <c r="F404" s="166">
        <v>346</v>
      </c>
      <c r="G404">
        <v>41520</v>
      </c>
    </row>
    <row r="405" spans="1:7" hidden="1">
      <c r="A405" t="s">
        <v>362</v>
      </c>
      <c r="B405" s="165">
        <v>41690</v>
      </c>
      <c r="C405" t="s">
        <v>350</v>
      </c>
      <c r="D405" t="s">
        <v>351</v>
      </c>
      <c r="E405">
        <v>15</v>
      </c>
      <c r="F405" s="166">
        <v>697.66666666666663</v>
      </c>
      <c r="G405">
        <v>10465</v>
      </c>
    </row>
    <row r="406" spans="1:7">
      <c r="A406" t="s">
        <v>362</v>
      </c>
      <c r="B406" s="165">
        <v>41697</v>
      </c>
      <c r="C406" t="s">
        <v>354</v>
      </c>
      <c r="D406" t="s">
        <v>355</v>
      </c>
      <c r="E406">
        <v>4</v>
      </c>
      <c r="F406" s="166">
        <v>638</v>
      </c>
      <c r="G406">
        <v>2552</v>
      </c>
    </row>
    <row r="407" spans="1:7" hidden="1">
      <c r="A407" t="s">
        <v>362</v>
      </c>
      <c r="B407" s="165">
        <v>41697</v>
      </c>
      <c r="C407" t="s">
        <v>356</v>
      </c>
      <c r="D407" t="s">
        <v>357</v>
      </c>
      <c r="E407">
        <v>37</v>
      </c>
      <c r="F407" s="166">
        <v>275.24324324324323</v>
      </c>
      <c r="G407">
        <v>10184</v>
      </c>
    </row>
    <row r="408" spans="1:7" hidden="1">
      <c r="A408" t="s">
        <v>362</v>
      </c>
      <c r="B408" s="165">
        <v>41704</v>
      </c>
      <c r="C408" t="s">
        <v>356</v>
      </c>
      <c r="D408" t="s">
        <v>357</v>
      </c>
      <c r="E408">
        <v>20</v>
      </c>
      <c r="F408" s="166">
        <v>597</v>
      </c>
      <c r="G408">
        <v>11940</v>
      </c>
    </row>
    <row r="409" spans="1:7" hidden="1">
      <c r="A409" t="s">
        <v>362</v>
      </c>
      <c r="B409" s="165">
        <v>41704</v>
      </c>
      <c r="C409" t="s">
        <v>356</v>
      </c>
      <c r="D409" t="s">
        <v>357</v>
      </c>
      <c r="E409">
        <v>92</v>
      </c>
      <c r="F409" s="166">
        <v>415.76086956521738</v>
      </c>
      <c r="G409">
        <v>38250</v>
      </c>
    </row>
    <row r="410" spans="1:7" hidden="1">
      <c r="A410" t="s">
        <v>362</v>
      </c>
      <c r="B410" s="165">
        <v>41711</v>
      </c>
      <c r="C410" t="s">
        <v>356</v>
      </c>
      <c r="D410" t="s">
        <v>357</v>
      </c>
      <c r="E410">
        <v>8</v>
      </c>
      <c r="F410" s="166">
        <v>364</v>
      </c>
      <c r="G410">
        <v>2912</v>
      </c>
    </row>
    <row r="411" spans="1:7" hidden="1">
      <c r="A411" t="s">
        <v>362</v>
      </c>
      <c r="B411" s="165">
        <v>41732</v>
      </c>
      <c r="C411" t="s">
        <v>356</v>
      </c>
      <c r="D411" t="s">
        <v>357</v>
      </c>
      <c r="E411">
        <v>5</v>
      </c>
      <c r="F411" s="166">
        <v>495</v>
      </c>
      <c r="G411">
        <v>2475</v>
      </c>
    </row>
    <row r="412" spans="1:7" hidden="1">
      <c r="A412" t="s">
        <v>362</v>
      </c>
      <c r="B412" s="165">
        <v>41732</v>
      </c>
      <c r="C412" t="s">
        <v>356</v>
      </c>
      <c r="D412" t="s">
        <v>357</v>
      </c>
      <c r="E412">
        <v>8</v>
      </c>
      <c r="F412" s="166">
        <v>330.75</v>
      </c>
      <c r="G412">
        <v>2646</v>
      </c>
    </row>
    <row r="413" spans="1:7" hidden="1">
      <c r="A413" t="s">
        <v>362</v>
      </c>
      <c r="B413" s="165">
        <v>41732</v>
      </c>
      <c r="C413" t="s">
        <v>350</v>
      </c>
      <c r="D413" t="s">
        <v>351</v>
      </c>
      <c r="E413">
        <v>5</v>
      </c>
      <c r="F413" s="166">
        <v>485.4</v>
      </c>
      <c r="G413">
        <v>2427</v>
      </c>
    </row>
    <row r="414" spans="1:7" hidden="1">
      <c r="A414" t="s">
        <v>362</v>
      </c>
      <c r="B414" s="165">
        <v>41732</v>
      </c>
      <c r="C414" t="s">
        <v>350</v>
      </c>
      <c r="D414" t="s">
        <v>351</v>
      </c>
      <c r="E414">
        <v>9</v>
      </c>
      <c r="F414" s="166">
        <v>362.44444444444446</v>
      </c>
      <c r="G414">
        <v>3262</v>
      </c>
    </row>
    <row r="415" spans="1:7" hidden="1">
      <c r="A415" t="s">
        <v>362</v>
      </c>
      <c r="B415" s="165">
        <v>41732</v>
      </c>
      <c r="C415" t="s">
        <v>350</v>
      </c>
      <c r="D415" t="s">
        <v>351</v>
      </c>
      <c r="E415">
        <v>8</v>
      </c>
      <c r="F415" s="166">
        <v>664.375</v>
      </c>
      <c r="G415">
        <v>5315</v>
      </c>
    </row>
    <row r="416" spans="1:7" hidden="1">
      <c r="A416" t="s">
        <v>362</v>
      </c>
      <c r="B416" s="165">
        <v>41760</v>
      </c>
      <c r="C416" t="s">
        <v>356</v>
      </c>
      <c r="D416" t="s">
        <v>357</v>
      </c>
      <c r="E416">
        <v>37</v>
      </c>
      <c r="F416" s="166">
        <v>159</v>
      </c>
      <c r="G416">
        <v>5883</v>
      </c>
    </row>
    <row r="417" spans="1:7" hidden="1">
      <c r="A417" t="s">
        <v>362</v>
      </c>
      <c r="B417" s="165">
        <v>41760</v>
      </c>
      <c r="C417" t="s">
        <v>356</v>
      </c>
      <c r="D417" t="s">
        <v>357</v>
      </c>
      <c r="E417">
        <v>65</v>
      </c>
      <c r="F417" s="166">
        <v>302</v>
      </c>
      <c r="G417">
        <v>19630</v>
      </c>
    </row>
    <row r="418" spans="1:7" hidden="1">
      <c r="A418" t="s">
        <v>362</v>
      </c>
      <c r="B418" s="165">
        <v>41767</v>
      </c>
      <c r="C418" t="s">
        <v>350</v>
      </c>
      <c r="D418" t="s">
        <v>351</v>
      </c>
      <c r="E418">
        <v>27</v>
      </c>
      <c r="F418" s="166">
        <v>250</v>
      </c>
      <c r="G418">
        <v>6750</v>
      </c>
    </row>
    <row r="419" spans="1:7" hidden="1">
      <c r="A419" t="s">
        <v>362</v>
      </c>
      <c r="B419" s="165">
        <v>41788</v>
      </c>
      <c r="C419" t="s">
        <v>358</v>
      </c>
      <c r="D419" t="s">
        <v>359</v>
      </c>
      <c r="E419">
        <v>4</v>
      </c>
      <c r="F419" s="166">
        <v>528</v>
      </c>
      <c r="G419">
        <v>2112</v>
      </c>
    </row>
    <row r="420" spans="1:7" hidden="1">
      <c r="A420" t="s">
        <v>362</v>
      </c>
      <c r="B420" s="165">
        <v>41788</v>
      </c>
      <c r="C420" t="s">
        <v>358</v>
      </c>
      <c r="D420" t="s">
        <v>359</v>
      </c>
      <c r="E420">
        <v>48</v>
      </c>
      <c r="F420" s="166">
        <v>299</v>
      </c>
      <c r="G420">
        <v>14352</v>
      </c>
    </row>
    <row r="421" spans="1:7" hidden="1">
      <c r="A421" t="s">
        <v>362</v>
      </c>
      <c r="B421" s="165">
        <v>41788</v>
      </c>
      <c r="C421" t="s">
        <v>356</v>
      </c>
      <c r="D421" t="s">
        <v>357</v>
      </c>
      <c r="E421">
        <v>4</v>
      </c>
      <c r="F421" s="166">
        <v>263</v>
      </c>
      <c r="G421">
        <v>1052</v>
      </c>
    </row>
    <row r="422" spans="1:7" hidden="1">
      <c r="A422" t="s">
        <v>362</v>
      </c>
      <c r="B422" s="165">
        <v>41788</v>
      </c>
      <c r="C422" t="s">
        <v>356</v>
      </c>
      <c r="D422" t="s">
        <v>357</v>
      </c>
      <c r="E422">
        <v>4</v>
      </c>
      <c r="F422" s="166">
        <v>292</v>
      </c>
      <c r="G422">
        <v>1168</v>
      </c>
    </row>
    <row r="423" spans="1:7" hidden="1">
      <c r="A423" t="s">
        <v>362</v>
      </c>
      <c r="B423" s="165">
        <v>41788</v>
      </c>
      <c r="C423" t="s">
        <v>356</v>
      </c>
      <c r="D423" t="s">
        <v>357</v>
      </c>
      <c r="E423">
        <v>12</v>
      </c>
      <c r="F423" s="166">
        <v>264.83333333333331</v>
      </c>
      <c r="G423">
        <v>3178</v>
      </c>
    </row>
    <row r="424" spans="1:7" hidden="1">
      <c r="A424" t="s">
        <v>362</v>
      </c>
      <c r="B424" s="165">
        <v>41788</v>
      </c>
      <c r="C424" t="s">
        <v>356</v>
      </c>
      <c r="D424" t="s">
        <v>357</v>
      </c>
      <c r="E424">
        <v>22</v>
      </c>
      <c r="F424" s="166">
        <v>222</v>
      </c>
      <c r="G424">
        <v>4884</v>
      </c>
    </row>
    <row r="425" spans="1:7" hidden="1">
      <c r="A425" t="s">
        <v>362</v>
      </c>
      <c r="B425" s="165">
        <v>41788</v>
      </c>
      <c r="C425" t="s">
        <v>350</v>
      </c>
      <c r="D425" t="s">
        <v>351</v>
      </c>
      <c r="E425">
        <v>1</v>
      </c>
      <c r="F425" s="166">
        <v>249</v>
      </c>
      <c r="G425">
        <v>249</v>
      </c>
    </row>
    <row r="426" spans="1:7" hidden="1">
      <c r="A426" t="s">
        <v>362</v>
      </c>
      <c r="B426" s="165">
        <v>41788</v>
      </c>
      <c r="C426" t="s">
        <v>350</v>
      </c>
      <c r="D426" t="s">
        <v>351</v>
      </c>
      <c r="E426">
        <v>11</v>
      </c>
      <c r="F426" s="166">
        <v>282</v>
      </c>
      <c r="G426">
        <v>3102</v>
      </c>
    </row>
    <row r="427" spans="1:7" hidden="1">
      <c r="A427" t="s">
        <v>362</v>
      </c>
      <c r="B427" s="165">
        <v>41788</v>
      </c>
      <c r="C427" t="s">
        <v>350</v>
      </c>
      <c r="D427" t="s">
        <v>351</v>
      </c>
      <c r="E427">
        <v>20</v>
      </c>
      <c r="F427" s="166">
        <v>299</v>
      </c>
      <c r="G427">
        <v>5980</v>
      </c>
    </row>
    <row r="428" spans="1:7" hidden="1">
      <c r="A428" t="s">
        <v>362</v>
      </c>
      <c r="B428" s="165">
        <v>41795</v>
      </c>
      <c r="C428" t="s">
        <v>350</v>
      </c>
      <c r="D428" t="s">
        <v>351</v>
      </c>
      <c r="E428">
        <v>10</v>
      </c>
      <c r="F428" s="166">
        <v>302</v>
      </c>
      <c r="G428">
        <v>3020</v>
      </c>
    </row>
    <row r="429" spans="1:7">
      <c r="A429" t="s">
        <v>362</v>
      </c>
      <c r="B429" s="165">
        <v>41810</v>
      </c>
      <c r="C429" t="s">
        <v>354</v>
      </c>
      <c r="D429" t="s">
        <v>355</v>
      </c>
      <c r="E429">
        <v>4</v>
      </c>
      <c r="F429" s="166">
        <v>387.5</v>
      </c>
      <c r="G429">
        <v>1550</v>
      </c>
    </row>
    <row r="430" spans="1:7" hidden="1">
      <c r="A430" t="s">
        <v>362</v>
      </c>
      <c r="B430" s="165">
        <v>41810</v>
      </c>
      <c r="C430" t="s">
        <v>356</v>
      </c>
      <c r="D430" t="s">
        <v>357</v>
      </c>
      <c r="E430">
        <v>37</v>
      </c>
      <c r="F430" s="166">
        <v>188.24324324324326</v>
      </c>
      <c r="G430">
        <v>6965</v>
      </c>
    </row>
    <row r="431" spans="1:7" hidden="1">
      <c r="A431" t="s">
        <v>362</v>
      </c>
      <c r="B431" s="165">
        <v>41858</v>
      </c>
      <c r="C431" t="s">
        <v>350</v>
      </c>
      <c r="D431" t="s">
        <v>351</v>
      </c>
      <c r="E431">
        <v>22</v>
      </c>
      <c r="F431" s="166">
        <v>1435</v>
      </c>
      <c r="G431">
        <v>31570</v>
      </c>
    </row>
    <row r="432" spans="1:7" hidden="1">
      <c r="A432" t="s">
        <v>362</v>
      </c>
      <c r="B432" s="165">
        <v>41865</v>
      </c>
      <c r="C432" t="s">
        <v>352</v>
      </c>
      <c r="D432" t="s">
        <v>353</v>
      </c>
      <c r="E432">
        <v>12</v>
      </c>
      <c r="F432" s="166">
        <v>787.5</v>
      </c>
      <c r="G432">
        <v>9450</v>
      </c>
    </row>
    <row r="433" spans="1:7" hidden="1">
      <c r="A433" t="s">
        <v>362</v>
      </c>
      <c r="B433" s="165">
        <v>41865</v>
      </c>
      <c r="C433" t="s">
        <v>356</v>
      </c>
      <c r="D433" t="s">
        <v>357</v>
      </c>
      <c r="E433">
        <v>19</v>
      </c>
      <c r="F433" s="166">
        <v>316</v>
      </c>
      <c r="G433">
        <v>6004</v>
      </c>
    </row>
    <row r="434" spans="1:7" hidden="1">
      <c r="A434" t="s">
        <v>362</v>
      </c>
      <c r="B434" s="165">
        <v>41872</v>
      </c>
      <c r="C434" t="s">
        <v>352</v>
      </c>
      <c r="D434" t="s">
        <v>353</v>
      </c>
      <c r="E434">
        <v>3</v>
      </c>
      <c r="F434" s="166">
        <v>835</v>
      </c>
      <c r="G434">
        <v>2505</v>
      </c>
    </row>
    <row r="435" spans="1:7" hidden="1">
      <c r="A435" t="s">
        <v>362</v>
      </c>
      <c r="B435" s="165">
        <v>41879</v>
      </c>
      <c r="C435" t="s">
        <v>350</v>
      </c>
      <c r="D435" t="s">
        <v>351</v>
      </c>
      <c r="E435">
        <v>3</v>
      </c>
      <c r="F435" s="166">
        <v>571.25</v>
      </c>
      <c r="G435">
        <v>1713.75</v>
      </c>
    </row>
    <row r="436" spans="1:7" hidden="1">
      <c r="A436" t="s">
        <v>362</v>
      </c>
      <c r="B436" s="165">
        <v>41879</v>
      </c>
      <c r="C436" t="s">
        <v>350</v>
      </c>
      <c r="D436" t="s">
        <v>351</v>
      </c>
      <c r="E436">
        <v>3</v>
      </c>
      <c r="F436" s="166">
        <v>2103</v>
      </c>
      <c r="G436">
        <v>6309</v>
      </c>
    </row>
    <row r="437" spans="1:7" hidden="1">
      <c r="A437" t="s">
        <v>362</v>
      </c>
      <c r="B437" s="165">
        <v>41928</v>
      </c>
      <c r="C437" t="s">
        <v>356</v>
      </c>
      <c r="D437" t="s">
        <v>357</v>
      </c>
      <c r="E437">
        <v>2</v>
      </c>
      <c r="F437" s="166">
        <v>295</v>
      </c>
      <c r="G437">
        <v>590</v>
      </c>
    </row>
    <row r="438" spans="1:7" hidden="1">
      <c r="A438" t="s">
        <v>362</v>
      </c>
      <c r="B438" s="165">
        <v>41928</v>
      </c>
      <c r="C438" t="s">
        <v>356</v>
      </c>
      <c r="D438" t="s">
        <v>357</v>
      </c>
      <c r="E438">
        <v>2</v>
      </c>
      <c r="F438" s="166">
        <v>405.5</v>
      </c>
      <c r="G438">
        <v>811</v>
      </c>
    </row>
    <row r="439" spans="1:7" hidden="1">
      <c r="A439" t="s">
        <v>362</v>
      </c>
      <c r="B439" s="165">
        <v>41928</v>
      </c>
      <c r="C439" t="s">
        <v>356</v>
      </c>
      <c r="D439" t="s">
        <v>357</v>
      </c>
      <c r="E439">
        <v>3</v>
      </c>
      <c r="F439" s="166">
        <v>295</v>
      </c>
      <c r="G439">
        <v>885</v>
      </c>
    </row>
    <row r="440" spans="1:7" hidden="1">
      <c r="A440" t="s">
        <v>362</v>
      </c>
      <c r="B440" s="165">
        <v>41928</v>
      </c>
      <c r="C440" t="s">
        <v>356</v>
      </c>
      <c r="D440" t="s">
        <v>357</v>
      </c>
      <c r="E440">
        <v>5</v>
      </c>
      <c r="F440" s="166">
        <v>234.2</v>
      </c>
      <c r="G440">
        <v>1171</v>
      </c>
    </row>
    <row r="441" spans="1:7" hidden="1">
      <c r="A441" t="s">
        <v>362</v>
      </c>
      <c r="B441" s="165">
        <v>41928</v>
      </c>
      <c r="C441" t="s">
        <v>356</v>
      </c>
      <c r="D441" t="s">
        <v>357</v>
      </c>
      <c r="E441">
        <v>4</v>
      </c>
      <c r="F441" s="166">
        <v>328</v>
      </c>
      <c r="G441">
        <v>1312</v>
      </c>
    </row>
    <row r="442" spans="1:7" hidden="1">
      <c r="A442" t="s">
        <v>362</v>
      </c>
      <c r="B442" s="165">
        <v>41928</v>
      </c>
      <c r="C442" t="s">
        <v>356</v>
      </c>
      <c r="D442" t="s">
        <v>357</v>
      </c>
      <c r="E442">
        <v>5</v>
      </c>
      <c r="F442" s="166">
        <v>315</v>
      </c>
      <c r="G442">
        <v>1575</v>
      </c>
    </row>
    <row r="443" spans="1:7" hidden="1">
      <c r="A443" t="s">
        <v>362</v>
      </c>
      <c r="B443" s="165">
        <v>41928</v>
      </c>
      <c r="C443" t="s">
        <v>356</v>
      </c>
      <c r="D443" t="s">
        <v>357</v>
      </c>
      <c r="E443">
        <v>5</v>
      </c>
      <c r="F443" s="166">
        <v>321</v>
      </c>
      <c r="G443">
        <v>1605</v>
      </c>
    </row>
    <row r="444" spans="1:7" hidden="1">
      <c r="A444" t="s">
        <v>362</v>
      </c>
      <c r="B444" s="165">
        <v>41928</v>
      </c>
      <c r="C444" t="s">
        <v>356</v>
      </c>
      <c r="D444" t="s">
        <v>357</v>
      </c>
      <c r="E444">
        <v>6</v>
      </c>
      <c r="F444" s="166">
        <v>317.5</v>
      </c>
      <c r="G444">
        <v>1905</v>
      </c>
    </row>
    <row r="445" spans="1:7" hidden="1">
      <c r="A445" t="s">
        <v>362</v>
      </c>
      <c r="B445" s="165">
        <v>41928</v>
      </c>
      <c r="C445" t="s">
        <v>356</v>
      </c>
      <c r="D445" t="s">
        <v>357</v>
      </c>
      <c r="E445">
        <v>9</v>
      </c>
      <c r="F445" s="166">
        <v>280.88888888888891</v>
      </c>
      <c r="G445">
        <v>2528</v>
      </c>
    </row>
    <row r="446" spans="1:7" hidden="1">
      <c r="A446" t="s">
        <v>362</v>
      </c>
      <c r="B446" s="165">
        <v>41928</v>
      </c>
      <c r="C446" t="s">
        <v>356</v>
      </c>
      <c r="D446" t="s">
        <v>357</v>
      </c>
      <c r="E446">
        <v>23</v>
      </c>
      <c r="F446" s="166">
        <v>263</v>
      </c>
      <c r="G446">
        <v>6049</v>
      </c>
    </row>
    <row r="447" spans="1:7" hidden="1">
      <c r="A447" t="s">
        <v>362</v>
      </c>
      <c r="B447" s="165">
        <v>41928</v>
      </c>
      <c r="C447" t="s">
        <v>350</v>
      </c>
      <c r="D447" t="s">
        <v>351</v>
      </c>
      <c r="E447">
        <v>1</v>
      </c>
      <c r="F447" s="166">
        <v>328</v>
      </c>
      <c r="G447">
        <v>328</v>
      </c>
    </row>
    <row r="448" spans="1:7" hidden="1">
      <c r="A448" t="s">
        <v>362</v>
      </c>
      <c r="B448" s="165">
        <v>41928</v>
      </c>
      <c r="C448" t="s">
        <v>350</v>
      </c>
      <c r="D448" t="s">
        <v>351</v>
      </c>
      <c r="E448">
        <v>1</v>
      </c>
      <c r="F448" s="166">
        <v>886</v>
      </c>
      <c r="G448">
        <v>886</v>
      </c>
    </row>
    <row r="449" spans="1:7" hidden="1">
      <c r="A449" t="s">
        <v>362</v>
      </c>
      <c r="B449" s="165">
        <v>41936</v>
      </c>
      <c r="C449" t="s">
        <v>358</v>
      </c>
      <c r="D449" t="s">
        <v>359</v>
      </c>
      <c r="E449">
        <v>147</v>
      </c>
      <c r="F449" s="166">
        <v>997.03401360544217</v>
      </c>
      <c r="G449">
        <v>146564</v>
      </c>
    </row>
    <row r="450" spans="1:7" hidden="1">
      <c r="A450" t="s">
        <v>362</v>
      </c>
      <c r="B450" s="165">
        <v>41936</v>
      </c>
      <c r="C450" t="s">
        <v>350</v>
      </c>
      <c r="D450" t="s">
        <v>351</v>
      </c>
      <c r="E450">
        <v>104</v>
      </c>
      <c r="F450" s="166">
        <v>732.42307692307691</v>
      </c>
      <c r="G450">
        <v>76172</v>
      </c>
    </row>
    <row r="451" spans="1:7" hidden="1">
      <c r="A451" t="s">
        <v>362</v>
      </c>
      <c r="B451" s="165">
        <v>41943</v>
      </c>
      <c r="C451" t="s">
        <v>356</v>
      </c>
      <c r="D451" t="s">
        <v>357</v>
      </c>
      <c r="E451">
        <v>1</v>
      </c>
      <c r="F451" s="166">
        <v>287</v>
      </c>
      <c r="G451">
        <v>287</v>
      </c>
    </row>
    <row r="452" spans="1:7" hidden="1">
      <c r="A452" t="s">
        <v>362</v>
      </c>
      <c r="B452" s="165">
        <v>41943</v>
      </c>
      <c r="C452" t="s">
        <v>356</v>
      </c>
      <c r="D452" t="s">
        <v>357</v>
      </c>
      <c r="E452">
        <v>9</v>
      </c>
      <c r="F452" s="166">
        <v>269.22222222222223</v>
      </c>
      <c r="G452">
        <v>2423</v>
      </c>
    </row>
    <row r="453" spans="1:7" hidden="1">
      <c r="A453" t="s">
        <v>362</v>
      </c>
      <c r="B453" s="165">
        <v>41943</v>
      </c>
      <c r="C453" t="s">
        <v>356</v>
      </c>
      <c r="D453" t="s">
        <v>357</v>
      </c>
      <c r="E453">
        <v>15</v>
      </c>
      <c r="F453" s="166">
        <v>285</v>
      </c>
      <c r="G453">
        <v>4275</v>
      </c>
    </row>
    <row r="454" spans="1:7" hidden="1">
      <c r="A454" t="s">
        <v>362</v>
      </c>
      <c r="B454" s="165">
        <v>41943</v>
      </c>
      <c r="C454" t="s">
        <v>350</v>
      </c>
      <c r="D454" t="s">
        <v>351</v>
      </c>
      <c r="E454">
        <v>1</v>
      </c>
      <c r="F454" s="166">
        <v>526</v>
      </c>
      <c r="G454">
        <v>526</v>
      </c>
    </row>
    <row r="455" spans="1:7" hidden="1">
      <c r="A455" t="s">
        <v>362</v>
      </c>
      <c r="B455" s="165">
        <v>41943</v>
      </c>
      <c r="C455" t="s">
        <v>350</v>
      </c>
      <c r="D455" t="s">
        <v>351</v>
      </c>
      <c r="E455">
        <v>6</v>
      </c>
      <c r="F455" s="166">
        <v>345</v>
      </c>
      <c r="G455">
        <v>2070</v>
      </c>
    </row>
    <row r="456" spans="1:7" hidden="1">
      <c r="A456" t="s">
        <v>362</v>
      </c>
      <c r="B456" s="165">
        <v>41943</v>
      </c>
      <c r="C456" t="s">
        <v>350</v>
      </c>
      <c r="D456" t="s">
        <v>351</v>
      </c>
      <c r="E456">
        <v>6</v>
      </c>
      <c r="F456" s="166">
        <v>459</v>
      </c>
      <c r="G456">
        <v>2754</v>
      </c>
    </row>
    <row r="457" spans="1:7" hidden="1">
      <c r="A457" t="s">
        <v>362</v>
      </c>
      <c r="B457" s="165">
        <v>41943</v>
      </c>
      <c r="C457" t="s">
        <v>350</v>
      </c>
      <c r="D457" t="s">
        <v>351</v>
      </c>
      <c r="E457">
        <v>11</v>
      </c>
      <c r="F457" s="166">
        <v>336</v>
      </c>
      <c r="G457">
        <v>3696</v>
      </c>
    </row>
    <row r="458" spans="1:7" hidden="1">
      <c r="A458" t="s">
        <v>362</v>
      </c>
      <c r="B458" s="165">
        <v>41949</v>
      </c>
      <c r="C458" t="s">
        <v>356</v>
      </c>
      <c r="D458" t="s">
        <v>357</v>
      </c>
      <c r="E458">
        <v>4</v>
      </c>
      <c r="F458" s="166">
        <v>506.75</v>
      </c>
      <c r="G458">
        <v>2027</v>
      </c>
    </row>
    <row r="459" spans="1:7" hidden="1">
      <c r="A459" t="s">
        <v>362</v>
      </c>
      <c r="B459" s="165">
        <v>41963</v>
      </c>
      <c r="C459" t="s">
        <v>356</v>
      </c>
      <c r="D459" t="s">
        <v>357</v>
      </c>
      <c r="E459">
        <v>11</v>
      </c>
      <c r="F459" s="166">
        <v>195</v>
      </c>
      <c r="G459">
        <v>2145</v>
      </c>
    </row>
    <row r="460" spans="1:7" hidden="1">
      <c r="A460" t="s">
        <v>362</v>
      </c>
      <c r="B460" s="165">
        <v>41977</v>
      </c>
      <c r="C460" t="s">
        <v>356</v>
      </c>
      <c r="D460" t="s">
        <v>357</v>
      </c>
      <c r="E460">
        <v>1</v>
      </c>
      <c r="F460" s="166">
        <v>400</v>
      </c>
      <c r="G460">
        <v>400</v>
      </c>
    </row>
    <row r="461" spans="1:7" hidden="1">
      <c r="A461" t="s">
        <v>362</v>
      </c>
      <c r="B461" s="165">
        <v>42004</v>
      </c>
      <c r="C461" t="s">
        <v>356</v>
      </c>
      <c r="D461" t="s">
        <v>357</v>
      </c>
      <c r="E461">
        <v>2</v>
      </c>
      <c r="F461" s="166">
        <v>292.5</v>
      </c>
      <c r="G461">
        <v>585</v>
      </c>
    </row>
    <row r="462" spans="1:7" hidden="1">
      <c r="A462" t="s">
        <v>362</v>
      </c>
      <c r="B462" s="165">
        <v>42004</v>
      </c>
      <c r="C462" t="s">
        <v>356</v>
      </c>
      <c r="D462" t="s">
        <v>357</v>
      </c>
      <c r="E462">
        <v>3</v>
      </c>
      <c r="F462" s="166">
        <v>206.66666666666666</v>
      </c>
      <c r="G462">
        <v>620</v>
      </c>
    </row>
    <row r="463" spans="1:7" hidden="1">
      <c r="A463" t="s">
        <v>362</v>
      </c>
      <c r="B463" s="165">
        <v>42004</v>
      </c>
      <c r="C463" t="s">
        <v>356</v>
      </c>
      <c r="D463" t="s">
        <v>357</v>
      </c>
      <c r="E463">
        <v>2</v>
      </c>
      <c r="F463" s="166">
        <v>429</v>
      </c>
      <c r="G463">
        <v>858</v>
      </c>
    </row>
    <row r="464" spans="1:7" hidden="1">
      <c r="A464" t="s">
        <v>362</v>
      </c>
      <c r="B464" s="165">
        <v>42004</v>
      </c>
      <c r="C464" t="s">
        <v>356</v>
      </c>
      <c r="D464" t="s">
        <v>357</v>
      </c>
      <c r="E464">
        <v>260</v>
      </c>
      <c r="F464" s="166">
        <v>284.55384615384617</v>
      </c>
      <c r="G464">
        <v>73984</v>
      </c>
    </row>
    <row r="465" spans="1:7" hidden="1">
      <c r="A465" t="s">
        <v>362</v>
      </c>
      <c r="B465" s="165">
        <v>42004</v>
      </c>
      <c r="C465" t="s">
        <v>350</v>
      </c>
      <c r="D465" t="s">
        <v>351</v>
      </c>
      <c r="E465">
        <v>1</v>
      </c>
      <c r="F465" s="166">
        <v>429</v>
      </c>
      <c r="G465">
        <v>429</v>
      </c>
    </row>
    <row r="466" spans="1:7" hidden="1">
      <c r="A466" t="s">
        <v>362</v>
      </c>
      <c r="B466" s="165">
        <v>42004</v>
      </c>
      <c r="C466" t="s">
        <v>350</v>
      </c>
      <c r="D466" t="s">
        <v>351</v>
      </c>
      <c r="E466">
        <v>8</v>
      </c>
      <c r="F466" s="166">
        <v>465</v>
      </c>
      <c r="G466">
        <v>3720</v>
      </c>
    </row>
    <row r="467" spans="1:7" hidden="1">
      <c r="A467" t="s">
        <v>362</v>
      </c>
      <c r="B467" s="165">
        <v>42004</v>
      </c>
      <c r="C467" t="s">
        <v>350</v>
      </c>
      <c r="D467" t="s">
        <v>351</v>
      </c>
      <c r="E467">
        <v>52</v>
      </c>
      <c r="F467" s="166">
        <v>1434.5</v>
      </c>
      <c r="G467">
        <v>74594</v>
      </c>
    </row>
    <row r="468" spans="1:7" hidden="1">
      <c r="A468" t="s">
        <v>363</v>
      </c>
      <c r="B468" s="165">
        <v>41739</v>
      </c>
      <c r="C468" t="s">
        <v>350</v>
      </c>
      <c r="D468" t="s">
        <v>351</v>
      </c>
      <c r="E468">
        <v>9</v>
      </c>
      <c r="F468" s="166">
        <v>538.77777777777783</v>
      </c>
      <c r="G468">
        <v>4849</v>
      </c>
    </row>
    <row r="469" spans="1:7" hidden="1">
      <c r="A469" t="s">
        <v>363</v>
      </c>
      <c r="B469" s="165">
        <v>41746</v>
      </c>
      <c r="C469" t="s">
        <v>356</v>
      </c>
      <c r="D469" t="s">
        <v>357</v>
      </c>
      <c r="E469">
        <v>7</v>
      </c>
      <c r="F469" s="166">
        <v>133.28571428571428</v>
      </c>
      <c r="G469">
        <v>933</v>
      </c>
    </row>
    <row r="470" spans="1:7" hidden="1">
      <c r="A470" t="s">
        <v>363</v>
      </c>
      <c r="B470" s="165">
        <v>41746</v>
      </c>
      <c r="C470" t="s">
        <v>350</v>
      </c>
      <c r="D470" t="s">
        <v>351</v>
      </c>
      <c r="E470">
        <v>1</v>
      </c>
      <c r="F470" s="166">
        <v>282</v>
      </c>
      <c r="G470">
        <v>282</v>
      </c>
    </row>
    <row r="471" spans="1:7" hidden="1">
      <c r="A471" t="s">
        <v>363</v>
      </c>
      <c r="B471" s="165">
        <v>41760</v>
      </c>
      <c r="C471" t="s">
        <v>350</v>
      </c>
      <c r="D471" t="s">
        <v>351</v>
      </c>
      <c r="E471">
        <v>2</v>
      </c>
      <c r="F471" s="166">
        <v>358</v>
      </c>
      <c r="G471">
        <v>716</v>
      </c>
    </row>
    <row r="472" spans="1:7">
      <c r="A472" t="s">
        <v>363</v>
      </c>
      <c r="B472" s="165">
        <v>41767</v>
      </c>
      <c r="C472" t="s">
        <v>354</v>
      </c>
      <c r="D472" t="s">
        <v>355</v>
      </c>
      <c r="E472">
        <v>1</v>
      </c>
      <c r="F472" s="166">
        <v>602</v>
      </c>
      <c r="G472">
        <v>602</v>
      </c>
    </row>
    <row r="473" spans="1:7" hidden="1">
      <c r="A473" t="s">
        <v>363</v>
      </c>
      <c r="B473" s="165">
        <v>41767</v>
      </c>
      <c r="C473" t="s">
        <v>356</v>
      </c>
      <c r="D473" t="s">
        <v>357</v>
      </c>
      <c r="E473">
        <v>13</v>
      </c>
      <c r="F473" s="166">
        <v>581</v>
      </c>
      <c r="G473">
        <v>7553</v>
      </c>
    </row>
    <row r="474" spans="1:7" hidden="1">
      <c r="A474" t="s">
        <v>363</v>
      </c>
      <c r="B474" s="165">
        <v>41767</v>
      </c>
      <c r="C474" t="s">
        <v>350</v>
      </c>
      <c r="D474" t="s">
        <v>351</v>
      </c>
      <c r="E474">
        <v>12</v>
      </c>
      <c r="F474" s="166">
        <v>491.25</v>
      </c>
      <c r="G474">
        <v>5895</v>
      </c>
    </row>
    <row r="475" spans="1:7" hidden="1">
      <c r="A475" t="s">
        <v>363</v>
      </c>
      <c r="B475" s="165">
        <v>41774</v>
      </c>
      <c r="C475" t="s">
        <v>356</v>
      </c>
      <c r="D475" t="s">
        <v>357</v>
      </c>
      <c r="E475">
        <v>1</v>
      </c>
      <c r="F475" s="166">
        <v>400</v>
      </c>
      <c r="G475">
        <v>400</v>
      </c>
    </row>
    <row r="476" spans="1:7">
      <c r="A476" t="s">
        <v>363</v>
      </c>
      <c r="B476" s="165">
        <v>41781</v>
      </c>
      <c r="C476" t="s">
        <v>354</v>
      </c>
      <c r="D476" t="s">
        <v>355</v>
      </c>
      <c r="E476">
        <v>2</v>
      </c>
      <c r="F476" s="166">
        <v>570</v>
      </c>
      <c r="G476">
        <v>1140</v>
      </c>
    </row>
    <row r="477" spans="1:7" hidden="1">
      <c r="A477" t="s">
        <v>363</v>
      </c>
      <c r="B477" s="165">
        <v>41781</v>
      </c>
      <c r="C477" t="s">
        <v>350</v>
      </c>
      <c r="D477" t="s">
        <v>351</v>
      </c>
      <c r="E477">
        <v>1</v>
      </c>
      <c r="F477" s="166">
        <v>375</v>
      </c>
      <c r="G477">
        <v>375</v>
      </c>
    </row>
    <row r="478" spans="1:7" hidden="1">
      <c r="A478" t="s">
        <v>363</v>
      </c>
      <c r="B478" s="165">
        <v>41781</v>
      </c>
      <c r="C478" t="s">
        <v>350</v>
      </c>
      <c r="D478" t="s">
        <v>351</v>
      </c>
      <c r="E478">
        <v>20</v>
      </c>
      <c r="F478" s="166">
        <v>509.35</v>
      </c>
      <c r="G478">
        <v>10187</v>
      </c>
    </row>
    <row r="479" spans="1:7" hidden="1">
      <c r="A479" t="s">
        <v>363</v>
      </c>
      <c r="B479" s="165">
        <v>41795</v>
      </c>
      <c r="C479" t="s">
        <v>352</v>
      </c>
      <c r="D479" t="s">
        <v>353</v>
      </c>
      <c r="E479">
        <v>11</v>
      </c>
      <c r="F479" s="166">
        <v>780</v>
      </c>
      <c r="G479">
        <v>8580</v>
      </c>
    </row>
    <row r="480" spans="1:7" hidden="1">
      <c r="A480" t="s">
        <v>363</v>
      </c>
      <c r="B480" s="165">
        <v>41802</v>
      </c>
      <c r="C480" t="s">
        <v>358</v>
      </c>
      <c r="D480" t="s">
        <v>359</v>
      </c>
      <c r="E480">
        <v>4</v>
      </c>
      <c r="F480" s="166">
        <v>132.25</v>
      </c>
      <c r="G480">
        <v>529</v>
      </c>
    </row>
    <row r="481" spans="1:7" hidden="1">
      <c r="A481" t="s">
        <v>363</v>
      </c>
      <c r="B481" s="165">
        <v>41802</v>
      </c>
      <c r="C481" t="s">
        <v>358</v>
      </c>
      <c r="D481" t="s">
        <v>359</v>
      </c>
      <c r="E481">
        <v>1</v>
      </c>
      <c r="F481" s="166">
        <v>641</v>
      </c>
      <c r="G481">
        <v>641</v>
      </c>
    </row>
    <row r="482" spans="1:7">
      <c r="A482" t="s">
        <v>363</v>
      </c>
      <c r="B482" s="165">
        <v>41802</v>
      </c>
      <c r="C482" t="s">
        <v>354</v>
      </c>
      <c r="D482" t="s">
        <v>355</v>
      </c>
      <c r="E482">
        <v>2</v>
      </c>
      <c r="F482" s="166">
        <v>595</v>
      </c>
      <c r="G482">
        <v>1190</v>
      </c>
    </row>
    <row r="483" spans="1:7" hidden="1">
      <c r="A483" t="s">
        <v>363</v>
      </c>
      <c r="B483" s="165">
        <v>41802</v>
      </c>
      <c r="C483" t="s">
        <v>356</v>
      </c>
      <c r="D483" t="s">
        <v>357</v>
      </c>
      <c r="E483">
        <v>8</v>
      </c>
      <c r="F483" s="166">
        <v>197.125</v>
      </c>
      <c r="G483">
        <v>1577</v>
      </c>
    </row>
    <row r="484" spans="1:7" hidden="1">
      <c r="A484" t="s">
        <v>363</v>
      </c>
      <c r="B484" s="165">
        <v>41802</v>
      </c>
      <c r="C484" t="s">
        <v>350</v>
      </c>
      <c r="D484" t="s">
        <v>351</v>
      </c>
      <c r="E484">
        <v>1</v>
      </c>
      <c r="F484" s="166">
        <v>625</v>
      </c>
      <c r="G484">
        <v>625</v>
      </c>
    </row>
    <row r="485" spans="1:7" hidden="1">
      <c r="A485" t="s">
        <v>363</v>
      </c>
      <c r="B485" s="165">
        <v>41802</v>
      </c>
      <c r="C485" t="s">
        <v>350</v>
      </c>
      <c r="D485" t="s">
        <v>351</v>
      </c>
      <c r="E485">
        <v>2</v>
      </c>
      <c r="F485" s="166">
        <v>725</v>
      </c>
      <c r="G485">
        <v>1450</v>
      </c>
    </row>
    <row r="486" spans="1:7" hidden="1">
      <c r="A486" t="s">
        <v>363</v>
      </c>
      <c r="B486" s="165">
        <v>41802</v>
      </c>
      <c r="C486" t="s">
        <v>350</v>
      </c>
      <c r="D486" t="s">
        <v>351</v>
      </c>
      <c r="E486">
        <v>4</v>
      </c>
      <c r="F486" s="166">
        <v>730</v>
      </c>
      <c r="G486">
        <v>2920</v>
      </c>
    </row>
    <row r="487" spans="1:7" hidden="1">
      <c r="A487" t="s">
        <v>363</v>
      </c>
      <c r="B487" s="165">
        <v>41802</v>
      </c>
      <c r="C487" t="s">
        <v>350</v>
      </c>
      <c r="D487" t="s">
        <v>351</v>
      </c>
      <c r="E487">
        <v>15</v>
      </c>
      <c r="F487" s="166">
        <v>407</v>
      </c>
      <c r="G487">
        <v>6105</v>
      </c>
    </row>
    <row r="488" spans="1:7" hidden="1">
      <c r="A488" t="s">
        <v>363</v>
      </c>
      <c r="B488" s="165">
        <v>41810</v>
      </c>
      <c r="C488" t="s">
        <v>358</v>
      </c>
      <c r="D488" t="s">
        <v>359</v>
      </c>
      <c r="E488">
        <v>10</v>
      </c>
      <c r="F488" s="166">
        <v>625</v>
      </c>
      <c r="G488">
        <v>6250</v>
      </c>
    </row>
    <row r="489" spans="1:7" hidden="1">
      <c r="A489" t="s">
        <v>363</v>
      </c>
      <c r="B489" s="165">
        <v>41810</v>
      </c>
      <c r="C489" t="s">
        <v>356</v>
      </c>
      <c r="D489" t="s">
        <v>357</v>
      </c>
      <c r="E489">
        <v>1</v>
      </c>
      <c r="F489" s="166">
        <v>450</v>
      </c>
      <c r="G489">
        <v>450</v>
      </c>
    </row>
    <row r="490" spans="1:7" hidden="1">
      <c r="A490" t="s">
        <v>363</v>
      </c>
      <c r="B490" s="165">
        <v>41810</v>
      </c>
      <c r="C490" t="s">
        <v>350</v>
      </c>
      <c r="D490" t="s">
        <v>351</v>
      </c>
      <c r="E490">
        <v>12</v>
      </c>
      <c r="F490" s="166">
        <v>475</v>
      </c>
      <c r="G490">
        <v>5700</v>
      </c>
    </row>
    <row r="491" spans="1:7" hidden="1">
      <c r="A491" t="s">
        <v>363</v>
      </c>
      <c r="B491" s="165">
        <v>41816</v>
      </c>
      <c r="C491" t="s">
        <v>356</v>
      </c>
      <c r="D491" t="s">
        <v>357</v>
      </c>
      <c r="E491">
        <v>4</v>
      </c>
      <c r="F491" s="166">
        <v>260</v>
      </c>
      <c r="G491">
        <v>1040</v>
      </c>
    </row>
    <row r="492" spans="1:7" hidden="1">
      <c r="A492" t="s">
        <v>363</v>
      </c>
      <c r="B492" s="165">
        <v>41823</v>
      </c>
      <c r="C492" t="s">
        <v>358</v>
      </c>
      <c r="D492" t="s">
        <v>359</v>
      </c>
      <c r="E492">
        <v>10</v>
      </c>
      <c r="F492" s="166">
        <v>331.2</v>
      </c>
      <c r="G492">
        <v>3312</v>
      </c>
    </row>
    <row r="493" spans="1:7" hidden="1">
      <c r="A493" t="s">
        <v>363</v>
      </c>
      <c r="B493" s="165">
        <v>41830</v>
      </c>
      <c r="C493" t="s">
        <v>358</v>
      </c>
      <c r="D493" t="s">
        <v>359</v>
      </c>
      <c r="E493">
        <v>2</v>
      </c>
      <c r="F493" s="166">
        <v>409</v>
      </c>
      <c r="G493">
        <v>818</v>
      </c>
    </row>
    <row r="494" spans="1:7" hidden="1">
      <c r="A494" t="s">
        <v>363</v>
      </c>
      <c r="B494" s="165">
        <v>41830</v>
      </c>
      <c r="C494" t="s">
        <v>356</v>
      </c>
      <c r="D494" t="s">
        <v>357</v>
      </c>
      <c r="E494">
        <v>2</v>
      </c>
      <c r="F494" s="166">
        <v>295</v>
      </c>
      <c r="G494">
        <v>590</v>
      </c>
    </row>
    <row r="495" spans="1:7" hidden="1">
      <c r="A495" t="s">
        <v>363</v>
      </c>
      <c r="B495" s="165">
        <v>41830</v>
      </c>
      <c r="C495" t="s">
        <v>356</v>
      </c>
      <c r="D495" t="s">
        <v>357</v>
      </c>
      <c r="E495">
        <v>2</v>
      </c>
      <c r="F495" s="166">
        <v>339</v>
      </c>
      <c r="G495">
        <v>678</v>
      </c>
    </row>
    <row r="496" spans="1:7" hidden="1">
      <c r="A496" t="s">
        <v>363</v>
      </c>
      <c r="B496" s="165">
        <v>41844</v>
      </c>
      <c r="C496" t="s">
        <v>358</v>
      </c>
      <c r="D496" t="s">
        <v>359</v>
      </c>
      <c r="E496">
        <v>4</v>
      </c>
      <c r="F496" s="166">
        <v>550</v>
      </c>
      <c r="G496">
        <v>2200</v>
      </c>
    </row>
    <row r="497" spans="1:7" hidden="1">
      <c r="A497" t="s">
        <v>363</v>
      </c>
      <c r="B497" s="165">
        <v>41844</v>
      </c>
      <c r="C497" t="s">
        <v>358</v>
      </c>
      <c r="D497" t="s">
        <v>359</v>
      </c>
      <c r="E497">
        <v>5</v>
      </c>
      <c r="F497" s="166">
        <v>677</v>
      </c>
      <c r="G497">
        <v>3385</v>
      </c>
    </row>
    <row r="498" spans="1:7">
      <c r="A498" t="s">
        <v>363</v>
      </c>
      <c r="B498" s="165">
        <v>41844</v>
      </c>
      <c r="C498" t="s">
        <v>354</v>
      </c>
      <c r="D498" t="s">
        <v>355</v>
      </c>
      <c r="E498">
        <v>1</v>
      </c>
      <c r="F498" s="166">
        <v>547</v>
      </c>
      <c r="G498">
        <v>547</v>
      </c>
    </row>
    <row r="499" spans="1:7">
      <c r="A499" t="s">
        <v>363</v>
      </c>
      <c r="B499" s="165">
        <v>41844</v>
      </c>
      <c r="C499" t="s">
        <v>354</v>
      </c>
      <c r="D499" t="s">
        <v>355</v>
      </c>
      <c r="E499">
        <v>5</v>
      </c>
      <c r="F499" s="166">
        <v>732</v>
      </c>
      <c r="G499">
        <v>3660</v>
      </c>
    </row>
    <row r="500" spans="1:7" hidden="1">
      <c r="A500" t="s">
        <v>363</v>
      </c>
      <c r="B500" s="165">
        <v>41844</v>
      </c>
      <c r="C500" t="s">
        <v>352</v>
      </c>
      <c r="D500" t="s">
        <v>353</v>
      </c>
      <c r="E500">
        <v>3</v>
      </c>
      <c r="F500" s="166">
        <v>547.33333333333337</v>
      </c>
      <c r="G500">
        <v>1642</v>
      </c>
    </row>
    <row r="501" spans="1:7" hidden="1">
      <c r="A501" t="s">
        <v>363</v>
      </c>
      <c r="B501" s="165">
        <v>41844</v>
      </c>
      <c r="C501" t="s">
        <v>356</v>
      </c>
      <c r="D501" t="s">
        <v>357</v>
      </c>
      <c r="E501">
        <v>8</v>
      </c>
      <c r="F501" s="166">
        <v>375</v>
      </c>
      <c r="G501">
        <v>3000</v>
      </c>
    </row>
    <row r="502" spans="1:7" hidden="1">
      <c r="A502" t="s">
        <v>363</v>
      </c>
      <c r="B502" s="165">
        <v>41844</v>
      </c>
      <c r="C502" t="s">
        <v>350</v>
      </c>
      <c r="D502" t="s">
        <v>351</v>
      </c>
      <c r="E502">
        <v>1</v>
      </c>
      <c r="F502" s="166">
        <v>375</v>
      </c>
      <c r="G502">
        <v>375</v>
      </c>
    </row>
    <row r="503" spans="1:7" hidden="1">
      <c r="A503" t="s">
        <v>363</v>
      </c>
      <c r="B503" s="165">
        <v>41844</v>
      </c>
      <c r="C503" t="s">
        <v>350</v>
      </c>
      <c r="D503" t="s">
        <v>351</v>
      </c>
      <c r="E503">
        <v>2</v>
      </c>
      <c r="F503" s="166">
        <v>375</v>
      </c>
      <c r="G503">
        <v>750</v>
      </c>
    </row>
    <row r="504" spans="1:7" hidden="1">
      <c r="A504" t="s">
        <v>363</v>
      </c>
      <c r="B504" s="165">
        <v>41844</v>
      </c>
      <c r="C504" t="s">
        <v>350</v>
      </c>
      <c r="D504" t="s">
        <v>351</v>
      </c>
      <c r="E504">
        <v>13</v>
      </c>
      <c r="F504" s="166">
        <v>417.30769230769232</v>
      </c>
      <c r="G504">
        <v>5425</v>
      </c>
    </row>
    <row r="505" spans="1:7">
      <c r="A505" t="s">
        <v>363</v>
      </c>
      <c r="B505" s="165">
        <v>41858</v>
      </c>
      <c r="C505" t="s">
        <v>354</v>
      </c>
      <c r="D505" t="s">
        <v>355</v>
      </c>
      <c r="E505">
        <v>4</v>
      </c>
      <c r="F505" s="166">
        <v>695</v>
      </c>
      <c r="G505">
        <v>2780</v>
      </c>
    </row>
    <row r="506" spans="1:7" hidden="1">
      <c r="A506" t="s">
        <v>363</v>
      </c>
      <c r="B506" s="165">
        <v>41858</v>
      </c>
      <c r="C506" t="s">
        <v>356</v>
      </c>
      <c r="D506" t="s">
        <v>357</v>
      </c>
      <c r="E506">
        <v>6</v>
      </c>
      <c r="F506" s="166">
        <v>225</v>
      </c>
      <c r="G506">
        <v>1350</v>
      </c>
    </row>
    <row r="507" spans="1:7" hidden="1">
      <c r="A507" t="s">
        <v>363</v>
      </c>
      <c r="B507" s="165">
        <v>41858</v>
      </c>
      <c r="C507" t="s">
        <v>350</v>
      </c>
      <c r="D507" t="s">
        <v>351</v>
      </c>
      <c r="E507">
        <v>6</v>
      </c>
      <c r="F507" s="166">
        <v>405</v>
      </c>
      <c r="G507">
        <v>2430</v>
      </c>
    </row>
    <row r="508" spans="1:7">
      <c r="A508" t="s">
        <v>363</v>
      </c>
      <c r="B508" s="165">
        <v>41865</v>
      </c>
      <c r="C508" t="s">
        <v>354</v>
      </c>
      <c r="D508" t="s">
        <v>355</v>
      </c>
      <c r="E508">
        <v>5</v>
      </c>
      <c r="F508" s="166">
        <v>864</v>
      </c>
      <c r="G508">
        <v>4320</v>
      </c>
    </row>
    <row r="509" spans="1:7" hidden="1">
      <c r="A509" t="s">
        <v>363</v>
      </c>
      <c r="B509" s="165">
        <v>41865</v>
      </c>
      <c r="C509" t="s">
        <v>356</v>
      </c>
      <c r="D509" t="s">
        <v>357</v>
      </c>
      <c r="E509">
        <v>4</v>
      </c>
      <c r="F509" s="166">
        <v>264</v>
      </c>
      <c r="G509">
        <v>1056</v>
      </c>
    </row>
    <row r="510" spans="1:7" hidden="1">
      <c r="A510" t="s">
        <v>363</v>
      </c>
      <c r="B510" s="165">
        <v>41865</v>
      </c>
      <c r="C510" t="s">
        <v>350</v>
      </c>
      <c r="D510" t="s">
        <v>351</v>
      </c>
      <c r="E510">
        <v>4</v>
      </c>
      <c r="F510" s="166">
        <v>460</v>
      </c>
      <c r="G510">
        <v>1840</v>
      </c>
    </row>
    <row r="511" spans="1:7" hidden="1">
      <c r="A511" t="s">
        <v>363</v>
      </c>
      <c r="B511" s="165">
        <v>41872</v>
      </c>
      <c r="C511" t="s">
        <v>358</v>
      </c>
      <c r="D511" t="s">
        <v>359</v>
      </c>
      <c r="E511">
        <v>8</v>
      </c>
      <c r="F511" s="166">
        <v>805.75</v>
      </c>
      <c r="G511">
        <v>6446</v>
      </c>
    </row>
    <row r="512" spans="1:7" hidden="1">
      <c r="A512" t="s">
        <v>363</v>
      </c>
      <c r="B512" s="165">
        <v>41872</v>
      </c>
      <c r="C512" t="s">
        <v>356</v>
      </c>
      <c r="D512" t="s">
        <v>357</v>
      </c>
      <c r="E512">
        <v>16</v>
      </c>
      <c r="F512" s="166">
        <v>501.625</v>
      </c>
      <c r="G512">
        <v>8026</v>
      </c>
    </row>
    <row r="513" spans="1:7" hidden="1">
      <c r="A513" t="s">
        <v>363</v>
      </c>
      <c r="B513" s="165">
        <v>41872</v>
      </c>
      <c r="C513" t="s">
        <v>350</v>
      </c>
      <c r="D513" t="s">
        <v>351</v>
      </c>
      <c r="E513">
        <v>26</v>
      </c>
      <c r="F513" s="166">
        <v>746.46153846153845</v>
      </c>
      <c r="G513">
        <v>19408</v>
      </c>
    </row>
    <row r="514" spans="1:7" hidden="1">
      <c r="A514" t="s">
        <v>363</v>
      </c>
      <c r="B514" s="165">
        <v>41879</v>
      </c>
      <c r="C514" t="s">
        <v>356</v>
      </c>
      <c r="D514" t="s">
        <v>357</v>
      </c>
      <c r="E514">
        <v>15</v>
      </c>
      <c r="F514" s="166">
        <v>345</v>
      </c>
      <c r="G514">
        <v>5175</v>
      </c>
    </row>
    <row r="515" spans="1:7" hidden="1">
      <c r="A515" t="s">
        <v>363</v>
      </c>
      <c r="B515" s="165">
        <v>41879</v>
      </c>
      <c r="C515" t="s">
        <v>350</v>
      </c>
      <c r="D515" t="s">
        <v>351</v>
      </c>
      <c r="E515">
        <v>5</v>
      </c>
      <c r="F515" s="166">
        <v>418</v>
      </c>
      <c r="G515">
        <v>2090</v>
      </c>
    </row>
    <row r="516" spans="1:7" hidden="1">
      <c r="A516" t="s">
        <v>363</v>
      </c>
      <c r="B516" s="165">
        <v>41893</v>
      </c>
      <c r="C516" t="s">
        <v>358</v>
      </c>
      <c r="D516" t="s">
        <v>359</v>
      </c>
      <c r="E516">
        <v>1</v>
      </c>
      <c r="F516" s="166">
        <v>650</v>
      </c>
      <c r="G516">
        <v>650</v>
      </c>
    </row>
    <row r="517" spans="1:7" hidden="1">
      <c r="A517" t="s">
        <v>363</v>
      </c>
      <c r="B517" s="165">
        <v>41893</v>
      </c>
      <c r="C517" t="s">
        <v>358</v>
      </c>
      <c r="D517" t="s">
        <v>359</v>
      </c>
      <c r="E517">
        <v>11</v>
      </c>
      <c r="F517" s="166">
        <v>268.18181818181819</v>
      </c>
      <c r="G517">
        <v>2950</v>
      </c>
    </row>
    <row r="518" spans="1:7">
      <c r="A518" t="s">
        <v>363</v>
      </c>
      <c r="B518" s="165">
        <v>41893</v>
      </c>
      <c r="C518" t="s">
        <v>354</v>
      </c>
      <c r="D518" t="s">
        <v>355</v>
      </c>
      <c r="E518">
        <v>6</v>
      </c>
      <c r="F518" s="166">
        <v>1200</v>
      </c>
      <c r="G518">
        <v>7200</v>
      </c>
    </row>
    <row r="519" spans="1:7" hidden="1">
      <c r="A519" t="s">
        <v>363</v>
      </c>
      <c r="B519" s="165">
        <v>41893</v>
      </c>
      <c r="C519" t="s">
        <v>356</v>
      </c>
      <c r="D519" t="s">
        <v>357</v>
      </c>
      <c r="E519">
        <v>1</v>
      </c>
      <c r="F519" s="166">
        <v>445</v>
      </c>
      <c r="G519">
        <v>445</v>
      </c>
    </row>
    <row r="520" spans="1:7" hidden="1">
      <c r="A520" t="s">
        <v>363</v>
      </c>
      <c r="B520" s="165">
        <v>41893</v>
      </c>
      <c r="C520" t="s">
        <v>350</v>
      </c>
      <c r="D520" t="s">
        <v>351</v>
      </c>
      <c r="E520">
        <v>5</v>
      </c>
      <c r="F520" s="166">
        <v>775</v>
      </c>
      <c r="G520">
        <v>3875</v>
      </c>
    </row>
    <row r="521" spans="1:7" hidden="1">
      <c r="A521" t="s">
        <v>363</v>
      </c>
      <c r="B521" s="165">
        <v>41900</v>
      </c>
      <c r="C521" t="s">
        <v>358</v>
      </c>
      <c r="D521" t="s">
        <v>359</v>
      </c>
      <c r="E521">
        <v>5</v>
      </c>
      <c r="F521" s="166">
        <v>674.4</v>
      </c>
      <c r="G521">
        <v>3372</v>
      </c>
    </row>
    <row r="522" spans="1:7">
      <c r="A522" t="s">
        <v>363</v>
      </c>
      <c r="B522" s="165">
        <v>41900</v>
      </c>
      <c r="C522" t="s">
        <v>354</v>
      </c>
      <c r="D522" t="s">
        <v>355</v>
      </c>
      <c r="E522">
        <v>18</v>
      </c>
      <c r="F522" s="166">
        <v>854</v>
      </c>
      <c r="G522">
        <v>15372</v>
      </c>
    </row>
    <row r="523" spans="1:7" hidden="1">
      <c r="A523" t="s">
        <v>363</v>
      </c>
      <c r="B523" s="165">
        <v>41900</v>
      </c>
      <c r="C523" t="s">
        <v>352</v>
      </c>
      <c r="D523" t="s">
        <v>353</v>
      </c>
      <c r="E523">
        <v>12</v>
      </c>
      <c r="F523" s="166">
        <v>885.5</v>
      </c>
      <c r="G523">
        <v>10626</v>
      </c>
    </row>
    <row r="524" spans="1:7">
      <c r="A524" t="s">
        <v>363</v>
      </c>
      <c r="B524" s="165">
        <v>41915</v>
      </c>
      <c r="C524" t="s">
        <v>354</v>
      </c>
      <c r="D524" t="s">
        <v>355</v>
      </c>
      <c r="E524">
        <v>4</v>
      </c>
      <c r="F524" s="166">
        <v>510</v>
      </c>
      <c r="G524">
        <v>2040</v>
      </c>
    </row>
    <row r="525" spans="1:7" hidden="1">
      <c r="A525" t="s">
        <v>363</v>
      </c>
      <c r="B525" s="165">
        <v>41915</v>
      </c>
      <c r="C525" t="s">
        <v>356</v>
      </c>
      <c r="D525" t="s">
        <v>357</v>
      </c>
      <c r="E525">
        <v>6</v>
      </c>
      <c r="F525" s="166">
        <v>230</v>
      </c>
      <c r="G525">
        <v>1380</v>
      </c>
    </row>
    <row r="526" spans="1:7" hidden="1">
      <c r="A526" t="s">
        <v>363</v>
      </c>
      <c r="B526" s="165">
        <v>41915</v>
      </c>
      <c r="C526" t="s">
        <v>356</v>
      </c>
      <c r="D526" t="s">
        <v>357</v>
      </c>
      <c r="E526">
        <v>6</v>
      </c>
      <c r="F526" s="166">
        <v>433.33333333333331</v>
      </c>
      <c r="G526">
        <v>2600</v>
      </c>
    </row>
    <row r="527" spans="1:7" hidden="1">
      <c r="A527" t="s">
        <v>363</v>
      </c>
      <c r="B527" s="165">
        <v>41921</v>
      </c>
      <c r="C527" t="s">
        <v>358</v>
      </c>
      <c r="D527" t="s">
        <v>359</v>
      </c>
      <c r="E527">
        <v>6</v>
      </c>
      <c r="F527" s="166">
        <v>730</v>
      </c>
      <c r="G527">
        <v>4380</v>
      </c>
    </row>
    <row r="528" spans="1:7" hidden="1">
      <c r="A528" t="s">
        <v>363</v>
      </c>
      <c r="B528" s="165">
        <v>41921</v>
      </c>
      <c r="C528" t="s">
        <v>358</v>
      </c>
      <c r="D528" t="s">
        <v>359</v>
      </c>
      <c r="E528">
        <v>10</v>
      </c>
      <c r="F528" s="166">
        <v>450</v>
      </c>
      <c r="G528">
        <v>4500</v>
      </c>
    </row>
    <row r="529" spans="1:7" hidden="1">
      <c r="A529" t="s">
        <v>363</v>
      </c>
      <c r="B529" s="165">
        <v>41921</v>
      </c>
      <c r="C529" t="s">
        <v>358</v>
      </c>
      <c r="D529" t="s">
        <v>359</v>
      </c>
      <c r="E529">
        <v>5</v>
      </c>
      <c r="F529" s="166">
        <v>1000</v>
      </c>
      <c r="G529">
        <v>5000</v>
      </c>
    </row>
    <row r="530" spans="1:7">
      <c r="A530" t="s">
        <v>363</v>
      </c>
      <c r="B530" s="165">
        <v>41921</v>
      </c>
      <c r="C530" t="s">
        <v>354</v>
      </c>
      <c r="D530" t="s">
        <v>355</v>
      </c>
      <c r="E530">
        <v>4</v>
      </c>
      <c r="F530" s="166">
        <v>189.5</v>
      </c>
      <c r="G530">
        <v>758</v>
      </c>
    </row>
    <row r="531" spans="1:7">
      <c r="A531" t="s">
        <v>363</v>
      </c>
      <c r="B531" s="165">
        <v>41921</v>
      </c>
      <c r="C531" t="s">
        <v>354</v>
      </c>
      <c r="D531" t="s">
        <v>355</v>
      </c>
      <c r="E531">
        <v>3</v>
      </c>
      <c r="F531" s="166">
        <v>1000</v>
      </c>
      <c r="G531">
        <v>3000</v>
      </c>
    </row>
    <row r="532" spans="1:7">
      <c r="A532" t="s">
        <v>363</v>
      </c>
      <c r="B532" s="165">
        <v>41921</v>
      </c>
      <c r="C532" t="s">
        <v>354</v>
      </c>
      <c r="D532" t="s">
        <v>355</v>
      </c>
      <c r="E532">
        <v>7</v>
      </c>
      <c r="F532" s="166">
        <v>868</v>
      </c>
      <c r="G532">
        <v>6076</v>
      </c>
    </row>
    <row r="533" spans="1:7" hidden="1">
      <c r="A533" t="s">
        <v>363</v>
      </c>
      <c r="B533" s="165">
        <v>41921</v>
      </c>
      <c r="C533" t="s">
        <v>352</v>
      </c>
      <c r="D533" t="s">
        <v>353</v>
      </c>
      <c r="E533">
        <v>6</v>
      </c>
      <c r="F533" s="166">
        <v>1182</v>
      </c>
      <c r="G533">
        <v>7092</v>
      </c>
    </row>
    <row r="534" spans="1:7" hidden="1">
      <c r="A534" t="s">
        <v>363</v>
      </c>
      <c r="B534" s="165">
        <v>41921</v>
      </c>
      <c r="C534" t="s">
        <v>356</v>
      </c>
      <c r="D534" t="s">
        <v>357</v>
      </c>
      <c r="E534">
        <v>1</v>
      </c>
      <c r="F534" s="166">
        <v>235</v>
      </c>
      <c r="G534">
        <v>235</v>
      </c>
    </row>
    <row r="535" spans="1:7" hidden="1">
      <c r="A535" t="s">
        <v>363</v>
      </c>
      <c r="B535" s="165">
        <v>41921</v>
      </c>
      <c r="C535" t="s">
        <v>356</v>
      </c>
      <c r="D535" t="s">
        <v>357</v>
      </c>
      <c r="E535">
        <v>1</v>
      </c>
      <c r="F535" s="166">
        <v>589</v>
      </c>
      <c r="G535">
        <v>589</v>
      </c>
    </row>
    <row r="536" spans="1:7" hidden="1">
      <c r="A536" t="s">
        <v>363</v>
      </c>
      <c r="B536" s="165">
        <v>41921</v>
      </c>
      <c r="C536" t="s">
        <v>350</v>
      </c>
      <c r="D536" t="s">
        <v>351</v>
      </c>
      <c r="E536">
        <v>1</v>
      </c>
      <c r="F536" s="166">
        <v>600</v>
      </c>
      <c r="G536">
        <v>600</v>
      </c>
    </row>
    <row r="537" spans="1:7" hidden="1">
      <c r="A537" t="s">
        <v>363</v>
      </c>
      <c r="B537" s="165">
        <v>41921</v>
      </c>
      <c r="C537" t="s">
        <v>350</v>
      </c>
      <c r="D537" t="s">
        <v>351</v>
      </c>
      <c r="E537">
        <v>1</v>
      </c>
      <c r="F537" s="166">
        <v>650</v>
      </c>
      <c r="G537">
        <v>650</v>
      </c>
    </row>
    <row r="538" spans="1:7" hidden="1">
      <c r="A538" t="s">
        <v>363</v>
      </c>
      <c r="B538" s="165">
        <v>41921</v>
      </c>
      <c r="C538" t="s">
        <v>350</v>
      </c>
      <c r="D538" t="s">
        <v>351</v>
      </c>
      <c r="E538">
        <v>4</v>
      </c>
      <c r="F538" s="166">
        <v>175</v>
      </c>
      <c r="G538">
        <v>700</v>
      </c>
    </row>
    <row r="539" spans="1:7" hidden="1">
      <c r="A539" t="s">
        <v>363</v>
      </c>
      <c r="B539" s="165">
        <v>41921</v>
      </c>
      <c r="C539" t="s">
        <v>350</v>
      </c>
      <c r="D539" t="s">
        <v>351</v>
      </c>
      <c r="E539">
        <v>11</v>
      </c>
      <c r="F539" s="166">
        <v>450</v>
      </c>
      <c r="G539">
        <v>4950</v>
      </c>
    </row>
    <row r="540" spans="1:7">
      <c r="A540" t="s">
        <v>363</v>
      </c>
      <c r="B540" s="165">
        <v>41936</v>
      </c>
      <c r="C540" t="s">
        <v>354</v>
      </c>
      <c r="D540" t="s">
        <v>355</v>
      </c>
      <c r="E540">
        <v>8</v>
      </c>
      <c r="F540" s="166">
        <v>685</v>
      </c>
      <c r="G540">
        <v>5480</v>
      </c>
    </row>
    <row r="541" spans="1:7" hidden="1">
      <c r="A541" t="s">
        <v>363</v>
      </c>
      <c r="B541" s="165">
        <v>41936</v>
      </c>
      <c r="C541" t="s">
        <v>356</v>
      </c>
      <c r="D541" t="s">
        <v>357</v>
      </c>
      <c r="E541">
        <v>5</v>
      </c>
      <c r="F541" s="166">
        <v>264</v>
      </c>
      <c r="G541">
        <v>1320</v>
      </c>
    </row>
    <row r="542" spans="1:7" hidden="1">
      <c r="A542" t="s">
        <v>363</v>
      </c>
      <c r="B542" s="165">
        <v>41943</v>
      </c>
      <c r="C542" t="s">
        <v>358</v>
      </c>
      <c r="D542" t="s">
        <v>359</v>
      </c>
      <c r="E542">
        <v>4</v>
      </c>
      <c r="F542" s="166">
        <v>670</v>
      </c>
      <c r="G542">
        <v>2680</v>
      </c>
    </row>
    <row r="543" spans="1:7">
      <c r="A543" t="s">
        <v>363</v>
      </c>
      <c r="B543" s="165">
        <v>41943</v>
      </c>
      <c r="C543" t="s">
        <v>354</v>
      </c>
      <c r="D543" t="s">
        <v>355</v>
      </c>
      <c r="E543">
        <v>1</v>
      </c>
      <c r="F543" s="166">
        <v>796</v>
      </c>
      <c r="G543">
        <v>796</v>
      </c>
    </row>
    <row r="544" spans="1:7">
      <c r="A544" t="s">
        <v>363</v>
      </c>
      <c r="B544" s="165">
        <v>41943</v>
      </c>
      <c r="C544" t="s">
        <v>354</v>
      </c>
      <c r="D544" t="s">
        <v>355</v>
      </c>
      <c r="E544">
        <v>10</v>
      </c>
      <c r="F544" s="166">
        <v>796</v>
      </c>
      <c r="G544">
        <v>7960</v>
      </c>
    </row>
    <row r="545" spans="1:7" hidden="1">
      <c r="A545" t="s">
        <v>363</v>
      </c>
      <c r="B545" s="165">
        <v>41943</v>
      </c>
      <c r="C545" t="s">
        <v>350</v>
      </c>
      <c r="D545" t="s">
        <v>351</v>
      </c>
      <c r="E545">
        <v>31</v>
      </c>
      <c r="F545" s="166">
        <v>439.51612903225805</v>
      </c>
      <c r="G545">
        <v>13625</v>
      </c>
    </row>
    <row r="546" spans="1:7" hidden="1">
      <c r="A546" t="s">
        <v>363</v>
      </c>
      <c r="B546" s="165">
        <v>41949</v>
      </c>
      <c r="C546" t="s">
        <v>358</v>
      </c>
      <c r="D546" t="s">
        <v>359</v>
      </c>
      <c r="E546">
        <v>2</v>
      </c>
      <c r="F546" s="166">
        <v>390</v>
      </c>
      <c r="G546">
        <v>780</v>
      </c>
    </row>
    <row r="547" spans="1:7">
      <c r="A547" t="s">
        <v>363</v>
      </c>
      <c r="B547" s="165">
        <v>41949</v>
      </c>
      <c r="C547" t="s">
        <v>354</v>
      </c>
      <c r="D547" t="s">
        <v>355</v>
      </c>
      <c r="E547">
        <v>3</v>
      </c>
      <c r="F547" s="166">
        <v>1950</v>
      </c>
      <c r="G547">
        <v>5850</v>
      </c>
    </row>
    <row r="548" spans="1:7" hidden="1">
      <c r="A548" t="s">
        <v>363</v>
      </c>
      <c r="B548" s="165">
        <v>41949</v>
      </c>
      <c r="C548" t="s">
        <v>352</v>
      </c>
      <c r="D548" t="s">
        <v>353</v>
      </c>
      <c r="E548">
        <v>3</v>
      </c>
      <c r="F548" s="166">
        <v>1900</v>
      </c>
      <c r="G548">
        <v>5700</v>
      </c>
    </row>
    <row r="549" spans="1:7" hidden="1">
      <c r="A549" t="s">
        <v>363</v>
      </c>
      <c r="B549" s="165">
        <v>41949</v>
      </c>
      <c r="C549" t="s">
        <v>352</v>
      </c>
      <c r="D549" t="s">
        <v>353</v>
      </c>
      <c r="E549">
        <v>12</v>
      </c>
      <c r="F549" s="166">
        <v>800</v>
      </c>
      <c r="G549">
        <v>9600</v>
      </c>
    </row>
    <row r="550" spans="1:7" hidden="1">
      <c r="A550" t="s">
        <v>363</v>
      </c>
      <c r="B550" s="165">
        <v>41949</v>
      </c>
      <c r="C550" t="s">
        <v>356</v>
      </c>
      <c r="D550" t="s">
        <v>357</v>
      </c>
      <c r="E550">
        <v>3</v>
      </c>
      <c r="F550" s="166">
        <v>400</v>
      </c>
      <c r="G550">
        <v>1200</v>
      </c>
    </row>
    <row r="551" spans="1:7" hidden="1">
      <c r="A551" t="s">
        <v>363</v>
      </c>
      <c r="B551" s="165">
        <v>41949</v>
      </c>
      <c r="C551" t="s">
        <v>350</v>
      </c>
      <c r="D551" t="s">
        <v>351</v>
      </c>
      <c r="E551">
        <v>5</v>
      </c>
      <c r="F551" s="166">
        <v>400</v>
      </c>
      <c r="G551">
        <v>2000</v>
      </c>
    </row>
    <row r="552" spans="1:7" hidden="1">
      <c r="A552" t="s">
        <v>363</v>
      </c>
      <c r="B552" s="165">
        <v>41949</v>
      </c>
      <c r="C552" t="s">
        <v>350</v>
      </c>
      <c r="D552" t="s">
        <v>351</v>
      </c>
      <c r="E552">
        <v>6</v>
      </c>
      <c r="F552" s="166">
        <v>390</v>
      </c>
      <c r="G552">
        <v>2340</v>
      </c>
    </row>
    <row r="553" spans="1:7" hidden="1">
      <c r="A553" t="s">
        <v>363</v>
      </c>
      <c r="B553" s="165">
        <v>41949</v>
      </c>
      <c r="C553" t="s">
        <v>350</v>
      </c>
      <c r="D553" t="s">
        <v>351</v>
      </c>
      <c r="E553">
        <v>8</v>
      </c>
      <c r="F553" s="166">
        <v>825</v>
      </c>
      <c r="G553">
        <v>6600</v>
      </c>
    </row>
    <row r="554" spans="1:7" hidden="1">
      <c r="A554" t="s">
        <v>363</v>
      </c>
      <c r="B554" s="165">
        <v>41957</v>
      </c>
      <c r="C554" t="s">
        <v>358</v>
      </c>
      <c r="D554" t="s">
        <v>359</v>
      </c>
      <c r="E554">
        <v>2</v>
      </c>
      <c r="F554" s="166">
        <v>680</v>
      </c>
      <c r="G554">
        <v>1360</v>
      </c>
    </row>
    <row r="555" spans="1:7">
      <c r="A555" t="s">
        <v>363</v>
      </c>
      <c r="B555" s="165">
        <v>41957</v>
      </c>
      <c r="C555" t="s">
        <v>354</v>
      </c>
      <c r="D555" t="s">
        <v>355</v>
      </c>
      <c r="E555">
        <v>17</v>
      </c>
      <c r="F555" s="166">
        <v>677.88235294117646</v>
      </c>
      <c r="G555">
        <v>11524</v>
      </c>
    </row>
    <row r="556" spans="1:7" hidden="1">
      <c r="A556" t="s">
        <v>363</v>
      </c>
      <c r="B556" s="165">
        <v>41957</v>
      </c>
      <c r="C556" t="s">
        <v>356</v>
      </c>
      <c r="D556" t="s">
        <v>357</v>
      </c>
      <c r="E556">
        <v>18</v>
      </c>
      <c r="F556" s="166">
        <v>350</v>
      </c>
      <c r="G556">
        <v>6300</v>
      </c>
    </row>
    <row r="557" spans="1:7" hidden="1">
      <c r="A557" t="s">
        <v>363</v>
      </c>
      <c r="B557" s="165">
        <v>41957</v>
      </c>
      <c r="C557" t="s">
        <v>356</v>
      </c>
      <c r="D557" t="s">
        <v>357</v>
      </c>
      <c r="E557">
        <v>22</v>
      </c>
      <c r="F557" s="166">
        <v>309</v>
      </c>
      <c r="G557">
        <v>6798</v>
      </c>
    </row>
    <row r="558" spans="1:7" hidden="1">
      <c r="A558" t="s">
        <v>363</v>
      </c>
      <c r="B558" s="165">
        <v>41963</v>
      </c>
      <c r="C558" t="s">
        <v>358</v>
      </c>
      <c r="D558" t="s">
        <v>359</v>
      </c>
      <c r="E558">
        <v>12</v>
      </c>
      <c r="F558" s="166">
        <v>295</v>
      </c>
      <c r="G558">
        <v>3540</v>
      </c>
    </row>
    <row r="559" spans="1:7" hidden="1">
      <c r="A559" t="s">
        <v>363</v>
      </c>
      <c r="B559" s="165">
        <v>41971</v>
      </c>
      <c r="C559" t="s">
        <v>352</v>
      </c>
      <c r="D559" t="s">
        <v>353</v>
      </c>
      <c r="E559">
        <v>4</v>
      </c>
      <c r="F559" s="166">
        <v>1622.5</v>
      </c>
      <c r="G559">
        <v>6490</v>
      </c>
    </row>
    <row r="560" spans="1:7" hidden="1">
      <c r="A560" t="s">
        <v>363</v>
      </c>
      <c r="B560" s="165">
        <v>41971</v>
      </c>
      <c r="C560" t="s">
        <v>350</v>
      </c>
      <c r="D560" t="s">
        <v>351</v>
      </c>
      <c r="E560">
        <v>1</v>
      </c>
      <c r="F560" s="166">
        <v>225</v>
      </c>
      <c r="G560">
        <v>225</v>
      </c>
    </row>
    <row r="561" spans="1:7" hidden="1">
      <c r="A561" t="s">
        <v>363</v>
      </c>
      <c r="B561" s="165">
        <v>41971</v>
      </c>
      <c r="C561" t="s">
        <v>350</v>
      </c>
      <c r="D561" t="s">
        <v>351</v>
      </c>
      <c r="E561">
        <v>2</v>
      </c>
      <c r="F561" s="166">
        <v>650</v>
      </c>
      <c r="G561">
        <v>1300</v>
      </c>
    </row>
    <row r="562" spans="1:7" hidden="1">
      <c r="A562" t="s">
        <v>363</v>
      </c>
      <c r="B562" s="165">
        <v>41977</v>
      </c>
      <c r="C562" t="s">
        <v>358</v>
      </c>
      <c r="D562" t="s">
        <v>359</v>
      </c>
      <c r="E562">
        <v>17</v>
      </c>
      <c r="F562" s="166">
        <v>690</v>
      </c>
      <c r="G562">
        <v>11730</v>
      </c>
    </row>
    <row r="563" spans="1:7" hidden="1">
      <c r="A563" t="s">
        <v>363</v>
      </c>
      <c r="B563" s="165">
        <v>41977</v>
      </c>
      <c r="C563" t="s">
        <v>358</v>
      </c>
      <c r="D563" t="s">
        <v>359</v>
      </c>
      <c r="E563">
        <v>32</v>
      </c>
      <c r="F563" s="166">
        <v>400</v>
      </c>
      <c r="G563">
        <v>12800</v>
      </c>
    </row>
    <row r="564" spans="1:7">
      <c r="A564" t="s">
        <v>363</v>
      </c>
      <c r="B564" s="165">
        <v>41977</v>
      </c>
      <c r="C564" t="s">
        <v>354</v>
      </c>
      <c r="D564" t="s">
        <v>355</v>
      </c>
      <c r="E564">
        <v>6</v>
      </c>
      <c r="F564" s="166">
        <v>400</v>
      </c>
      <c r="G564">
        <v>2400</v>
      </c>
    </row>
    <row r="565" spans="1:7" hidden="1">
      <c r="A565" t="s">
        <v>363</v>
      </c>
      <c r="B565" s="165">
        <v>41977</v>
      </c>
      <c r="C565" t="s">
        <v>352</v>
      </c>
      <c r="D565" t="s">
        <v>353</v>
      </c>
      <c r="E565">
        <v>288</v>
      </c>
      <c r="F565" s="166">
        <v>847.08333333333337</v>
      </c>
      <c r="G565">
        <v>243960</v>
      </c>
    </row>
    <row r="566" spans="1:7" hidden="1">
      <c r="A566" t="s">
        <v>363</v>
      </c>
      <c r="B566" s="165">
        <v>41977</v>
      </c>
      <c r="C566" t="s">
        <v>350</v>
      </c>
      <c r="D566" t="s">
        <v>351</v>
      </c>
      <c r="E566">
        <v>105</v>
      </c>
      <c r="F566" s="166">
        <v>400</v>
      </c>
      <c r="G566">
        <v>42000</v>
      </c>
    </row>
    <row r="567" spans="1:7" hidden="1">
      <c r="A567" t="s">
        <v>363</v>
      </c>
      <c r="B567" s="165">
        <v>41999</v>
      </c>
      <c r="C567" t="s">
        <v>358</v>
      </c>
      <c r="D567" t="s">
        <v>359</v>
      </c>
      <c r="E567">
        <v>3</v>
      </c>
      <c r="F567" s="166">
        <v>700</v>
      </c>
      <c r="G567">
        <v>2100</v>
      </c>
    </row>
    <row r="568" spans="1:7" hidden="1">
      <c r="A568" t="s">
        <v>363</v>
      </c>
      <c r="B568" s="165">
        <v>41999</v>
      </c>
      <c r="C568" t="s">
        <v>360</v>
      </c>
      <c r="D568" t="s">
        <v>361</v>
      </c>
      <c r="E568">
        <v>2</v>
      </c>
      <c r="F568" s="166">
        <v>980</v>
      </c>
      <c r="G568">
        <v>1960</v>
      </c>
    </row>
    <row r="569" spans="1:7" hidden="1">
      <c r="A569" t="s">
        <v>363</v>
      </c>
      <c r="B569" s="165">
        <v>41999</v>
      </c>
      <c r="C569" t="s">
        <v>356</v>
      </c>
      <c r="D569" t="s">
        <v>357</v>
      </c>
      <c r="E569">
        <v>5</v>
      </c>
      <c r="F569" s="166">
        <v>264.8</v>
      </c>
      <c r="G569">
        <v>1324</v>
      </c>
    </row>
    <row r="570" spans="1:7" hidden="1">
      <c r="A570" t="s">
        <v>363</v>
      </c>
      <c r="B570" s="165">
        <v>41999</v>
      </c>
      <c r="C570" t="s">
        <v>350</v>
      </c>
      <c r="D570" t="s">
        <v>351</v>
      </c>
      <c r="E570">
        <v>12</v>
      </c>
      <c r="F570" s="166">
        <v>469.58333333333331</v>
      </c>
      <c r="G570">
        <v>5635</v>
      </c>
    </row>
    <row r="571" spans="1:7">
      <c r="A571" t="s">
        <v>363</v>
      </c>
      <c r="B571" s="165">
        <v>42004</v>
      </c>
      <c r="C571" t="s">
        <v>354</v>
      </c>
      <c r="D571" t="s">
        <v>355</v>
      </c>
      <c r="E571">
        <v>3</v>
      </c>
      <c r="F571" s="166">
        <v>313.66666666666669</v>
      </c>
      <c r="G571">
        <v>941</v>
      </c>
    </row>
    <row r="572" spans="1:7" hidden="1">
      <c r="A572" t="s">
        <v>363</v>
      </c>
      <c r="B572" s="165">
        <v>42004</v>
      </c>
      <c r="C572" t="s">
        <v>356</v>
      </c>
      <c r="D572" t="s">
        <v>357</v>
      </c>
      <c r="E572">
        <v>11</v>
      </c>
      <c r="F572" s="166">
        <v>225</v>
      </c>
      <c r="G572">
        <v>2475</v>
      </c>
    </row>
    <row r="573" spans="1:7" hidden="1">
      <c r="A573" t="s">
        <v>364</v>
      </c>
      <c r="B573" s="165">
        <v>41872</v>
      </c>
      <c r="C573" t="s">
        <v>356</v>
      </c>
      <c r="D573" t="s">
        <v>357</v>
      </c>
      <c r="E573">
        <v>1</v>
      </c>
      <c r="F573" s="166">
        <v>167</v>
      </c>
      <c r="G573">
        <v>167</v>
      </c>
    </row>
    <row r="574" spans="1:7" hidden="1">
      <c r="A574" t="s">
        <v>364</v>
      </c>
      <c r="B574" s="165">
        <v>41872</v>
      </c>
      <c r="C574" t="s">
        <v>350</v>
      </c>
      <c r="D574" t="s">
        <v>351</v>
      </c>
      <c r="E574">
        <v>7</v>
      </c>
      <c r="F574" s="166">
        <v>454.28571428571428</v>
      </c>
      <c r="G574">
        <v>3180</v>
      </c>
    </row>
    <row r="575" spans="1:7" hidden="1">
      <c r="A575" t="s">
        <v>364</v>
      </c>
      <c r="B575" s="165">
        <v>41977</v>
      </c>
      <c r="C575" t="s">
        <v>360</v>
      </c>
      <c r="D575" t="s">
        <v>361</v>
      </c>
      <c r="E575">
        <v>11</v>
      </c>
      <c r="F575" s="166">
        <v>890.90909090909088</v>
      </c>
      <c r="G575">
        <v>9800</v>
      </c>
    </row>
    <row r="576" spans="1:7" hidden="1">
      <c r="A576" t="s">
        <v>364</v>
      </c>
      <c r="B576" s="165">
        <v>41977</v>
      </c>
      <c r="C576" t="s">
        <v>360</v>
      </c>
      <c r="D576" t="s">
        <v>361</v>
      </c>
      <c r="E576">
        <v>11</v>
      </c>
      <c r="F576" s="166">
        <v>1021.4545454545455</v>
      </c>
      <c r="G576">
        <v>11236</v>
      </c>
    </row>
  </sheetData>
  <autoFilter ref="A1:G576">
    <filterColumn colId="3">
      <filters>
        <filter val="Exterior LED Fixture, 150W or Less"/>
      </filters>
    </filterColumn>
  </autoFilter>
  <pageMargins left="0.7" right="0.7" top="0.75" bottom="0.75" header="0.3" footer="0.3"/>
</worksheet>
</file>

<file path=xl/worksheets/sheet2.xml><?xml version="1.0" encoding="utf-8"?>
<worksheet xmlns="http://schemas.openxmlformats.org/spreadsheetml/2006/main" xmlns:r="http://schemas.openxmlformats.org/officeDocument/2006/relationships">
  <sheetPr codeName="Sheet5"/>
  <dimension ref="C1:F14"/>
  <sheetViews>
    <sheetView tabSelected="1" zoomScaleNormal="100" zoomScaleSheetLayoutView="90" workbookViewId="0">
      <selection activeCell="D12" sqref="D12"/>
    </sheetView>
  </sheetViews>
  <sheetFormatPr defaultRowHeight="15"/>
  <cols>
    <col min="1" max="1" width="4" style="1" customWidth="1"/>
    <col min="2" max="2" width="4.28515625" style="1" customWidth="1"/>
    <col min="3" max="3" width="28.140625" style="1" customWidth="1"/>
    <col min="4" max="4" width="73.42578125" style="1" customWidth="1"/>
    <col min="5" max="5" width="55.140625" style="1" customWidth="1"/>
    <col min="6" max="6" width="61.42578125" style="1" customWidth="1"/>
    <col min="7" max="16384" width="9.140625" style="1"/>
  </cols>
  <sheetData>
    <row r="1" spans="3:6" ht="15.75" thickBot="1"/>
    <row r="2" spans="3:6" ht="19.5" thickBot="1">
      <c r="C2" s="2" t="s">
        <v>0</v>
      </c>
      <c r="D2" s="52" t="s">
        <v>955</v>
      </c>
      <c r="E2" s="3"/>
      <c r="F2" s="4"/>
    </row>
    <row r="3" spans="3:6">
      <c r="C3" s="5" t="s">
        <v>1</v>
      </c>
      <c r="D3" s="5" t="s">
        <v>2</v>
      </c>
      <c r="E3" s="5" t="s">
        <v>3</v>
      </c>
      <c r="F3" s="5" t="s">
        <v>4</v>
      </c>
    </row>
    <row r="4" spans="3:6" ht="45">
      <c r="C4" s="6" t="s">
        <v>5</v>
      </c>
      <c r="D4" s="7" t="s">
        <v>956</v>
      </c>
      <c r="E4" s="8"/>
      <c r="F4" s="9" t="s">
        <v>947</v>
      </c>
    </row>
    <row r="5" spans="3:6" ht="75">
      <c r="C5" s="6" t="s">
        <v>6</v>
      </c>
      <c r="D5" s="10" t="s">
        <v>958</v>
      </c>
      <c r="E5" s="11" t="s">
        <v>957</v>
      </c>
      <c r="F5" s="9" t="s">
        <v>41</v>
      </c>
    </row>
    <row r="6" spans="3:6">
      <c r="C6" s="6" t="s">
        <v>43</v>
      </c>
      <c r="D6" s="10" t="s">
        <v>948</v>
      </c>
      <c r="E6" s="11"/>
      <c r="F6" s="9" t="s">
        <v>41</v>
      </c>
    </row>
    <row r="7" spans="3:6">
      <c r="C7" s="6" t="s">
        <v>7</v>
      </c>
      <c r="D7" s="10" t="s">
        <v>949</v>
      </c>
      <c r="E7" s="10"/>
      <c r="F7" s="9" t="s">
        <v>41</v>
      </c>
    </row>
    <row r="8" spans="3:6" ht="30">
      <c r="C8" s="6" t="s">
        <v>8</v>
      </c>
      <c r="D8" s="10" t="s">
        <v>950</v>
      </c>
      <c r="E8" s="10"/>
      <c r="F8" s="9" t="s">
        <v>41</v>
      </c>
    </row>
    <row r="9" spans="3:6" ht="30">
      <c r="C9" s="6" t="s">
        <v>44</v>
      </c>
      <c r="D9" s="10" t="s">
        <v>951</v>
      </c>
      <c r="E9" s="12" t="s">
        <v>952</v>
      </c>
      <c r="F9" s="9" t="s">
        <v>41</v>
      </c>
    </row>
    <row r="10" spans="3:6" ht="75">
      <c r="C10" s="6" t="s">
        <v>9</v>
      </c>
      <c r="D10" s="10" t="s">
        <v>959</v>
      </c>
      <c r="E10" s="12"/>
      <c r="F10" s="9" t="s">
        <v>41</v>
      </c>
    </row>
    <row r="11" spans="3:6" ht="45">
      <c r="C11" s="6" t="s">
        <v>10</v>
      </c>
      <c r="D11" s="10" t="s">
        <v>960</v>
      </c>
      <c r="E11" s="10"/>
      <c r="F11" s="9" t="s">
        <v>41</v>
      </c>
    </row>
    <row r="12" spans="3:6" ht="24.75" customHeight="1">
      <c r="C12" s="6" t="s">
        <v>11</v>
      </c>
      <c r="D12" s="13" t="s">
        <v>953</v>
      </c>
      <c r="E12" s="12"/>
      <c r="F12" s="9" t="s">
        <v>41</v>
      </c>
    </row>
    <row r="13" spans="3:6" ht="24" customHeight="1">
      <c r="C13" s="6" t="s">
        <v>12</v>
      </c>
      <c r="D13" s="13" t="s">
        <v>954</v>
      </c>
      <c r="E13" s="14"/>
      <c r="F13" s="9" t="s">
        <v>41</v>
      </c>
    </row>
    <row r="14" spans="3:6" ht="30">
      <c r="C14" s="6" t="s">
        <v>13</v>
      </c>
      <c r="D14" s="13" t="s">
        <v>961</v>
      </c>
      <c r="E14" s="12" t="str">
        <f>'SC-NR'!C88</f>
        <v>LO20Fast</v>
      </c>
      <c r="F14" s="9" t="s">
        <v>41</v>
      </c>
    </row>
  </sheetData>
  <pageMargins left="0.7" right="0.7" top="0.75" bottom="0.75" header="0.3" footer="0.3"/>
  <pageSetup orientation="portrait" r:id="rId1"/>
</worksheet>
</file>

<file path=xl/worksheets/sheet20.xml><?xml version="1.0" encoding="utf-8"?>
<worksheet xmlns="http://schemas.openxmlformats.org/spreadsheetml/2006/main" xmlns:r="http://schemas.openxmlformats.org/officeDocument/2006/relationships">
  <sheetPr codeName="Sheet7"/>
  <dimension ref="B2:AC29"/>
  <sheetViews>
    <sheetView workbookViewId="0">
      <selection activeCell="C9" sqref="C9"/>
    </sheetView>
  </sheetViews>
  <sheetFormatPr defaultRowHeight="12.75"/>
  <cols>
    <col min="3" max="3" width="85.28515625" customWidth="1"/>
    <col min="5" max="5" width="9.7109375" bestFit="1" customWidth="1"/>
    <col min="6" max="6" width="100.85546875" customWidth="1"/>
    <col min="22" max="22" width="23.5703125" customWidth="1"/>
    <col min="23" max="23" width="18.5703125" customWidth="1"/>
    <col min="28" max="28" width="19.42578125" customWidth="1"/>
  </cols>
  <sheetData>
    <row r="2" spans="2:29" ht="13.5" thickBot="1"/>
    <row r="3" spans="2:29" ht="15.75" thickBot="1">
      <c r="B3" s="370" t="s">
        <v>1</v>
      </c>
      <c r="C3" s="371" t="s">
        <v>999</v>
      </c>
      <c r="D3" s="371" t="s">
        <v>47</v>
      </c>
      <c r="E3" s="371" t="s">
        <v>1000</v>
      </c>
      <c r="F3" s="372" t="s">
        <v>3</v>
      </c>
      <c r="V3" s="383">
        <v>1</v>
      </c>
      <c r="W3" s="384">
        <v>2</v>
      </c>
      <c r="X3" s="384">
        <v>3</v>
      </c>
      <c r="Y3" s="384">
        <v>4</v>
      </c>
      <c r="Z3" s="384">
        <v>5</v>
      </c>
      <c r="AA3" s="384">
        <v>6</v>
      </c>
      <c r="AB3" s="384"/>
      <c r="AC3" s="385"/>
    </row>
    <row r="4" spans="2:29" ht="45" customHeight="1">
      <c r="B4" s="351">
        <f>ROW()-3</f>
        <v>1</v>
      </c>
      <c r="C4" s="345" t="s">
        <v>1060</v>
      </c>
      <c r="D4" s="424" t="s">
        <v>160</v>
      </c>
      <c r="E4" s="425" t="s">
        <v>1001</v>
      </c>
      <c r="F4" s="424" t="s">
        <v>1057</v>
      </c>
      <c r="V4" s="386"/>
      <c r="W4" s="467" t="s">
        <v>1032</v>
      </c>
      <c r="X4" s="467"/>
      <c r="Y4" s="467"/>
      <c r="Z4" s="467"/>
      <c r="AA4" s="467"/>
      <c r="AB4" s="387"/>
      <c r="AC4" s="388"/>
    </row>
    <row r="5" spans="2:29" ht="28.5" customHeight="1">
      <c r="B5" s="351">
        <f t="shared" ref="B5:B8" si="0">ROW()-3</f>
        <v>2</v>
      </c>
      <c r="C5" s="345" t="s">
        <v>1058</v>
      </c>
      <c r="D5" t="s">
        <v>160</v>
      </c>
      <c r="E5" s="165">
        <v>42071</v>
      </c>
      <c r="V5" s="389" t="s">
        <v>1033</v>
      </c>
      <c r="W5" s="389" t="s">
        <v>883</v>
      </c>
      <c r="X5" s="389" t="s">
        <v>884</v>
      </c>
      <c r="Y5" s="390" t="s">
        <v>1034</v>
      </c>
      <c r="Z5" s="390" t="s">
        <v>1035</v>
      </c>
      <c r="AA5" s="390" t="s">
        <v>1036</v>
      </c>
      <c r="AB5" s="395" t="s">
        <v>1037</v>
      </c>
      <c r="AC5" s="391" t="s">
        <v>1038</v>
      </c>
    </row>
    <row r="6" spans="2:29" ht="23.25" customHeight="1">
      <c r="B6" s="351">
        <f t="shared" si="0"/>
        <v>3</v>
      </c>
      <c r="C6" s="345" t="s">
        <v>1059</v>
      </c>
      <c r="D6" t="s">
        <v>160</v>
      </c>
      <c r="E6" s="165">
        <v>42071</v>
      </c>
      <c r="V6" s="392" t="s">
        <v>1039</v>
      </c>
      <c r="W6" s="387" t="s">
        <v>885</v>
      </c>
      <c r="X6" s="387" t="s">
        <v>834</v>
      </c>
      <c r="Y6" s="393">
        <v>0.19</v>
      </c>
      <c r="Z6" s="394" t="s">
        <v>1040</v>
      </c>
      <c r="AA6" s="393">
        <v>0.25</v>
      </c>
      <c r="AB6" s="396">
        <v>0.1</v>
      </c>
      <c r="AC6" s="388"/>
    </row>
    <row r="7" spans="2:29" ht="23.25" customHeight="1">
      <c r="B7" s="351">
        <f t="shared" si="0"/>
        <v>4</v>
      </c>
      <c r="C7" s="345" t="s">
        <v>1065</v>
      </c>
      <c r="D7" t="s">
        <v>1064</v>
      </c>
      <c r="E7" t="s">
        <v>1063</v>
      </c>
      <c r="F7" t="s">
        <v>1066</v>
      </c>
      <c r="V7" s="392"/>
      <c r="W7" s="387" t="s">
        <v>886</v>
      </c>
      <c r="X7" s="387" t="s">
        <v>834</v>
      </c>
      <c r="Y7" s="393">
        <v>0.03</v>
      </c>
      <c r="Z7" s="394" t="s">
        <v>1040</v>
      </c>
      <c r="AA7" s="393">
        <v>0.08</v>
      </c>
      <c r="AB7" s="396">
        <v>0.03</v>
      </c>
      <c r="AC7" s="388"/>
    </row>
    <row r="8" spans="2:29" ht="23.25" customHeight="1">
      <c r="B8" s="351">
        <f t="shared" si="0"/>
        <v>5</v>
      </c>
      <c r="C8" s="345" t="s">
        <v>1068</v>
      </c>
      <c r="D8" t="s">
        <v>160</v>
      </c>
      <c r="E8" t="s">
        <v>1069</v>
      </c>
      <c r="V8" s="392"/>
      <c r="W8" s="387" t="s">
        <v>887</v>
      </c>
      <c r="X8" s="387" t="s">
        <v>834</v>
      </c>
      <c r="Y8" s="393">
        <v>0.13</v>
      </c>
      <c r="Z8" s="394" t="s">
        <v>1040</v>
      </c>
      <c r="AA8" s="393">
        <v>0.2</v>
      </c>
      <c r="AB8" s="396" t="s">
        <v>1041</v>
      </c>
      <c r="AC8" s="388"/>
    </row>
    <row r="9" spans="2:29" ht="21" customHeight="1">
      <c r="C9" s="345"/>
      <c r="V9" s="392" t="s">
        <v>1042</v>
      </c>
      <c r="W9" s="387" t="s">
        <v>887</v>
      </c>
      <c r="X9" s="387" t="s">
        <v>888</v>
      </c>
      <c r="Y9" s="393">
        <v>0.25</v>
      </c>
      <c r="Z9" s="394" t="s">
        <v>1040</v>
      </c>
      <c r="AA9" s="393">
        <v>0.3</v>
      </c>
      <c r="AB9" s="396">
        <v>0.25</v>
      </c>
      <c r="AC9" s="388"/>
    </row>
    <row r="10" spans="2:29">
      <c r="C10" s="345"/>
      <c r="V10" s="392"/>
      <c r="W10" s="387" t="s">
        <v>887</v>
      </c>
      <c r="X10" s="387" t="s">
        <v>889</v>
      </c>
      <c r="Y10" s="393">
        <v>0.25</v>
      </c>
      <c r="Z10" s="394" t="s">
        <v>1040</v>
      </c>
      <c r="AA10" s="393">
        <v>0.3</v>
      </c>
      <c r="AB10" s="396">
        <v>0.25</v>
      </c>
      <c r="AC10" s="388"/>
    </row>
    <row r="11" spans="2:29">
      <c r="C11" s="345"/>
      <c r="V11" s="392" t="s">
        <v>1043</v>
      </c>
      <c r="W11" s="387" t="s">
        <v>887</v>
      </c>
      <c r="X11" s="387" t="s">
        <v>890</v>
      </c>
      <c r="Y11" s="393">
        <v>0.04</v>
      </c>
      <c r="Z11" s="394" t="s">
        <v>1040</v>
      </c>
      <c r="AA11" s="393">
        <v>0.05</v>
      </c>
      <c r="AB11" s="397">
        <v>0.05</v>
      </c>
      <c r="AC11" s="388"/>
    </row>
    <row r="12" spans="2:29">
      <c r="C12" s="345"/>
      <c r="V12" s="392"/>
      <c r="W12" s="387" t="s">
        <v>887</v>
      </c>
      <c r="X12" s="387" t="s">
        <v>891</v>
      </c>
      <c r="Y12" s="393">
        <v>0.04</v>
      </c>
      <c r="Z12" s="394" t="s">
        <v>1040</v>
      </c>
      <c r="AA12" s="393">
        <v>0.05</v>
      </c>
      <c r="AB12" s="397">
        <v>0.05</v>
      </c>
      <c r="AC12" s="388"/>
    </row>
    <row r="13" spans="2:29">
      <c r="C13" s="345"/>
      <c r="V13" s="392" t="s">
        <v>1042</v>
      </c>
      <c r="W13" s="387" t="s">
        <v>892</v>
      </c>
      <c r="X13" s="387" t="s">
        <v>893</v>
      </c>
      <c r="Y13" s="393">
        <v>0.05</v>
      </c>
      <c r="Z13" s="394" t="s">
        <v>1040</v>
      </c>
      <c r="AA13" s="393">
        <v>0.08</v>
      </c>
      <c r="AB13" s="397">
        <v>0.05</v>
      </c>
      <c r="AC13" s="388"/>
    </row>
    <row r="14" spans="2:29">
      <c r="V14" s="392" t="s">
        <v>1044</v>
      </c>
      <c r="W14" s="387" t="s">
        <v>892</v>
      </c>
      <c r="X14" s="387" t="s">
        <v>894</v>
      </c>
      <c r="Y14" s="393">
        <v>0.02</v>
      </c>
      <c r="Z14" s="394" t="s">
        <v>1040</v>
      </c>
      <c r="AA14" s="393">
        <v>0.05</v>
      </c>
      <c r="AB14" s="397">
        <v>0.05</v>
      </c>
      <c r="AC14" s="388"/>
    </row>
    <row r="15" spans="2:29">
      <c r="V15" s="392" t="s">
        <v>1045</v>
      </c>
      <c r="W15" s="387" t="s">
        <v>895</v>
      </c>
      <c r="X15" s="387" t="s">
        <v>896</v>
      </c>
      <c r="Y15" s="393">
        <v>0.08</v>
      </c>
      <c r="Z15" s="394" t="s">
        <v>1040</v>
      </c>
      <c r="AA15" s="393">
        <v>0.1</v>
      </c>
      <c r="AB15" s="396">
        <v>0.05</v>
      </c>
      <c r="AC15" s="388"/>
    </row>
    <row r="16" spans="2:29">
      <c r="V16" s="386"/>
      <c r="W16" s="387" t="s">
        <v>895</v>
      </c>
      <c r="X16" s="387" t="s">
        <v>897</v>
      </c>
      <c r="Y16" s="393">
        <v>0.05</v>
      </c>
      <c r="Z16" s="394" t="s">
        <v>1040</v>
      </c>
      <c r="AA16" s="393">
        <v>0.1</v>
      </c>
      <c r="AB16" s="396">
        <v>0.05</v>
      </c>
      <c r="AC16" s="388"/>
    </row>
    <row r="17" spans="22:29">
      <c r="V17" s="392" t="s">
        <v>1046</v>
      </c>
      <c r="W17" s="387" t="s">
        <v>898</v>
      </c>
      <c r="X17" s="387" t="s">
        <v>896</v>
      </c>
      <c r="Y17" s="393">
        <v>0.04</v>
      </c>
      <c r="Z17" s="394" t="s">
        <v>1040</v>
      </c>
      <c r="AA17" s="393">
        <v>0.08</v>
      </c>
      <c r="AB17" s="396">
        <v>0.05</v>
      </c>
      <c r="AC17" s="388"/>
    </row>
    <row r="18" spans="22:29">
      <c r="V18" s="386"/>
      <c r="W18" s="387" t="s">
        <v>898</v>
      </c>
      <c r="X18" s="387" t="s">
        <v>897</v>
      </c>
      <c r="Y18" s="393">
        <v>0.09</v>
      </c>
      <c r="Z18" s="394" t="s">
        <v>1040</v>
      </c>
      <c r="AA18" s="393">
        <v>0.15</v>
      </c>
      <c r="AB18" s="396">
        <v>0.1</v>
      </c>
      <c r="AC18" s="388"/>
    </row>
    <row r="19" spans="22:29">
      <c r="V19" s="386"/>
      <c r="W19" s="387" t="s">
        <v>899</v>
      </c>
      <c r="X19" s="387" t="s">
        <v>834</v>
      </c>
      <c r="Y19" s="393">
        <v>0.31</v>
      </c>
      <c r="Z19" s="394" t="s">
        <v>1040</v>
      </c>
      <c r="AA19" s="393">
        <v>0.5</v>
      </c>
      <c r="AB19" s="397">
        <v>0.5</v>
      </c>
      <c r="AC19" s="388"/>
    </row>
    <row r="20" spans="22:29">
      <c r="V20" s="386"/>
      <c r="W20" s="387" t="s">
        <v>900</v>
      </c>
      <c r="X20" s="387" t="s">
        <v>901</v>
      </c>
      <c r="Y20" s="393">
        <v>0.2</v>
      </c>
      <c r="Z20" s="394" t="s">
        <v>1040</v>
      </c>
      <c r="AA20" s="393">
        <v>0.3</v>
      </c>
      <c r="AB20" s="396">
        <v>0.25</v>
      </c>
      <c r="AC20" s="388"/>
    </row>
    <row r="21" spans="22:29">
      <c r="V21" s="386"/>
      <c r="W21" s="387" t="s">
        <v>900</v>
      </c>
      <c r="X21" s="387" t="s">
        <v>902</v>
      </c>
      <c r="Y21" s="393">
        <v>0.13</v>
      </c>
      <c r="Z21" s="394" t="s">
        <v>1040</v>
      </c>
      <c r="AA21" s="393">
        <v>0.2</v>
      </c>
      <c r="AB21" s="396">
        <v>0.2</v>
      </c>
      <c r="AC21" s="388"/>
    </row>
    <row r="22" spans="22:29">
      <c r="V22" s="386"/>
      <c r="W22" s="387" t="s">
        <v>831</v>
      </c>
      <c r="X22" s="387" t="s">
        <v>834</v>
      </c>
      <c r="Y22" s="393">
        <v>0.17</v>
      </c>
      <c r="Z22" s="394" t="s">
        <v>1040</v>
      </c>
      <c r="AA22" s="393">
        <v>0.25</v>
      </c>
      <c r="AB22" s="396">
        <v>0.25</v>
      </c>
      <c r="AC22" s="388"/>
    </row>
    <row r="23" spans="22:29">
      <c r="V23" s="392" t="s">
        <v>1047</v>
      </c>
      <c r="W23" s="387"/>
      <c r="X23" s="387"/>
      <c r="Y23" s="387"/>
      <c r="Z23" s="387"/>
      <c r="AA23" s="393">
        <v>0.1</v>
      </c>
      <c r="AB23" s="398" t="s">
        <v>1040</v>
      </c>
      <c r="AC23" s="388"/>
    </row>
    <row r="24" spans="22:29">
      <c r="V24" s="392" t="s">
        <v>1048</v>
      </c>
      <c r="W24" s="387"/>
      <c r="X24" s="387"/>
      <c r="Y24" s="387"/>
      <c r="Z24" s="387"/>
      <c r="AA24" s="393">
        <v>0.1</v>
      </c>
      <c r="AB24" s="398" t="s">
        <v>1040</v>
      </c>
      <c r="AC24" s="388"/>
    </row>
    <row r="25" spans="22:29">
      <c r="V25" s="392" t="s">
        <v>1049</v>
      </c>
      <c r="W25" s="387"/>
      <c r="X25" s="387"/>
      <c r="Y25" s="387"/>
      <c r="Z25" s="387"/>
      <c r="AA25" s="393">
        <f t="shared" ref="AA25:AA26" si="1">$AF$15</f>
        <v>0</v>
      </c>
      <c r="AB25" s="398" t="s">
        <v>1040</v>
      </c>
      <c r="AC25" s="388"/>
    </row>
    <row r="26" spans="22:29">
      <c r="V26" s="392" t="s">
        <v>1050</v>
      </c>
      <c r="W26" s="387"/>
      <c r="X26" s="387"/>
      <c r="Y26" s="387"/>
      <c r="Z26" s="387"/>
      <c r="AA26" s="393">
        <f t="shared" si="1"/>
        <v>0</v>
      </c>
      <c r="AB26" s="398" t="s">
        <v>1040</v>
      </c>
      <c r="AC26" s="388"/>
    </row>
    <row r="27" spans="22:29">
      <c r="V27" s="392" t="s">
        <v>1051</v>
      </c>
      <c r="W27" s="387"/>
      <c r="X27" s="387"/>
      <c r="Y27" s="387"/>
      <c r="Z27" s="387"/>
      <c r="AA27" s="393">
        <f>AA13</f>
        <v>0.08</v>
      </c>
      <c r="AB27" s="398" t="s">
        <v>1040</v>
      </c>
      <c r="AC27" s="388"/>
    </row>
    <row r="28" spans="22:29">
      <c r="V28" s="392" t="s">
        <v>1052</v>
      </c>
      <c r="W28" s="387"/>
      <c r="X28" s="387"/>
      <c r="Y28" s="387"/>
      <c r="Z28" s="387"/>
      <c r="AA28" s="393">
        <v>0.2</v>
      </c>
      <c r="AB28" s="398" t="s">
        <v>1040</v>
      </c>
      <c r="AC28" s="388"/>
    </row>
    <row r="29" spans="22:29">
      <c r="V29" s="392" t="s">
        <v>1053</v>
      </c>
      <c r="W29" s="387"/>
      <c r="X29" s="387"/>
      <c r="Y29" s="387"/>
      <c r="Z29" s="387"/>
      <c r="AA29" s="393">
        <v>0.3</v>
      </c>
      <c r="AB29" s="398" t="s">
        <v>1040</v>
      </c>
      <c r="AC29" s="388"/>
    </row>
  </sheetData>
  <mergeCells count="1">
    <mergeCell ref="W4:AA4"/>
  </mergeCells>
  <pageMargins left="0.7" right="0.7" top="0.75" bottom="0.75" header="0.3" footer="0.3"/>
</worksheet>
</file>

<file path=xl/worksheets/sheet21.xml><?xml version="1.0" encoding="utf-8"?>
<worksheet xmlns="http://schemas.openxmlformats.org/spreadsheetml/2006/main" xmlns:r="http://schemas.openxmlformats.org/officeDocument/2006/relationships">
  <sheetPr codeName="Sheet11"/>
  <dimension ref="B2:I27"/>
  <sheetViews>
    <sheetView workbookViewId="0">
      <selection activeCell="C13" sqref="C13:C20"/>
    </sheetView>
  </sheetViews>
  <sheetFormatPr defaultRowHeight="12.75"/>
  <cols>
    <col min="3" max="3" width="75.5703125" customWidth="1"/>
    <col min="4" max="4" width="16.140625" customWidth="1"/>
    <col min="6" max="6" width="96.5703125" customWidth="1"/>
    <col min="7" max="7" width="5.42578125" customWidth="1"/>
    <col min="8" max="8" width="3.7109375" customWidth="1"/>
    <col min="9" max="9" width="9.140625" hidden="1" customWidth="1"/>
  </cols>
  <sheetData>
    <row r="2" spans="2:6">
      <c r="B2" s="53" t="s">
        <v>1</v>
      </c>
      <c r="C2" s="53" t="s">
        <v>45</v>
      </c>
      <c r="D2" s="53" t="s">
        <v>46</v>
      </c>
      <c r="E2" s="53" t="s">
        <v>47</v>
      </c>
      <c r="F2" s="53" t="s">
        <v>48</v>
      </c>
    </row>
    <row r="3" spans="2:6" s="55" customFormat="1" ht="18" customHeight="1">
      <c r="B3" s="57">
        <f>ROW()-2</f>
        <v>1</v>
      </c>
      <c r="C3" s="346" t="s">
        <v>49</v>
      </c>
      <c r="D3" s="347">
        <v>42020</v>
      </c>
      <c r="E3" s="348" t="s">
        <v>161</v>
      </c>
      <c r="F3" s="54"/>
    </row>
    <row r="4" spans="2:6" ht="18" customHeight="1">
      <c r="B4" s="57">
        <f t="shared" ref="B4:B27" si="0">ROW()-2</f>
        <v>2</v>
      </c>
      <c r="C4" s="346" t="s">
        <v>50</v>
      </c>
      <c r="D4" s="347">
        <v>42020</v>
      </c>
      <c r="E4" s="348" t="s">
        <v>161</v>
      </c>
    </row>
    <row r="5" spans="2:6" ht="18" customHeight="1">
      <c r="B5" s="57">
        <f t="shared" si="0"/>
        <v>3</v>
      </c>
      <c r="C5" s="346" t="s">
        <v>159</v>
      </c>
      <c r="D5" s="347">
        <v>41996</v>
      </c>
      <c r="E5" s="348" t="s">
        <v>160</v>
      </c>
    </row>
    <row r="6" spans="2:6" ht="18" customHeight="1">
      <c r="B6" s="57">
        <f t="shared" si="0"/>
        <v>4</v>
      </c>
      <c r="C6" s="346" t="s">
        <v>59</v>
      </c>
      <c r="D6" s="347">
        <v>41996</v>
      </c>
      <c r="E6" s="348" t="s">
        <v>160</v>
      </c>
    </row>
    <row r="7" spans="2:6" ht="18" customHeight="1">
      <c r="B7" s="57">
        <f t="shared" si="0"/>
        <v>5</v>
      </c>
      <c r="C7" s="346" t="s">
        <v>58</v>
      </c>
      <c r="D7" s="347">
        <v>41996</v>
      </c>
      <c r="E7" s="348" t="s">
        <v>160</v>
      </c>
    </row>
    <row r="8" spans="2:6" ht="18" customHeight="1">
      <c r="B8" s="57">
        <f t="shared" si="0"/>
        <v>6</v>
      </c>
      <c r="C8" s="346" t="s">
        <v>61</v>
      </c>
      <c r="D8" s="347">
        <v>42020</v>
      </c>
      <c r="E8" s="348" t="s">
        <v>161</v>
      </c>
    </row>
    <row r="9" spans="2:6" ht="18" customHeight="1">
      <c r="B9" s="57">
        <f t="shared" si="0"/>
        <v>7</v>
      </c>
      <c r="C9" s="346" t="s">
        <v>55</v>
      </c>
      <c r="D9" s="347">
        <v>41996</v>
      </c>
      <c r="E9" s="348" t="s">
        <v>160</v>
      </c>
    </row>
    <row r="10" spans="2:6" ht="18" customHeight="1">
      <c r="B10" s="57">
        <f t="shared" si="0"/>
        <v>8</v>
      </c>
      <c r="C10" s="346" t="s">
        <v>962</v>
      </c>
      <c r="D10" s="347">
        <v>42020</v>
      </c>
      <c r="E10" s="349" t="s">
        <v>161</v>
      </c>
    </row>
    <row r="11" spans="2:6" ht="18" customHeight="1">
      <c r="B11" s="57">
        <f t="shared" si="0"/>
        <v>9</v>
      </c>
      <c r="C11" s="346" t="s">
        <v>963</v>
      </c>
      <c r="D11" s="347">
        <v>42020</v>
      </c>
      <c r="E11" s="349" t="s">
        <v>161</v>
      </c>
    </row>
    <row r="12" spans="2:6" ht="43.5" customHeight="1">
      <c r="B12" s="57">
        <f t="shared" si="0"/>
        <v>10</v>
      </c>
      <c r="C12" s="345" t="s">
        <v>969</v>
      </c>
      <c r="D12" s="350"/>
      <c r="E12" s="352" t="s">
        <v>161</v>
      </c>
      <c r="F12" s="345" t="s">
        <v>971</v>
      </c>
    </row>
    <row r="13" spans="2:6" ht="18" customHeight="1">
      <c r="B13" s="57">
        <f t="shared" si="0"/>
        <v>11</v>
      </c>
      <c r="C13" s="346" t="s">
        <v>60</v>
      </c>
      <c r="D13" s="347">
        <v>42022</v>
      </c>
      <c r="E13" s="348" t="s">
        <v>160</v>
      </c>
    </row>
    <row r="14" spans="2:6" ht="18" customHeight="1">
      <c r="B14" s="57">
        <f t="shared" si="0"/>
        <v>12</v>
      </c>
      <c r="C14" s="346" t="s">
        <v>52</v>
      </c>
      <c r="D14" s="347">
        <v>42022</v>
      </c>
      <c r="E14" s="348" t="s">
        <v>160</v>
      </c>
    </row>
    <row r="15" spans="2:6" ht="18" customHeight="1">
      <c r="B15" s="57">
        <f t="shared" si="0"/>
        <v>13</v>
      </c>
      <c r="C15" s="346" t="s">
        <v>53</v>
      </c>
      <c r="D15" s="347">
        <v>42022</v>
      </c>
      <c r="E15" s="348" t="s">
        <v>160</v>
      </c>
    </row>
    <row r="16" spans="2:6" ht="18" customHeight="1">
      <c r="B16" s="57">
        <f t="shared" si="0"/>
        <v>14</v>
      </c>
      <c r="C16" s="346" t="s">
        <v>62</v>
      </c>
      <c r="D16" s="347">
        <v>42022</v>
      </c>
      <c r="E16" s="348" t="s">
        <v>160</v>
      </c>
    </row>
    <row r="17" spans="2:5" ht="18" customHeight="1">
      <c r="B17" s="57">
        <f>ROW()-2</f>
        <v>15</v>
      </c>
      <c r="C17" s="346" t="s">
        <v>56</v>
      </c>
      <c r="D17" s="347">
        <v>42022</v>
      </c>
      <c r="E17" s="348" t="s">
        <v>160</v>
      </c>
    </row>
    <row r="18" spans="2:5" ht="18" customHeight="1">
      <c r="B18" s="57">
        <f t="shared" si="0"/>
        <v>16</v>
      </c>
      <c r="C18" s="346" t="s">
        <v>54</v>
      </c>
      <c r="D18" s="347">
        <v>42022</v>
      </c>
      <c r="E18" s="348" t="s">
        <v>160</v>
      </c>
    </row>
    <row r="19" spans="2:5" ht="18" customHeight="1">
      <c r="B19" s="57">
        <f t="shared" si="0"/>
        <v>17</v>
      </c>
      <c r="C19" s="346" t="s">
        <v>57</v>
      </c>
      <c r="D19" s="347">
        <v>42022</v>
      </c>
      <c r="E19" s="348" t="s">
        <v>160</v>
      </c>
    </row>
    <row r="20" spans="2:5" ht="18" customHeight="1">
      <c r="B20" s="57">
        <f t="shared" si="0"/>
        <v>18</v>
      </c>
      <c r="C20" s="346" t="s">
        <v>51</v>
      </c>
      <c r="D20" s="347">
        <v>42022</v>
      </c>
      <c r="E20" s="348" t="s">
        <v>160</v>
      </c>
    </row>
    <row r="21" spans="2:5" ht="18" customHeight="1">
      <c r="B21" s="57">
        <f t="shared" si="0"/>
        <v>19</v>
      </c>
      <c r="C21" s="345" t="s">
        <v>970</v>
      </c>
      <c r="D21" s="351"/>
      <c r="E21" s="351" t="s">
        <v>160</v>
      </c>
    </row>
    <row r="22" spans="2:5" ht="18" customHeight="1">
      <c r="B22" s="57">
        <f t="shared" si="0"/>
        <v>20</v>
      </c>
      <c r="C22" s="345" t="s">
        <v>966</v>
      </c>
      <c r="D22" s="351"/>
      <c r="E22" s="351" t="s">
        <v>160</v>
      </c>
    </row>
    <row r="23" spans="2:5" ht="18" customHeight="1">
      <c r="B23" s="57">
        <f t="shared" si="0"/>
        <v>21</v>
      </c>
      <c r="C23" s="345" t="s">
        <v>967</v>
      </c>
      <c r="D23" s="351"/>
      <c r="E23" s="351" t="s">
        <v>160</v>
      </c>
    </row>
    <row r="24" spans="2:5" ht="18" customHeight="1">
      <c r="B24" s="57">
        <f t="shared" si="0"/>
        <v>22</v>
      </c>
      <c r="C24" s="345" t="s">
        <v>968</v>
      </c>
      <c r="D24" s="351"/>
      <c r="E24" s="351" t="s">
        <v>160</v>
      </c>
    </row>
    <row r="25" spans="2:5" ht="18" customHeight="1">
      <c r="B25" s="57">
        <f t="shared" si="0"/>
        <v>23</v>
      </c>
      <c r="C25" s="345"/>
      <c r="D25" s="56"/>
    </row>
    <row r="26" spans="2:5" ht="18" customHeight="1">
      <c r="B26" s="57">
        <f t="shared" si="0"/>
        <v>24</v>
      </c>
      <c r="C26" s="345"/>
      <c r="D26" s="56"/>
    </row>
    <row r="27" spans="2:5" ht="18" customHeight="1">
      <c r="B27" s="57">
        <f t="shared" si="0"/>
        <v>25</v>
      </c>
      <c r="C27" s="345"/>
      <c r="D27" s="56"/>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dimension ref="D2:G63"/>
  <sheetViews>
    <sheetView topLeftCell="D3" workbookViewId="0">
      <selection activeCell="G34" sqref="G34"/>
    </sheetView>
  </sheetViews>
  <sheetFormatPr defaultRowHeight="12.75"/>
  <cols>
    <col min="1" max="3" width="9.140625" style="311"/>
    <col min="4" max="4" width="22.42578125" style="311" customWidth="1"/>
    <col min="5" max="5" width="41" style="311" customWidth="1"/>
    <col min="6" max="6" width="27" style="311" customWidth="1"/>
    <col min="7" max="7" width="89.85546875" style="311" customWidth="1"/>
    <col min="8" max="16384" width="9.140625" style="311"/>
  </cols>
  <sheetData>
    <row r="2" spans="4:7">
      <c r="D2" s="311" t="s">
        <v>1003</v>
      </c>
    </row>
    <row r="4" spans="4:7">
      <c r="G4" s="311" t="s">
        <v>1004</v>
      </c>
    </row>
    <row r="37" spans="4:7" ht="13.5" thickBot="1">
      <c r="D37" s="468" t="s">
        <v>1005</v>
      </c>
      <c r="E37" s="469"/>
      <c r="F37" s="469"/>
      <c r="G37" s="469"/>
    </row>
    <row r="38" spans="4:7" ht="15.75" thickBot="1">
      <c r="D38" s="374" t="s">
        <v>1006</v>
      </c>
      <c r="E38" s="375" t="s">
        <v>1007</v>
      </c>
      <c r="F38" s="375" t="s">
        <v>1008</v>
      </c>
      <c r="G38" s="376" t="s">
        <v>1009</v>
      </c>
    </row>
    <row r="39" spans="4:7" ht="15" thickBot="1">
      <c r="D39" s="377" t="s">
        <v>1010</v>
      </c>
      <c r="E39" s="378" t="s">
        <v>1011</v>
      </c>
      <c r="F39" s="378" t="s">
        <v>1012</v>
      </c>
      <c r="G39" s="379" t="s">
        <v>1013</v>
      </c>
    </row>
    <row r="40" spans="4:7" ht="15" thickBot="1">
      <c r="D40" s="377" t="s">
        <v>1010</v>
      </c>
      <c r="E40" s="378" t="s">
        <v>1011</v>
      </c>
      <c r="F40" s="378" t="s">
        <v>1014</v>
      </c>
      <c r="G40" s="379" t="s">
        <v>1015</v>
      </c>
    </row>
    <row r="41" spans="4:7" ht="15" thickBot="1">
      <c r="D41" s="377" t="s">
        <v>1010</v>
      </c>
      <c r="E41" s="378" t="s">
        <v>63</v>
      </c>
      <c r="F41" s="378" t="s">
        <v>1012</v>
      </c>
      <c r="G41" s="379" t="s">
        <v>1013</v>
      </c>
    </row>
    <row r="42" spans="4:7" ht="15" thickBot="1">
      <c r="D42" s="377" t="s">
        <v>1010</v>
      </c>
      <c r="E42" s="378" t="s">
        <v>63</v>
      </c>
      <c r="F42" s="378" t="s">
        <v>1014</v>
      </c>
      <c r="G42" s="379" t="s">
        <v>1016</v>
      </c>
    </row>
    <row r="43" spans="4:7" ht="15" thickBot="1">
      <c r="D43" s="377" t="s">
        <v>1017</v>
      </c>
      <c r="E43" s="378" t="s">
        <v>1011</v>
      </c>
      <c r="F43" s="378" t="s">
        <v>1012</v>
      </c>
      <c r="G43" s="379" t="s">
        <v>1013</v>
      </c>
    </row>
    <row r="44" spans="4:7" ht="15" thickBot="1">
      <c r="D44" s="377" t="s">
        <v>1017</v>
      </c>
      <c r="E44" s="378" t="s">
        <v>1011</v>
      </c>
      <c r="F44" s="378" t="s">
        <v>1014</v>
      </c>
      <c r="G44" s="379" t="s">
        <v>1015</v>
      </c>
    </row>
    <row r="45" spans="4:7" ht="15" thickBot="1">
      <c r="D45" s="377" t="s">
        <v>1017</v>
      </c>
      <c r="E45" s="378" t="s">
        <v>63</v>
      </c>
      <c r="F45" s="378" t="s">
        <v>1012</v>
      </c>
      <c r="G45" s="379" t="s">
        <v>1013</v>
      </c>
    </row>
    <row r="46" spans="4:7" ht="15" thickBot="1">
      <c r="D46" s="377" t="s">
        <v>1017</v>
      </c>
      <c r="E46" s="378" t="s">
        <v>63</v>
      </c>
      <c r="F46" s="378" t="s">
        <v>1014</v>
      </c>
      <c r="G46" s="379" t="s">
        <v>1015</v>
      </c>
    </row>
    <row r="47" spans="4:7" ht="15" thickBot="1">
      <c r="D47" s="377" t="s">
        <v>1018</v>
      </c>
      <c r="E47" s="378" t="s">
        <v>1011</v>
      </c>
      <c r="F47" s="378" t="s">
        <v>1012</v>
      </c>
      <c r="G47" s="379" t="s">
        <v>1019</v>
      </c>
    </row>
    <row r="48" spans="4:7" ht="15" thickBot="1">
      <c r="D48" s="377" t="s">
        <v>1018</v>
      </c>
      <c r="E48" s="378" t="s">
        <v>1011</v>
      </c>
      <c r="F48" s="378" t="s">
        <v>1014</v>
      </c>
      <c r="G48" s="379" t="s">
        <v>1020</v>
      </c>
    </row>
    <row r="49" spans="4:7" ht="15" thickBot="1">
      <c r="D49" s="380" t="s">
        <v>1018</v>
      </c>
      <c r="E49" s="381" t="s">
        <v>63</v>
      </c>
      <c r="F49" s="381" t="s">
        <v>1012</v>
      </c>
      <c r="G49" s="382" t="s">
        <v>1019</v>
      </c>
    </row>
    <row r="50" spans="4:7" ht="15" thickBot="1">
      <c r="D50" s="377" t="s">
        <v>1018</v>
      </c>
      <c r="E50" s="378" t="s">
        <v>63</v>
      </c>
      <c r="F50" s="378" t="s">
        <v>1014</v>
      </c>
      <c r="G50" s="379" t="s">
        <v>1021</v>
      </c>
    </row>
    <row r="51" spans="4:7" ht="15" thickBot="1">
      <c r="D51" s="377" t="s">
        <v>1022</v>
      </c>
      <c r="E51" s="378" t="s">
        <v>1011</v>
      </c>
      <c r="F51" s="378" t="s">
        <v>1012</v>
      </c>
      <c r="G51" s="379" t="s">
        <v>1023</v>
      </c>
    </row>
    <row r="52" spans="4:7" ht="15" thickBot="1">
      <c r="D52" s="377" t="s">
        <v>1022</v>
      </c>
      <c r="E52" s="378" t="s">
        <v>1011</v>
      </c>
      <c r="F52" s="378" t="s">
        <v>1014</v>
      </c>
      <c r="G52" s="379" t="s">
        <v>1024</v>
      </c>
    </row>
    <row r="53" spans="4:7" ht="15" thickBot="1">
      <c r="D53" s="380" t="s">
        <v>1022</v>
      </c>
      <c r="E53" s="381" t="s">
        <v>63</v>
      </c>
      <c r="F53" s="381" t="s">
        <v>1012</v>
      </c>
      <c r="G53" s="382" t="s">
        <v>1023</v>
      </c>
    </row>
    <row r="54" spans="4:7" ht="15" thickBot="1">
      <c r="D54" s="377" t="s">
        <v>1022</v>
      </c>
      <c r="E54" s="378" t="s">
        <v>63</v>
      </c>
      <c r="F54" s="378" t="s">
        <v>1014</v>
      </c>
      <c r="G54" s="379" t="s">
        <v>1024</v>
      </c>
    </row>
    <row r="55" spans="4:7" ht="15" thickBot="1">
      <c r="D55" s="377" t="s">
        <v>1025</v>
      </c>
      <c r="E55" s="378" t="s">
        <v>1011</v>
      </c>
      <c r="F55" s="378" t="s">
        <v>1012</v>
      </c>
      <c r="G55" s="379" t="s">
        <v>1026</v>
      </c>
    </row>
    <row r="56" spans="4:7" ht="15" thickBot="1">
      <c r="D56" s="377" t="s">
        <v>1025</v>
      </c>
      <c r="E56" s="378" t="s">
        <v>1011</v>
      </c>
      <c r="F56" s="378" t="s">
        <v>1014</v>
      </c>
      <c r="G56" s="379" t="s">
        <v>1027</v>
      </c>
    </row>
    <row r="57" spans="4:7" ht="15" thickBot="1">
      <c r="D57" s="377" t="s">
        <v>1025</v>
      </c>
      <c r="E57" s="378" t="s">
        <v>63</v>
      </c>
      <c r="F57" s="378" t="s">
        <v>1012</v>
      </c>
      <c r="G57" s="379" t="s">
        <v>1026</v>
      </c>
    </row>
    <row r="58" spans="4:7" ht="15" thickBot="1">
      <c r="D58" s="377" t="s">
        <v>1025</v>
      </c>
      <c r="E58" s="378" t="s">
        <v>63</v>
      </c>
      <c r="F58" s="378" t="s">
        <v>1014</v>
      </c>
      <c r="G58" s="379" t="s">
        <v>1027</v>
      </c>
    </row>
    <row r="62" spans="4:7">
      <c r="E62" s="311" t="s">
        <v>1028</v>
      </c>
    </row>
    <row r="63" spans="4:7">
      <c r="D63" s="311">
        <v>400</v>
      </c>
      <c r="E63" s="311">
        <f>1/(1+0.876*D63^(-0.351)) - 0.01</f>
        <v>0.89338311765703904</v>
      </c>
      <c r="F63" s="311" t="s">
        <v>1029</v>
      </c>
    </row>
  </sheetData>
  <mergeCells count="1">
    <mergeCell ref="D37:G37"/>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sheetPr codeName="Sheet1"/>
  <dimension ref="A1:AC180"/>
  <sheetViews>
    <sheetView workbookViewId="0">
      <selection activeCell="A9" sqref="A9"/>
    </sheetView>
  </sheetViews>
  <sheetFormatPr defaultRowHeight="12.75"/>
  <cols>
    <col min="1" max="1" width="45.5703125" customWidth="1"/>
    <col min="2" max="2" width="18.7109375" customWidth="1"/>
    <col min="3" max="3" width="54.28515625" customWidth="1"/>
    <col min="4" max="4" width="16.28515625" customWidth="1"/>
    <col min="5" max="5" width="11" customWidth="1"/>
    <col min="10" max="10" width="9.28515625" bestFit="1" customWidth="1"/>
    <col min="24" max="24" width="10" customWidth="1"/>
    <col min="25" max="25" width="12" customWidth="1"/>
    <col min="27" max="27" width="14.42578125" customWidth="1"/>
  </cols>
  <sheetData>
    <row r="1" spans="1:29" ht="12.75" customHeight="1">
      <c r="A1" s="234" t="s">
        <v>688</v>
      </c>
      <c r="B1" s="446" t="s">
        <v>965</v>
      </c>
      <c r="C1" s="447"/>
      <c r="D1" s="447"/>
      <c r="E1" s="447"/>
      <c r="F1" s="447"/>
      <c r="G1" s="447"/>
      <c r="H1" s="447"/>
      <c r="I1" s="447"/>
      <c r="J1" s="447"/>
      <c r="K1" s="447"/>
      <c r="L1" s="447"/>
      <c r="M1" s="447"/>
      <c r="N1" s="447"/>
      <c r="O1" s="447"/>
      <c r="P1" s="447"/>
      <c r="Q1" s="447"/>
      <c r="R1" s="447"/>
      <c r="S1" s="448"/>
      <c r="T1" s="235"/>
      <c r="U1" s="235"/>
      <c r="V1" s="235"/>
      <c r="W1" s="235"/>
      <c r="X1" s="24"/>
      <c r="Y1" s="24"/>
      <c r="Z1" s="24"/>
      <c r="AA1" s="24"/>
      <c r="AB1" s="24"/>
      <c r="AC1" s="24"/>
    </row>
    <row r="2" spans="1:29">
      <c r="A2" s="236"/>
      <c r="B2" s="449"/>
      <c r="C2" s="450"/>
      <c r="D2" s="450"/>
      <c r="E2" s="450"/>
      <c r="F2" s="450"/>
      <c r="G2" s="450"/>
      <c r="H2" s="450"/>
      <c r="I2" s="450"/>
      <c r="J2" s="450"/>
      <c r="K2" s="450"/>
      <c r="L2" s="450"/>
      <c r="M2" s="450"/>
      <c r="N2" s="450"/>
      <c r="O2" s="450"/>
      <c r="P2" s="450"/>
      <c r="Q2" s="450"/>
      <c r="R2" s="450"/>
      <c r="S2" s="451"/>
      <c r="T2" s="237"/>
      <c r="U2" s="237"/>
      <c r="V2" s="237"/>
      <c r="W2" s="237"/>
      <c r="X2" s="24"/>
      <c r="Y2" s="24"/>
      <c r="Z2" s="24"/>
      <c r="AA2" s="24"/>
      <c r="AB2" s="24"/>
      <c r="AC2" s="24"/>
    </row>
    <row r="3" spans="1:29">
      <c r="A3" s="236"/>
      <c r="B3" s="449"/>
      <c r="C3" s="450"/>
      <c r="D3" s="450"/>
      <c r="E3" s="450"/>
      <c r="F3" s="450"/>
      <c r="G3" s="450"/>
      <c r="H3" s="450"/>
      <c r="I3" s="450"/>
      <c r="J3" s="450"/>
      <c r="K3" s="450"/>
      <c r="L3" s="450"/>
      <c r="M3" s="450"/>
      <c r="N3" s="450"/>
      <c r="O3" s="450"/>
      <c r="P3" s="450"/>
      <c r="Q3" s="450"/>
      <c r="R3" s="450"/>
      <c r="S3" s="451"/>
      <c r="T3" s="237"/>
      <c r="U3" s="237"/>
      <c r="V3" s="237"/>
      <c r="W3" s="237"/>
      <c r="X3" s="24"/>
      <c r="Y3" s="24"/>
      <c r="Z3" s="24"/>
      <c r="AA3" s="24"/>
      <c r="AB3" s="24"/>
      <c r="AC3" s="24"/>
    </row>
    <row r="4" spans="1:29">
      <c r="A4" s="236"/>
      <c r="B4" s="449"/>
      <c r="C4" s="450"/>
      <c r="D4" s="450"/>
      <c r="E4" s="450"/>
      <c r="F4" s="450"/>
      <c r="G4" s="450"/>
      <c r="H4" s="450"/>
      <c r="I4" s="450"/>
      <c r="J4" s="450"/>
      <c r="K4" s="450"/>
      <c r="L4" s="450"/>
      <c r="M4" s="450"/>
      <c r="N4" s="450"/>
      <c r="O4" s="450"/>
      <c r="P4" s="450"/>
      <c r="Q4" s="450"/>
      <c r="R4" s="450"/>
      <c r="S4" s="451"/>
      <c r="T4" s="237"/>
      <c r="U4" s="237"/>
      <c r="V4" s="237"/>
      <c r="W4" s="237"/>
      <c r="X4" s="24"/>
      <c r="Y4" s="24"/>
      <c r="Z4" s="24"/>
      <c r="AA4" s="24"/>
      <c r="AB4" s="24"/>
      <c r="AC4" s="24"/>
    </row>
    <row r="5" spans="1:29">
      <c r="A5" s="238" t="s">
        <v>689</v>
      </c>
      <c r="B5" s="449"/>
      <c r="C5" s="450"/>
      <c r="D5" s="452"/>
      <c r="E5" s="452"/>
      <c r="F5" s="452"/>
      <c r="G5" s="452"/>
      <c r="H5" s="452"/>
      <c r="I5" s="452"/>
      <c r="J5" s="452"/>
      <c r="K5" s="452"/>
      <c r="L5" s="452"/>
      <c r="M5" s="452"/>
      <c r="N5" s="452"/>
      <c r="O5" s="452"/>
      <c r="P5" s="452"/>
      <c r="Q5" s="452"/>
      <c r="R5" s="452"/>
      <c r="S5" s="453"/>
      <c r="T5" s="237"/>
      <c r="U5" s="237"/>
      <c r="V5" s="237"/>
      <c r="W5" s="237"/>
      <c r="X5" s="24"/>
      <c r="Y5" s="24"/>
      <c r="Z5" s="24"/>
      <c r="AA5" s="24"/>
      <c r="AB5" s="24"/>
      <c r="AC5" s="24"/>
    </row>
    <row r="6" spans="1:29">
      <c r="A6" s="441"/>
      <c r="B6" s="239"/>
      <c r="C6" s="239"/>
      <c r="D6" s="240"/>
      <c r="E6" s="241"/>
      <c r="F6" s="241"/>
      <c r="G6" s="241"/>
      <c r="H6" s="241"/>
      <c r="I6" s="241"/>
      <c r="J6" s="241"/>
      <c r="K6" s="241"/>
      <c r="L6" s="241"/>
      <c r="M6" s="241"/>
      <c r="N6" s="241"/>
      <c r="O6" s="241"/>
      <c r="P6" s="241"/>
      <c r="Q6" s="241"/>
      <c r="R6" s="241"/>
      <c r="S6" s="242"/>
      <c r="T6" s="237"/>
      <c r="U6" s="237"/>
      <c r="V6" s="237"/>
      <c r="W6" s="237"/>
      <c r="X6" s="24"/>
      <c r="Y6" s="24"/>
      <c r="Z6" s="24"/>
      <c r="AA6" s="24"/>
      <c r="AB6" s="24"/>
      <c r="AC6" s="24"/>
    </row>
    <row r="7" spans="1:29">
      <c r="A7" s="442"/>
      <c r="B7" s="430" t="s">
        <v>690</v>
      </c>
      <c r="C7" s="431" t="s">
        <v>41</v>
      </c>
      <c r="D7" s="427" t="s">
        <v>41</v>
      </c>
      <c r="E7" s="24"/>
      <c r="F7" s="24"/>
      <c r="G7" s="24"/>
      <c r="H7" s="24"/>
      <c r="I7" s="24"/>
      <c r="J7" s="24"/>
      <c r="K7" s="24"/>
      <c r="L7" s="24"/>
      <c r="M7" s="24"/>
      <c r="N7" s="24"/>
      <c r="O7" s="24"/>
      <c r="P7" s="24"/>
      <c r="Q7" s="24"/>
      <c r="R7" s="24"/>
      <c r="S7" s="24"/>
      <c r="T7" s="24"/>
      <c r="U7" s="24"/>
      <c r="V7" s="24"/>
      <c r="W7" s="24"/>
      <c r="X7" s="24"/>
      <c r="Y7" s="24"/>
      <c r="Z7" s="24"/>
      <c r="AA7" s="24"/>
      <c r="AB7" s="24"/>
      <c r="AC7" s="24"/>
    </row>
    <row r="8" spans="1:29">
      <c r="A8" s="443" t="s">
        <v>1067</v>
      </c>
      <c r="B8" s="432" t="s">
        <v>691</v>
      </c>
      <c r="C8" s="433" t="str">
        <f>[1]MLIST!$D$66</f>
        <v>Exterior Building Lighting-New</v>
      </c>
      <c r="D8" s="428" t="str">
        <f>[2]!switch_ForecastState</f>
        <v>Region</v>
      </c>
      <c r="E8" s="244"/>
      <c r="F8" s="24"/>
      <c r="G8" s="24"/>
      <c r="H8" s="24"/>
      <c r="I8" s="24"/>
      <c r="J8" s="24"/>
      <c r="K8" s="24"/>
      <c r="L8" s="24"/>
      <c r="M8" s="24"/>
      <c r="N8" s="24"/>
      <c r="O8" s="24"/>
      <c r="P8" s="24"/>
      <c r="Q8" s="24"/>
      <c r="R8" s="24"/>
      <c r="S8" s="24"/>
      <c r="T8" s="24"/>
      <c r="U8" s="24"/>
      <c r="V8" s="24"/>
      <c r="W8" s="24"/>
      <c r="X8" s="24"/>
      <c r="Y8" s="24"/>
      <c r="Z8" s="24"/>
      <c r="AA8" s="24"/>
      <c r="AB8" s="24"/>
      <c r="AC8" s="24"/>
    </row>
    <row r="9" spans="1:29">
      <c r="A9" s="443" t="str">
        <f>INDEX([1]ACHIEV!$A$19:$B$100,MATCH(C8,[1]ACHIEV!$B$19:$B$100,0),1)</f>
        <v>Lighting</v>
      </c>
      <c r="B9" s="439" t="s">
        <v>692</v>
      </c>
      <c r="C9" s="433">
        <f>[1]FILES!$H$4</f>
        <v>2035</v>
      </c>
      <c r="D9" s="428" t="str">
        <f>[2]!switch_ForecastScenario</f>
        <v>Base</v>
      </c>
      <c r="E9" s="245"/>
      <c r="F9" s="24"/>
      <c r="G9" s="24"/>
      <c r="H9" s="24"/>
      <c r="I9" s="24"/>
      <c r="J9" s="24"/>
      <c r="K9" s="24"/>
      <c r="L9" s="24"/>
      <c r="M9" s="24"/>
      <c r="N9" s="24"/>
      <c r="O9" s="24"/>
      <c r="P9" s="24"/>
      <c r="Q9" s="24"/>
      <c r="R9" s="24"/>
      <c r="S9" s="24"/>
      <c r="T9" s="24"/>
      <c r="U9" s="24"/>
      <c r="V9" s="24"/>
      <c r="W9" s="24"/>
      <c r="X9" s="24"/>
      <c r="Y9" s="24"/>
      <c r="Z9" s="24"/>
      <c r="AA9" s="24"/>
      <c r="AB9" s="24"/>
      <c r="AC9" s="24"/>
    </row>
    <row r="10" spans="1:29">
      <c r="A10" s="444"/>
      <c r="B10" s="440" t="s">
        <v>693</v>
      </c>
      <c r="C10" s="445">
        <f>MIN(SUM(E64:X71),SUM(Y64:Y71))</f>
        <v>18.695722892998397</v>
      </c>
      <c r="D10" s="429"/>
      <c r="E10" s="24">
        <v>1</v>
      </c>
      <c r="F10" s="24">
        <f>E10+1</f>
        <v>2</v>
      </c>
      <c r="G10" s="24">
        <f t="shared" ref="G10:V11" si="0">F10+1</f>
        <v>3</v>
      </c>
      <c r="H10" s="24">
        <f t="shared" si="0"/>
        <v>4</v>
      </c>
      <c r="I10" s="24">
        <f t="shared" si="0"/>
        <v>5</v>
      </c>
      <c r="J10" s="24">
        <f t="shared" si="0"/>
        <v>6</v>
      </c>
      <c r="K10" s="24">
        <f t="shared" si="0"/>
        <v>7</v>
      </c>
      <c r="L10" s="24">
        <f t="shared" si="0"/>
        <v>8</v>
      </c>
      <c r="M10" s="24">
        <f t="shared" si="0"/>
        <v>9</v>
      </c>
      <c r="N10" s="24">
        <f t="shared" si="0"/>
        <v>10</v>
      </c>
      <c r="O10" s="24">
        <f t="shared" si="0"/>
        <v>11</v>
      </c>
      <c r="P10" s="24">
        <f t="shared" si="0"/>
        <v>12</v>
      </c>
      <c r="Q10" s="24">
        <f t="shared" si="0"/>
        <v>13</v>
      </c>
      <c r="R10" s="24">
        <f t="shared" si="0"/>
        <v>14</v>
      </c>
      <c r="S10" s="24">
        <f t="shared" si="0"/>
        <v>15</v>
      </c>
      <c r="T10" s="24">
        <f t="shared" si="0"/>
        <v>16</v>
      </c>
      <c r="U10" s="24">
        <f t="shared" si="0"/>
        <v>17</v>
      </c>
      <c r="V10" s="24">
        <f t="shared" si="0"/>
        <v>18</v>
      </c>
      <c r="W10" s="24">
        <f t="shared" ref="W10:X11" si="1">V10+1</f>
        <v>19</v>
      </c>
      <c r="X10" s="24">
        <f t="shared" si="1"/>
        <v>20</v>
      </c>
      <c r="Y10" s="24"/>
      <c r="Z10" s="24"/>
      <c r="AA10" s="24"/>
      <c r="AB10" s="24"/>
      <c r="AC10" s="24"/>
    </row>
    <row r="11" spans="1:29" ht="15">
      <c r="A11" s="437" t="s">
        <v>881</v>
      </c>
      <c r="B11" s="438"/>
      <c r="C11" s="243" t="str">
        <f>$C$8</f>
        <v>Exterior Building Lighting-New</v>
      </c>
      <c r="D11" s="243"/>
      <c r="E11" s="243">
        <f>C9-20+1</f>
        <v>2016</v>
      </c>
      <c r="F11" s="243">
        <f>E11+1</f>
        <v>2017</v>
      </c>
      <c r="G11" s="243">
        <f t="shared" si="0"/>
        <v>2018</v>
      </c>
      <c r="H11" s="243">
        <f t="shared" si="0"/>
        <v>2019</v>
      </c>
      <c r="I11" s="243">
        <f t="shared" si="0"/>
        <v>2020</v>
      </c>
      <c r="J11" s="243">
        <f t="shared" si="0"/>
        <v>2021</v>
      </c>
      <c r="K11" s="243">
        <f t="shared" si="0"/>
        <v>2022</v>
      </c>
      <c r="L11" s="243">
        <f t="shared" si="0"/>
        <v>2023</v>
      </c>
      <c r="M11" s="243">
        <f t="shared" si="0"/>
        <v>2024</v>
      </c>
      <c r="N11" s="243">
        <f t="shared" si="0"/>
        <v>2025</v>
      </c>
      <c r="O11" s="243">
        <f t="shared" si="0"/>
        <v>2026</v>
      </c>
      <c r="P11" s="243">
        <f t="shared" si="0"/>
        <v>2027</v>
      </c>
      <c r="Q11" s="243">
        <f t="shared" si="0"/>
        <v>2028</v>
      </c>
      <c r="R11" s="243">
        <f t="shared" si="0"/>
        <v>2029</v>
      </c>
      <c r="S11" s="243">
        <f t="shared" si="0"/>
        <v>2030</v>
      </c>
      <c r="T11" s="243">
        <f t="shared" si="0"/>
        <v>2031</v>
      </c>
      <c r="U11" s="243">
        <f t="shared" si="0"/>
        <v>2032</v>
      </c>
      <c r="V11" s="243">
        <f t="shared" si="0"/>
        <v>2033</v>
      </c>
      <c r="W11" s="243">
        <f t="shared" si="1"/>
        <v>2034</v>
      </c>
      <c r="X11" s="243">
        <f t="shared" si="1"/>
        <v>2035</v>
      </c>
      <c r="Y11" s="248" t="s">
        <v>694</v>
      </c>
      <c r="Z11" s="248" t="s">
        <v>695</v>
      </c>
      <c r="AA11" s="24"/>
      <c r="AB11" s="24"/>
      <c r="AC11" s="24"/>
    </row>
    <row r="12" spans="1:29">
      <c r="A12" s="243"/>
      <c r="B12" s="243"/>
      <c r="C12" s="335" t="s">
        <v>864</v>
      </c>
      <c r="D12" s="243"/>
      <c r="E12" s="243" t="str">
        <f>CONCATENATE("Floor_",E11)</f>
        <v>Floor_2016</v>
      </c>
      <c r="F12" s="243" t="str">
        <f t="shared" ref="F12:X12" si="2">CONCATENATE("Floor_",F11)</f>
        <v>Floor_2017</v>
      </c>
      <c r="G12" s="243" t="str">
        <f t="shared" si="2"/>
        <v>Floor_2018</v>
      </c>
      <c r="H12" s="243" t="str">
        <f t="shared" si="2"/>
        <v>Floor_2019</v>
      </c>
      <c r="I12" s="243" t="str">
        <f t="shared" si="2"/>
        <v>Floor_2020</v>
      </c>
      <c r="J12" s="243" t="str">
        <f t="shared" si="2"/>
        <v>Floor_2021</v>
      </c>
      <c r="K12" s="243" t="str">
        <f t="shared" si="2"/>
        <v>Floor_2022</v>
      </c>
      <c r="L12" s="243" t="str">
        <f t="shared" si="2"/>
        <v>Floor_2023</v>
      </c>
      <c r="M12" s="243" t="str">
        <f t="shared" si="2"/>
        <v>Floor_2024</v>
      </c>
      <c r="N12" s="243" t="str">
        <f t="shared" si="2"/>
        <v>Floor_2025</v>
      </c>
      <c r="O12" s="243" t="str">
        <f t="shared" si="2"/>
        <v>Floor_2026</v>
      </c>
      <c r="P12" s="243" t="str">
        <f t="shared" si="2"/>
        <v>Floor_2027</v>
      </c>
      <c r="Q12" s="243" t="str">
        <f t="shared" si="2"/>
        <v>Floor_2028</v>
      </c>
      <c r="R12" s="243" t="str">
        <f t="shared" si="2"/>
        <v>Floor_2029</v>
      </c>
      <c r="S12" s="243" t="str">
        <f t="shared" si="2"/>
        <v>Floor_2030</v>
      </c>
      <c r="T12" s="243" t="str">
        <f t="shared" si="2"/>
        <v>Floor_2031</v>
      </c>
      <c r="U12" s="243" t="str">
        <f t="shared" si="2"/>
        <v>Floor_2032</v>
      </c>
      <c r="V12" s="243" t="str">
        <f t="shared" si="2"/>
        <v>Floor_2033</v>
      </c>
      <c r="W12" s="243" t="str">
        <f t="shared" si="2"/>
        <v>Floor_2034</v>
      </c>
      <c r="X12" s="243" t="str">
        <f t="shared" si="2"/>
        <v>Floor_2035</v>
      </c>
      <c r="Y12" s="248"/>
      <c r="Z12" s="249">
        <v>0.85</v>
      </c>
      <c r="AA12" s="24"/>
      <c r="AB12" s="24"/>
      <c r="AC12" s="24"/>
    </row>
    <row r="13" spans="1:29">
      <c r="B13" s="24" t="s">
        <v>802</v>
      </c>
      <c r="C13" s="24" t="s">
        <v>803</v>
      </c>
      <c r="D13" s="24">
        <v>1</v>
      </c>
      <c r="E13" s="244">
        <f>INDEX([2]!tbl_Forecast,MATCH($D$8&amp;$C13&amp;$D$7,[2]!rng_ForecastRowLookup,0),MATCH(E$11,[2]!rng_ForecastColumnLookup,0))</f>
        <v>7.8066550111953834</v>
      </c>
      <c r="F13" s="244">
        <f>INDEX([2]!tbl_Forecast,MATCH($D$8&amp;$C13&amp;$D$7,[2]!rng_ForecastRowLookup,0),MATCH(F$11,[2]!rng_ForecastColumnLookup,0))</f>
        <v>5.9496992573140863</v>
      </c>
      <c r="G13" s="244">
        <f>INDEX([2]!tbl_Forecast,MATCH($D$8&amp;$C13&amp;$D$7,[2]!rng_ForecastRowLookup,0),MATCH(G$11,[2]!rng_ForecastColumnLookup,0))</f>
        <v>5.890903545908837</v>
      </c>
      <c r="H13" s="244">
        <f>INDEX([2]!tbl_Forecast,MATCH($D$8&amp;$C13&amp;$D$7,[2]!rng_ForecastRowLookup,0),MATCH(H$11,[2]!rng_ForecastColumnLookup,0))</f>
        <v>6.8915688291332424</v>
      </c>
      <c r="I13" s="244">
        <f>INDEX([2]!tbl_Forecast,MATCH($D$8&amp;$C13&amp;$D$7,[2]!rng_ForecastRowLookup,0),MATCH(I$11,[2]!rng_ForecastColumnLookup,0))</f>
        <v>6.6410191533148355</v>
      </c>
      <c r="J13" s="244">
        <f>INDEX([2]!tbl_Forecast,MATCH($D$8&amp;$C13&amp;$D$7,[2]!rng_ForecastRowLookup,0),MATCH(J$11,[2]!rng_ForecastColumnLookup,0))</f>
        <v>5.4382226791221893</v>
      </c>
      <c r="K13" s="244">
        <f>INDEX([2]!tbl_Forecast,MATCH($D$8&amp;$C13&amp;$D$7,[2]!rng_ForecastRowLookup,0),MATCH(K$11,[2]!rng_ForecastColumnLookup,0))</f>
        <v>6.9236851515846078</v>
      </c>
      <c r="L13" s="244">
        <f>INDEX([2]!tbl_Forecast,MATCH($D$8&amp;$C13&amp;$D$7,[2]!rng_ForecastRowLookup,0),MATCH(L$11,[2]!rng_ForecastColumnLookup,0))</f>
        <v>6.040566884985755</v>
      </c>
      <c r="M13" s="244">
        <f>INDEX([2]!tbl_Forecast,MATCH($D$8&amp;$C13&amp;$D$7,[2]!rng_ForecastRowLookup,0),MATCH(M$11,[2]!rng_ForecastColumnLookup,0))</f>
        <v>5.8620040343764588</v>
      </c>
      <c r="N13" s="244">
        <f>INDEX([2]!tbl_Forecast,MATCH($D$8&amp;$C13&amp;$D$7,[2]!rng_ForecastRowLookup,0),MATCH(N$11,[2]!rng_ForecastColumnLookup,0))</f>
        <v>6.6048352977963205</v>
      </c>
      <c r="O13" s="244">
        <f>INDEX([2]!tbl_Forecast,MATCH($D$8&amp;$C13&amp;$D$7,[2]!rng_ForecastRowLookup,0),MATCH(O$11,[2]!rng_ForecastColumnLookup,0))</f>
        <v>6.6081856774849808</v>
      </c>
      <c r="P13" s="244">
        <f>INDEX([2]!tbl_Forecast,MATCH($D$8&amp;$C13&amp;$D$7,[2]!rng_ForecastRowLookup,0),MATCH(P$11,[2]!rng_ForecastColumnLookup,0))</f>
        <v>7.2276230030590352</v>
      </c>
      <c r="Q13" s="244">
        <f>INDEX([2]!tbl_Forecast,MATCH($D$8&amp;$C13&amp;$D$7,[2]!rng_ForecastRowLookup,0),MATCH(Q$11,[2]!rng_ForecastColumnLookup,0))</f>
        <v>7.9321378463678132</v>
      </c>
      <c r="R13" s="244">
        <f>INDEX([2]!tbl_Forecast,MATCH($D$8&amp;$C13&amp;$D$7,[2]!rng_ForecastRowLookup,0),MATCH(R$11,[2]!rng_ForecastColumnLookup,0))</f>
        <v>7.2590370336019197</v>
      </c>
      <c r="S13" s="244">
        <f>INDEX([2]!tbl_Forecast,MATCH($D$8&amp;$C13&amp;$D$7,[2]!rng_ForecastRowLookup,0),MATCH(S$11,[2]!rng_ForecastColumnLookup,0))</f>
        <v>7.9122271387396417</v>
      </c>
      <c r="T13" s="244">
        <f>INDEX([2]!tbl_Forecast,MATCH($D$8&amp;$C13&amp;$D$7,[2]!rng_ForecastRowLookup,0),MATCH(T$11,[2]!rng_ForecastColumnLookup,0))</f>
        <v>7.7623340380974311</v>
      </c>
      <c r="U13" s="244">
        <f>INDEX([2]!tbl_Forecast,MATCH($D$8&amp;$C13&amp;$D$7,[2]!rng_ForecastRowLookup,0),MATCH(U$11,[2]!rng_ForecastColumnLookup,0))</f>
        <v>7.6402299023279152</v>
      </c>
      <c r="V13" s="244">
        <f>INDEX([2]!tbl_Forecast,MATCH($D$8&amp;$C13&amp;$D$7,[2]!rng_ForecastRowLookup,0),MATCH(V$11,[2]!rng_ForecastColumnLookup,0))</f>
        <v>7.1724831299946894</v>
      </c>
      <c r="W13" s="244">
        <f>INDEX([2]!tbl_Forecast,MATCH($D$8&amp;$C13&amp;$D$7,[2]!rng_ForecastRowLookup,0),MATCH(W$11,[2]!rng_ForecastColumnLookup,0))</f>
        <v>7.0810470955732994</v>
      </c>
      <c r="X13" s="244">
        <f>INDEX([2]!tbl_Forecast,MATCH($D$8&amp;$C13&amp;$D$7,[2]!rng_ForecastRowLookup,0),MATCH(X$11,[2]!rng_ForecastColumnLookup,0))</f>
        <v>7.4281005850341701</v>
      </c>
      <c r="Y13" s="250">
        <f t="shared" ref="Y13:Y30" si="3">SUM(E13:X13)</f>
        <v>138.07256529501262</v>
      </c>
      <c r="Z13" s="198"/>
      <c r="AA13" s="24"/>
      <c r="AB13" s="24"/>
      <c r="AC13" s="24"/>
    </row>
    <row r="14" spans="1:29">
      <c r="B14" s="24" t="s">
        <v>802</v>
      </c>
      <c r="C14" s="24" t="s">
        <v>804</v>
      </c>
      <c r="D14" s="24">
        <v>2</v>
      </c>
      <c r="E14" s="244">
        <f>INDEX([2]!tbl_Forecast,MATCH($D$8&amp;$C14&amp;$D$7,[2]!rng_ForecastRowLookup,0),MATCH(E$11,[2]!rng_ForecastColumnLookup,0))</f>
        <v>6.3306892326899415</v>
      </c>
      <c r="F14" s="244">
        <f>INDEX([2]!tbl_Forecast,MATCH($D$8&amp;$C14&amp;$D$7,[2]!rng_ForecastRowLookup,0),MATCH(F$11,[2]!rng_ForecastColumnLookup,0))</f>
        <v>4.6245517962703104</v>
      </c>
      <c r="G14" s="244">
        <f>INDEX([2]!tbl_Forecast,MATCH($D$8&amp;$C14&amp;$D$7,[2]!rng_ForecastRowLookup,0),MATCH(G$11,[2]!rng_ForecastColumnLookup,0))</f>
        <v>4.6954401235311058</v>
      </c>
      <c r="H14" s="244">
        <f>INDEX([2]!tbl_Forecast,MATCH($D$8&amp;$C14&amp;$D$7,[2]!rng_ForecastRowLookup,0),MATCH(H$11,[2]!rng_ForecastColumnLookup,0))</f>
        <v>5.5561738496820645</v>
      </c>
      <c r="I14" s="244">
        <f>INDEX([2]!tbl_Forecast,MATCH($D$8&amp;$C14&amp;$D$7,[2]!rng_ForecastRowLookup,0),MATCH(I$11,[2]!rng_ForecastColumnLookup,0))</f>
        <v>5.2903315868283292</v>
      </c>
      <c r="J14" s="244">
        <f>INDEX([2]!tbl_Forecast,MATCH($D$8&amp;$C14&amp;$D$7,[2]!rng_ForecastRowLookup,0),MATCH(J$11,[2]!rng_ForecastColumnLookup,0))</f>
        <v>4.0954748538564614</v>
      </c>
      <c r="K14" s="244">
        <f>INDEX([2]!tbl_Forecast,MATCH($D$8&amp;$C14&amp;$D$7,[2]!rng_ForecastRowLookup,0),MATCH(K$11,[2]!rng_ForecastColumnLookup,0))</f>
        <v>5.6166455086822502</v>
      </c>
      <c r="L14" s="244">
        <f>INDEX([2]!tbl_Forecast,MATCH($D$8&amp;$C14&amp;$D$7,[2]!rng_ForecastRowLookup,0),MATCH(L$11,[2]!rng_ForecastColumnLookup,0))</f>
        <v>4.8928421056079552</v>
      </c>
      <c r="M14" s="244">
        <f>INDEX([2]!tbl_Forecast,MATCH($D$8&amp;$C14&amp;$D$7,[2]!rng_ForecastRowLookup,0),MATCH(M$11,[2]!rng_ForecastColumnLookup,0))</f>
        <v>4.6489885594062974</v>
      </c>
      <c r="N14" s="244">
        <f>INDEX([2]!tbl_Forecast,MATCH($D$8&amp;$C14&amp;$D$7,[2]!rng_ForecastRowLookup,0),MATCH(N$11,[2]!rng_ForecastColumnLookup,0))</f>
        <v>5.3600762751998365</v>
      </c>
      <c r="O14" s="244">
        <f>INDEX([2]!tbl_Forecast,MATCH($D$8&amp;$C14&amp;$D$7,[2]!rng_ForecastRowLookup,0),MATCH(O$11,[2]!rng_ForecastColumnLookup,0))</f>
        <v>5.3451061612370649</v>
      </c>
      <c r="P14" s="244">
        <f>INDEX([2]!tbl_Forecast,MATCH($D$8&amp;$C14&amp;$D$7,[2]!rng_ForecastRowLookup,0),MATCH(P$11,[2]!rng_ForecastColumnLookup,0))</f>
        <v>5.7169042762389006</v>
      </c>
      <c r="Q14" s="244">
        <f>INDEX([2]!tbl_Forecast,MATCH($D$8&amp;$C14&amp;$D$7,[2]!rng_ForecastRowLookup,0),MATCH(Q$11,[2]!rng_ForecastColumnLookup,0))</f>
        <v>6.1644080859749115</v>
      </c>
      <c r="R14" s="244">
        <f>INDEX([2]!tbl_Forecast,MATCH($D$8&amp;$C14&amp;$D$7,[2]!rng_ForecastRowLookup,0),MATCH(R$11,[2]!rng_ForecastColumnLookup,0))</f>
        <v>5.8003829082546376</v>
      </c>
      <c r="S14" s="244">
        <f>INDEX([2]!tbl_Forecast,MATCH($D$8&amp;$C14&amp;$D$7,[2]!rng_ForecastRowLookup,0),MATCH(S$11,[2]!rng_ForecastColumnLookup,0))</f>
        <v>6.4331999103991837</v>
      </c>
      <c r="T14" s="244">
        <f>INDEX([2]!tbl_Forecast,MATCH($D$8&amp;$C14&amp;$D$7,[2]!rng_ForecastRowLookup,0),MATCH(T$11,[2]!rng_ForecastColumnLookup,0))</f>
        <v>6.1077443299386847</v>
      </c>
      <c r="U14" s="244">
        <f>INDEX([2]!tbl_Forecast,MATCH($D$8&amp;$C14&amp;$D$7,[2]!rng_ForecastRowLookup,0),MATCH(U$11,[2]!rng_ForecastColumnLookup,0))</f>
        <v>6.3133258324543373</v>
      </c>
      <c r="V14" s="244">
        <f>INDEX([2]!tbl_Forecast,MATCH($D$8&amp;$C14&amp;$D$7,[2]!rng_ForecastRowLookup,0),MATCH(V$11,[2]!rng_ForecastColumnLookup,0))</f>
        <v>5.5403053352108875</v>
      </c>
      <c r="W14" s="244">
        <f>INDEX([2]!tbl_Forecast,MATCH($D$8&amp;$C14&amp;$D$7,[2]!rng_ForecastRowLookup,0),MATCH(W$11,[2]!rng_ForecastColumnLookup,0))</f>
        <v>5.5266028757425794</v>
      </c>
      <c r="X14" s="244">
        <f>INDEX([2]!tbl_Forecast,MATCH($D$8&amp;$C14&amp;$D$7,[2]!rng_ForecastRowLookup,0),MATCH(X$11,[2]!rng_ForecastColumnLookup,0))</f>
        <v>5.9833355534459063</v>
      </c>
      <c r="Y14" s="250">
        <f t="shared" si="3"/>
        <v>110.04252916065165</v>
      </c>
      <c r="Z14" s="198"/>
      <c r="AA14" s="24"/>
      <c r="AB14" s="24"/>
      <c r="AC14" s="24"/>
    </row>
    <row r="15" spans="1:29">
      <c r="B15" s="24" t="s">
        <v>802</v>
      </c>
      <c r="C15" s="24" t="s">
        <v>805</v>
      </c>
      <c r="D15" s="24">
        <v>3</v>
      </c>
      <c r="E15" s="244">
        <f>INDEX([2]!tbl_Forecast,MATCH($D$8&amp;$C15&amp;$D$7,[2]!rng_ForecastRowLookup,0),MATCH(E$11,[2]!rng_ForecastColumnLookup,0))</f>
        <v>1.6621196768024407</v>
      </c>
      <c r="F15" s="244">
        <f>INDEX([2]!tbl_Forecast,MATCH($D$8&amp;$C15&amp;$D$7,[2]!rng_ForecastRowLookup,0),MATCH(F$11,[2]!rng_ForecastColumnLookup,0))</f>
        <v>1.2170657423442173</v>
      </c>
      <c r="G15" s="244">
        <f>INDEX([2]!tbl_Forecast,MATCH($D$8&amp;$C15&amp;$D$7,[2]!rng_ForecastRowLookup,0),MATCH(G$11,[2]!rng_ForecastColumnLookup,0))</f>
        <v>1.2444333527444498</v>
      </c>
      <c r="H15" s="244">
        <f>INDEX([2]!tbl_Forecast,MATCH($D$8&amp;$C15&amp;$D$7,[2]!rng_ForecastRowLookup,0),MATCH(H$11,[2]!rng_ForecastColumnLookup,0))</f>
        <v>1.4586094503549032</v>
      </c>
      <c r="I15" s="244">
        <f>INDEX([2]!tbl_Forecast,MATCH($D$8&amp;$C15&amp;$D$7,[2]!rng_ForecastRowLookup,0),MATCH(I$11,[2]!rng_ForecastColumnLookup,0))</f>
        <v>1.4004070058555529</v>
      </c>
      <c r="J15" s="244">
        <f>INDEX([2]!tbl_Forecast,MATCH($D$8&amp;$C15&amp;$D$7,[2]!rng_ForecastRowLookup,0),MATCH(J$11,[2]!rng_ForecastColumnLookup,0))</f>
        <v>1.0787722980410579</v>
      </c>
      <c r="K15" s="244">
        <f>INDEX([2]!tbl_Forecast,MATCH($D$8&amp;$C15&amp;$D$7,[2]!rng_ForecastRowLookup,0),MATCH(K$11,[2]!rng_ForecastColumnLookup,0))</f>
        <v>1.4747976167420549</v>
      </c>
      <c r="L15" s="244">
        <f>INDEX([2]!tbl_Forecast,MATCH($D$8&amp;$C15&amp;$D$7,[2]!rng_ForecastRowLookup,0),MATCH(L$11,[2]!rng_ForecastColumnLookup,0))</f>
        <v>1.2896357804774434</v>
      </c>
      <c r="M15" s="244">
        <f>INDEX([2]!tbl_Forecast,MATCH($D$8&amp;$C15&amp;$D$7,[2]!rng_ForecastRowLookup,0),MATCH(M$11,[2]!rng_ForecastColumnLookup,0))</f>
        <v>1.2239291307589197</v>
      </c>
      <c r="N15" s="244">
        <f>INDEX([2]!tbl_Forecast,MATCH($D$8&amp;$C15&amp;$D$7,[2]!rng_ForecastRowLookup,0),MATCH(N$11,[2]!rng_ForecastColumnLookup,0))</f>
        <v>1.4012443744673324</v>
      </c>
      <c r="O15" s="244">
        <f>INDEX([2]!tbl_Forecast,MATCH($D$8&amp;$C15&amp;$D$7,[2]!rng_ForecastRowLookup,0),MATCH(O$11,[2]!rng_ForecastColumnLookup,0))</f>
        <v>1.3991315932028052</v>
      </c>
      <c r="P15" s="244">
        <f>INDEX([2]!tbl_Forecast,MATCH($D$8&amp;$C15&amp;$D$7,[2]!rng_ForecastRowLookup,0),MATCH(P$11,[2]!rng_ForecastColumnLookup,0))</f>
        <v>1.4996248899933684</v>
      </c>
      <c r="Q15" s="244">
        <f>INDEX([2]!tbl_Forecast,MATCH($D$8&amp;$C15&amp;$D$7,[2]!rng_ForecastRowLookup,0),MATCH(Q$11,[2]!rng_ForecastColumnLookup,0))</f>
        <v>1.6197763904689295</v>
      </c>
      <c r="R15" s="244">
        <f>INDEX([2]!tbl_Forecast,MATCH($D$8&amp;$C15&amp;$D$7,[2]!rng_ForecastRowLookup,0),MATCH(R$11,[2]!rng_ForecastColumnLookup,0))</f>
        <v>1.5187400891362097</v>
      </c>
      <c r="S15" s="244">
        <f>INDEX([2]!tbl_Forecast,MATCH($D$8&amp;$C15&amp;$D$7,[2]!rng_ForecastRowLookup,0),MATCH(S$11,[2]!rng_ForecastColumnLookup,0))</f>
        <v>1.6890757136254622</v>
      </c>
      <c r="T15" s="244">
        <f>INDEX([2]!tbl_Forecast,MATCH($D$8&amp;$C15&amp;$D$7,[2]!rng_ForecastRowLookup,0),MATCH(T$11,[2]!rng_ForecastColumnLookup,0))</f>
        <v>1.5972356158259797</v>
      </c>
      <c r="U15" s="244">
        <f>INDEX([2]!tbl_Forecast,MATCH($D$8&amp;$C15&amp;$D$7,[2]!rng_ForecastRowLookup,0),MATCH(U$11,[2]!rng_ForecastColumnLookup,0))</f>
        <v>1.640465747141107</v>
      </c>
      <c r="V15" s="244">
        <f>INDEX([2]!tbl_Forecast,MATCH($D$8&amp;$C15&amp;$D$7,[2]!rng_ForecastRowLookup,0),MATCH(V$11,[2]!rng_ForecastColumnLookup,0))</f>
        <v>1.4565955217811706</v>
      </c>
      <c r="W15" s="244">
        <f>INDEX([2]!tbl_Forecast,MATCH($D$8&amp;$C15&amp;$D$7,[2]!rng_ForecastRowLookup,0),MATCH(W$11,[2]!rng_ForecastColumnLookup,0))</f>
        <v>1.4531741906643101</v>
      </c>
      <c r="X15" s="244">
        <f>INDEX([2]!tbl_Forecast,MATCH($D$8&amp;$C15&amp;$D$7,[2]!rng_ForecastRowLookup,0),MATCH(X$11,[2]!rng_ForecastColumnLookup,0))</f>
        <v>1.5648660344158036</v>
      </c>
      <c r="Y15" s="250">
        <f t="shared" si="3"/>
        <v>28.889700214843518</v>
      </c>
      <c r="Z15" s="198"/>
      <c r="AA15" s="24"/>
      <c r="AB15" s="24"/>
      <c r="AC15" s="24"/>
    </row>
    <row r="16" spans="1:29">
      <c r="B16" s="24" t="s">
        <v>806</v>
      </c>
      <c r="C16" s="24" t="s">
        <v>807</v>
      </c>
      <c r="D16" s="280">
        <v>4</v>
      </c>
      <c r="E16" s="244">
        <f>INDEX([2]!tbl_Forecast,MATCH($D$8&amp;$C16&amp;$D$7,[2]!rng_ForecastRowLookup,0),MATCH(E$11,[2]!rng_ForecastColumnLookup,0))</f>
        <v>1.799418169017593</v>
      </c>
      <c r="F16" s="244">
        <f>INDEX([2]!tbl_Forecast,MATCH($D$8&amp;$C16&amp;$D$7,[2]!rng_ForecastRowLookup,0),MATCH(F$11,[2]!rng_ForecastColumnLookup,0))</f>
        <v>1.485755176968429</v>
      </c>
      <c r="G16" s="244">
        <f>INDEX([2]!tbl_Forecast,MATCH($D$8&amp;$C16&amp;$D$7,[2]!rng_ForecastRowLookup,0),MATCH(G$11,[2]!rng_ForecastColumnLookup,0))</f>
        <v>0.89794362681754358</v>
      </c>
      <c r="H16" s="244">
        <f>INDEX([2]!tbl_Forecast,MATCH($D$8&amp;$C16&amp;$D$7,[2]!rng_ForecastRowLookup,0),MATCH(H$11,[2]!rng_ForecastColumnLookup,0))</f>
        <v>0.91201694404352718</v>
      </c>
      <c r="I16" s="244">
        <f>INDEX([2]!tbl_Forecast,MATCH($D$8&amp;$C16&amp;$D$7,[2]!rng_ForecastRowLookup,0),MATCH(I$11,[2]!rng_ForecastColumnLookup,0))</f>
        <v>0.85125423267540556</v>
      </c>
      <c r="J16" s="244">
        <f>INDEX([2]!tbl_Forecast,MATCH($D$8&amp;$C16&amp;$D$7,[2]!rng_ForecastRowLookup,0),MATCH(J$11,[2]!rng_ForecastColumnLookup,0))</f>
        <v>0.73204497427617965</v>
      </c>
      <c r="K16" s="244">
        <f>INDEX([2]!tbl_Forecast,MATCH($D$8&amp;$C16&amp;$D$7,[2]!rng_ForecastRowLookup,0),MATCH(K$11,[2]!rng_ForecastColumnLookup,0))</f>
        <v>0.73428349109996394</v>
      </c>
      <c r="L16" s="244">
        <f>INDEX([2]!tbl_Forecast,MATCH($D$8&amp;$C16&amp;$D$7,[2]!rng_ForecastRowLookup,0),MATCH(L$11,[2]!rng_ForecastColumnLookup,0))</f>
        <v>0.71341173425108251</v>
      </c>
      <c r="M16" s="244">
        <f>INDEX([2]!tbl_Forecast,MATCH($D$8&amp;$C16&amp;$D$7,[2]!rng_ForecastRowLookup,0),MATCH(M$11,[2]!rng_ForecastColumnLookup,0))</f>
        <v>0.89455902577447755</v>
      </c>
      <c r="N16" s="244">
        <f>INDEX([2]!tbl_Forecast,MATCH($D$8&amp;$C16&amp;$D$7,[2]!rng_ForecastRowLookup,0),MATCH(N$11,[2]!rng_ForecastColumnLookup,0))</f>
        <v>1.032083805968905</v>
      </c>
      <c r="O16" s="244">
        <f>INDEX([2]!tbl_Forecast,MATCH($D$8&amp;$C16&amp;$D$7,[2]!rng_ForecastRowLookup,0),MATCH(O$11,[2]!rng_ForecastColumnLookup,0))</f>
        <v>1.0963398187475875</v>
      </c>
      <c r="P16" s="244">
        <f>INDEX([2]!tbl_Forecast,MATCH($D$8&amp;$C16&amp;$D$7,[2]!rng_ForecastRowLookup,0),MATCH(P$11,[2]!rng_ForecastColumnLookup,0))</f>
        <v>1.617287860192538</v>
      </c>
      <c r="Q16" s="244">
        <f>INDEX([2]!tbl_Forecast,MATCH($D$8&amp;$C16&amp;$D$7,[2]!rng_ForecastRowLookup,0),MATCH(Q$11,[2]!rng_ForecastColumnLookup,0))</f>
        <v>1.8239074921539626</v>
      </c>
      <c r="R16" s="244">
        <f>INDEX([2]!tbl_Forecast,MATCH($D$8&amp;$C16&amp;$D$7,[2]!rng_ForecastRowLookup,0),MATCH(R$11,[2]!rng_ForecastColumnLookup,0))</f>
        <v>1.6267354909009817</v>
      </c>
      <c r="S16" s="244">
        <f>INDEX([2]!tbl_Forecast,MATCH($D$8&amp;$C16&amp;$D$7,[2]!rng_ForecastRowLookup,0),MATCH(S$11,[2]!rng_ForecastColumnLookup,0))</f>
        <v>1.5970323938843554</v>
      </c>
      <c r="T16" s="244">
        <f>INDEX([2]!tbl_Forecast,MATCH($D$8&amp;$C16&amp;$D$7,[2]!rng_ForecastRowLookup,0),MATCH(T$11,[2]!rng_ForecastColumnLookup,0))</f>
        <v>1.5393396581386409</v>
      </c>
      <c r="U16" s="244">
        <f>INDEX([2]!tbl_Forecast,MATCH($D$8&amp;$C16&amp;$D$7,[2]!rng_ForecastRowLookup,0),MATCH(U$11,[2]!rng_ForecastColumnLookup,0))</f>
        <v>1.2960530677092543</v>
      </c>
      <c r="V16" s="244">
        <f>INDEX([2]!tbl_Forecast,MATCH($D$8&amp;$C16&amp;$D$7,[2]!rng_ForecastRowLookup,0),MATCH(V$11,[2]!rng_ForecastColumnLookup,0))</f>
        <v>1.3176455108269955</v>
      </c>
      <c r="W16" s="244">
        <f>INDEX([2]!tbl_Forecast,MATCH($D$8&amp;$C16&amp;$D$7,[2]!rng_ForecastRowLookup,0),MATCH(W$11,[2]!rng_ForecastColumnLookup,0))</f>
        <v>1.2469979474733393</v>
      </c>
      <c r="X16" s="244">
        <f>INDEX([2]!tbl_Forecast,MATCH($D$8&amp;$C16&amp;$D$7,[2]!rng_ForecastRowLookup,0),MATCH(X$11,[2]!rng_ForecastColumnLookup,0))</f>
        <v>1.3540449607593745</v>
      </c>
      <c r="Y16" s="250">
        <f t="shared" si="3"/>
        <v>24.568155381680135</v>
      </c>
      <c r="Z16" s="198"/>
      <c r="AA16" s="24"/>
      <c r="AB16" s="24"/>
      <c r="AC16" s="24"/>
    </row>
    <row r="17" spans="1:29">
      <c r="B17" s="24" t="s">
        <v>806</v>
      </c>
      <c r="C17" s="24" t="s">
        <v>808</v>
      </c>
      <c r="D17" s="280">
        <v>5</v>
      </c>
      <c r="E17" s="244">
        <f>INDEX([2]!tbl_Forecast,MATCH($D$8&amp;$C17&amp;$D$7,[2]!rng_ForecastRowLookup,0),MATCH(E$11,[2]!rng_ForecastColumnLookup,0))</f>
        <v>0.71960427219664069</v>
      </c>
      <c r="F17" s="244">
        <f>INDEX([2]!tbl_Forecast,MATCH($D$8&amp;$C17&amp;$D$7,[2]!rng_ForecastRowLookup,0),MATCH(F$11,[2]!rng_ForecastColumnLookup,0))</f>
        <v>0.59647847099566831</v>
      </c>
      <c r="G17" s="244">
        <f>INDEX([2]!tbl_Forecast,MATCH($D$8&amp;$C17&amp;$D$7,[2]!rng_ForecastRowLookup,0),MATCH(G$11,[2]!rng_ForecastColumnLookup,0))</f>
        <v>0.36611838042447359</v>
      </c>
      <c r="H17" s="244">
        <f>INDEX([2]!tbl_Forecast,MATCH($D$8&amp;$C17&amp;$D$7,[2]!rng_ForecastRowLookup,0),MATCH(H$11,[2]!rng_ForecastColumnLookup,0))</f>
        <v>0.3731768350638246</v>
      </c>
      <c r="I17" s="244">
        <f>INDEX([2]!tbl_Forecast,MATCH($D$8&amp;$C17&amp;$D$7,[2]!rng_ForecastRowLookup,0),MATCH(I$11,[2]!rng_ForecastColumnLookup,0))</f>
        <v>0.34504559304633386</v>
      </c>
      <c r="J17" s="244">
        <f>INDEX([2]!tbl_Forecast,MATCH($D$8&amp;$C17&amp;$D$7,[2]!rng_ForecastRowLookup,0),MATCH(J$11,[2]!rng_ForecastColumnLookup,0))</f>
        <v>0.2928623587115301</v>
      </c>
      <c r="K17" s="244">
        <f>INDEX([2]!tbl_Forecast,MATCH($D$8&amp;$C17&amp;$D$7,[2]!rng_ForecastRowLookup,0),MATCH(K$11,[2]!rng_ForecastColumnLookup,0))</f>
        <v>0.29376294298921468</v>
      </c>
      <c r="L17" s="244">
        <f>INDEX([2]!tbl_Forecast,MATCH($D$8&amp;$C17&amp;$D$7,[2]!rng_ForecastRowLookup,0),MATCH(L$11,[2]!rng_ForecastColumnLookup,0))</f>
        <v>0.28416308329236456</v>
      </c>
      <c r="M17" s="244">
        <f>INDEX([2]!tbl_Forecast,MATCH($D$8&amp;$C17&amp;$D$7,[2]!rng_ForecastRowLookup,0),MATCH(M$11,[2]!rng_ForecastColumnLookup,0))</f>
        <v>0.36455471421578001</v>
      </c>
      <c r="N17" s="244">
        <f>INDEX([2]!tbl_Forecast,MATCH($D$8&amp;$C17&amp;$D$7,[2]!rng_ForecastRowLookup,0),MATCH(N$11,[2]!rng_ForecastColumnLookup,0))</f>
        <v>0.42646627810709853</v>
      </c>
      <c r="O17" s="244">
        <f>INDEX([2]!tbl_Forecast,MATCH($D$8&amp;$C17&amp;$D$7,[2]!rng_ForecastRowLookup,0),MATCH(O$11,[2]!rng_ForecastColumnLookup,0))</f>
        <v>0.44956380488737768</v>
      </c>
      <c r="P17" s="244">
        <f>INDEX([2]!tbl_Forecast,MATCH($D$8&amp;$C17&amp;$D$7,[2]!rng_ForecastRowLookup,0),MATCH(P$11,[2]!rng_ForecastColumnLookup,0))</f>
        <v>0.65213839834683018</v>
      </c>
      <c r="Q17" s="244">
        <f>INDEX([2]!tbl_Forecast,MATCH($D$8&amp;$C17&amp;$D$7,[2]!rng_ForecastRowLookup,0),MATCH(Q$11,[2]!rng_ForecastColumnLookup,0))</f>
        <v>0.73353807331773047</v>
      </c>
      <c r="R17" s="244">
        <f>INDEX([2]!tbl_Forecast,MATCH($D$8&amp;$C17&amp;$D$7,[2]!rng_ForecastRowLookup,0),MATCH(R$11,[2]!rng_ForecastColumnLookup,0))</f>
        <v>0.65560780242911365</v>
      </c>
      <c r="S17" s="244">
        <f>INDEX([2]!tbl_Forecast,MATCH($D$8&amp;$C17&amp;$D$7,[2]!rng_ForecastRowLookup,0),MATCH(S$11,[2]!rng_ForecastColumnLookup,0))</f>
        <v>0.64604928436358278</v>
      </c>
      <c r="T17" s="244">
        <f>INDEX([2]!tbl_Forecast,MATCH($D$8&amp;$C17&amp;$D$7,[2]!rng_ForecastRowLookup,0),MATCH(T$11,[2]!rng_ForecastColumnLookup,0))</f>
        <v>0.62178261445398098</v>
      </c>
      <c r="U17" s="244">
        <f>INDEX([2]!tbl_Forecast,MATCH($D$8&amp;$C17&amp;$D$7,[2]!rng_ForecastRowLookup,0),MATCH(U$11,[2]!rng_ForecastColumnLookup,0))</f>
        <v>0.52554853465709617</v>
      </c>
      <c r="V17" s="244">
        <f>INDEX([2]!tbl_Forecast,MATCH($D$8&amp;$C17&amp;$D$7,[2]!rng_ForecastRowLookup,0),MATCH(V$11,[2]!rng_ForecastColumnLookup,0))</f>
        <v>0.53266253778165396</v>
      </c>
      <c r="W17" s="244">
        <f>INDEX([2]!tbl_Forecast,MATCH($D$8&amp;$C17&amp;$D$7,[2]!rng_ForecastRowLookup,0),MATCH(W$11,[2]!rng_ForecastColumnLookup,0))</f>
        <v>0.50454130308386236</v>
      </c>
      <c r="X17" s="244">
        <f>INDEX([2]!tbl_Forecast,MATCH($D$8&amp;$C17&amp;$D$7,[2]!rng_ForecastRowLookup,0),MATCH(X$11,[2]!rng_ForecastColumnLookup,0))</f>
        <v>0.54553111610891503</v>
      </c>
      <c r="Y17" s="250">
        <f t="shared" si="3"/>
        <v>9.9291963984730724</v>
      </c>
      <c r="Z17" s="198"/>
      <c r="AA17" s="24"/>
      <c r="AB17" s="24"/>
      <c r="AC17" s="24"/>
    </row>
    <row r="18" spans="1:29">
      <c r="B18" s="24" t="s">
        <v>806</v>
      </c>
      <c r="C18" s="24" t="s">
        <v>809</v>
      </c>
      <c r="D18" s="24">
        <v>6</v>
      </c>
      <c r="E18" s="244">
        <f>INDEX([2]!tbl_Forecast,MATCH($D$8&amp;$C18&amp;$D$7,[2]!rng_ForecastRowLookup,0),MATCH(E$11,[2]!rng_ForecastColumnLookup,0))</f>
        <v>2.7275899469990224</v>
      </c>
      <c r="F18" s="244">
        <f>INDEX([2]!tbl_Forecast,MATCH($D$8&amp;$C18&amp;$D$7,[2]!rng_ForecastRowLookup,0),MATCH(F$11,[2]!rng_ForecastColumnLookup,0))</f>
        <v>2.2451802625726844</v>
      </c>
      <c r="G18" s="244">
        <f>INDEX([2]!tbl_Forecast,MATCH($D$8&amp;$C18&amp;$D$7,[2]!rng_ForecastRowLookup,0),MATCH(G$11,[2]!rng_ForecastColumnLookup,0))</f>
        <v>1.3846551620328988</v>
      </c>
      <c r="H18" s="244">
        <f>INDEX([2]!tbl_Forecast,MATCH($D$8&amp;$C18&amp;$D$7,[2]!rng_ForecastRowLookup,0),MATCH(H$11,[2]!rng_ForecastColumnLookup,0))</f>
        <v>1.414332931216091</v>
      </c>
      <c r="I18" s="244">
        <f>INDEX([2]!tbl_Forecast,MATCH($D$8&amp;$C18&amp;$D$7,[2]!rng_ForecastRowLookup,0),MATCH(I$11,[2]!rng_ForecastColumnLookup,0))</f>
        <v>1.3048976182463843</v>
      </c>
      <c r="J18" s="244">
        <f>INDEX([2]!tbl_Forecast,MATCH($D$8&amp;$C18&amp;$D$7,[2]!rng_ForecastRowLookup,0),MATCH(J$11,[2]!rng_ForecastColumnLookup,0))</f>
        <v>1.1035456427042536</v>
      </c>
      <c r="K18" s="244">
        <f>INDEX([2]!tbl_Forecast,MATCH($D$8&amp;$C18&amp;$D$7,[2]!rng_ForecastRowLookup,0),MATCH(K$11,[2]!rng_ForecastColumnLookup,0))</f>
        <v>1.0932193385059683</v>
      </c>
      <c r="L18" s="244">
        <f>INDEX([2]!tbl_Forecast,MATCH($D$8&amp;$C18&amp;$D$7,[2]!rng_ForecastRowLookup,0),MATCH(L$11,[2]!rng_ForecastColumnLookup,0))</f>
        <v>1.0602010304011045</v>
      </c>
      <c r="M18" s="244">
        <f>INDEX([2]!tbl_Forecast,MATCH($D$8&amp;$C18&amp;$D$7,[2]!rng_ForecastRowLookup,0),MATCH(M$11,[2]!rng_ForecastColumnLookup,0))</f>
        <v>1.3687417218066935</v>
      </c>
      <c r="N18" s="244">
        <f>INDEX([2]!tbl_Forecast,MATCH($D$8&amp;$C18&amp;$D$7,[2]!rng_ForecastRowLookup,0),MATCH(N$11,[2]!rng_ForecastColumnLookup,0))</f>
        <v>1.6102119957699914</v>
      </c>
      <c r="O18" s="244">
        <f>INDEX([2]!tbl_Forecast,MATCH($D$8&amp;$C18&amp;$D$7,[2]!rng_ForecastRowLookup,0),MATCH(O$11,[2]!rng_ForecastColumnLookup,0))</f>
        <v>1.7014476793012303</v>
      </c>
      <c r="P18" s="244">
        <f>INDEX([2]!tbl_Forecast,MATCH($D$8&amp;$C18&amp;$D$7,[2]!rng_ForecastRowLookup,0),MATCH(P$11,[2]!rng_ForecastColumnLookup,0))</f>
        <v>2.4475448442766612</v>
      </c>
      <c r="Q18" s="244">
        <f>INDEX([2]!tbl_Forecast,MATCH($D$8&amp;$C18&amp;$D$7,[2]!rng_ForecastRowLookup,0),MATCH(Q$11,[2]!rng_ForecastColumnLookup,0))</f>
        <v>2.7642584104961641</v>
      </c>
      <c r="R18" s="244">
        <f>INDEX([2]!tbl_Forecast,MATCH($D$8&amp;$C18&amp;$D$7,[2]!rng_ForecastRowLookup,0),MATCH(R$11,[2]!rng_ForecastColumnLookup,0))</f>
        <v>2.4645092385842489</v>
      </c>
      <c r="S18" s="244">
        <f>INDEX([2]!tbl_Forecast,MATCH($D$8&amp;$C18&amp;$D$7,[2]!rng_ForecastRowLookup,0),MATCH(S$11,[2]!rng_ForecastColumnLookup,0))</f>
        <v>2.435211674558635</v>
      </c>
      <c r="T18" s="244">
        <f>INDEX([2]!tbl_Forecast,MATCH($D$8&amp;$C18&amp;$D$7,[2]!rng_ForecastRowLookup,0),MATCH(T$11,[2]!rng_ForecastColumnLookup,0))</f>
        <v>2.3436666024455817</v>
      </c>
      <c r="U18" s="244">
        <f>INDEX([2]!tbl_Forecast,MATCH($D$8&amp;$C18&amp;$D$7,[2]!rng_ForecastRowLookup,0),MATCH(U$11,[2]!rng_ForecastColumnLookup,0))</f>
        <v>1.9970991421399598</v>
      </c>
      <c r="V18" s="244">
        <f>INDEX([2]!tbl_Forecast,MATCH($D$8&amp;$C18&amp;$D$7,[2]!rng_ForecastRowLookup,0),MATCH(V$11,[2]!rng_ForecastColumnLookup,0))</f>
        <v>2.0220850932468024</v>
      </c>
      <c r="W18" s="244">
        <f>INDEX([2]!tbl_Forecast,MATCH($D$8&amp;$C18&amp;$D$7,[2]!rng_ForecastRowLookup,0),MATCH(W$11,[2]!rng_ForecastColumnLookup,0))</f>
        <v>1.9074632582746243</v>
      </c>
      <c r="X18" s="244">
        <f>INDEX([2]!tbl_Forecast,MATCH($D$8&amp;$C18&amp;$D$7,[2]!rng_ForecastRowLookup,0),MATCH(X$11,[2]!rng_ForecastColumnLookup,0))</f>
        <v>2.0633846520749657</v>
      </c>
      <c r="Y18" s="250">
        <f t="shared" si="3"/>
        <v>37.459246245653958</v>
      </c>
      <c r="Z18" s="198"/>
      <c r="AA18" s="24"/>
      <c r="AB18" s="24"/>
      <c r="AC18" s="24"/>
    </row>
    <row r="19" spans="1:29">
      <c r="B19" s="24" t="s">
        <v>806</v>
      </c>
      <c r="C19" s="24" t="s">
        <v>810</v>
      </c>
      <c r="D19" s="24">
        <v>7</v>
      </c>
      <c r="E19" s="244">
        <f>INDEX([2]!tbl_Forecast,MATCH($D$8&amp;$C19&amp;$D$7,[2]!rng_ForecastRowLookup,0),MATCH(E$11,[2]!rng_ForecastColumnLookup,0))</f>
        <v>0.86249938561661099</v>
      </c>
      <c r="F19" s="244">
        <f>INDEX([2]!tbl_Forecast,MATCH($D$8&amp;$C19&amp;$D$7,[2]!rng_ForecastRowLookup,0),MATCH(F$11,[2]!rng_ForecastColumnLookup,0))</f>
        <v>0.71243811393533818</v>
      </c>
      <c r="G19" s="244">
        <f>INDEX([2]!tbl_Forecast,MATCH($D$8&amp;$C19&amp;$D$7,[2]!rng_ForecastRowLookup,0),MATCH(G$11,[2]!rng_ForecastColumnLookup,0))</f>
        <v>0.43988135050703958</v>
      </c>
      <c r="H19" s="244">
        <f>INDEX([2]!tbl_Forecast,MATCH($D$8&amp;$C19&amp;$D$7,[2]!rng_ForecastRowLookup,0),MATCH(H$11,[2]!rng_ForecastColumnLookup,0))</f>
        <v>0.44879648252082133</v>
      </c>
      <c r="I19" s="244">
        <f>INDEX([2]!tbl_Forecast,MATCH($D$8&amp;$C19&amp;$D$7,[2]!rng_ForecastRowLookup,0),MATCH(I$11,[2]!rng_ForecastColumnLookup,0))</f>
        <v>0.41374173801952452</v>
      </c>
      <c r="J19" s="244">
        <f>INDEX([2]!tbl_Forecast,MATCH($D$8&amp;$C19&amp;$D$7,[2]!rng_ForecastRowLookup,0),MATCH(J$11,[2]!rng_ForecastColumnLookup,0))</f>
        <v>0.34301620014224921</v>
      </c>
      <c r="K19" s="244">
        <f>INDEX([2]!tbl_Forecast,MATCH($D$8&amp;$C19&amp;$D$7,[2]!rng_ForecastRowLookup,0),MATCH(K$11,[2]!rng_ForecastColumnLookup,0))</f>
        <v>0.33946657261656726</v>
      </c>
      <c r="L19" s="244">
        <f>INDEX([2]!tbl_Forecast,MATCH($D$8&amp;$C19&amp;$D$7,[2]!rng_ForecastRowLookup,0),MATCH(L$11,[2]!rng_ForecastColumnLookup,0))</f>
        <v>0.32965754978673117</v>
      </c>
      <c r="M19" s="244">
        <f>INDEX([2]!tbl_Forecast,MATCH($D$8&amp;$C19&amp;$D$7,[2]!rng_ForecastRowLookup,0),MATCH(M$11,[2]!rng_ForecastColumnLookup,0))</f>
        <v>0.43689232903555525</v>
      </c>
      <c r="N19" s="244">
        <f>INDEX([2]!tbl_Forecast,MATCH($D$8&amp;$C19&amp;$D$7,[2]!rng_ForecastRowLookup,0),MATCH(N$11,[2]!rng_ForecastColumnLookup,0))</f>
        <v>0.51886957722704219</v>
      </c>
      <c r="O19" s="244">
        <f>INDEX([2]!tbl_Forecast,MATCH($D$8&amp;$C19&amp;$D$7,[2]!rng_ForecastRowLookup,0),MATCH(O$11,[2]!rng_ForecastColumnLookup,0))</f>
        <v>0.54817313334918127</v>
      </c>
      <c r="P19" s="244">
        <f>INDEX([2]!tbl_Forecast,MATCH($D$8&amp;$C19&amp;$D$7,[2]!rng_ForecastRowLookup,0),MATCH(P$11,[2]!rng_ForecastColumnLookup,0))</f>
        <v>0.77969532117377649</v>
      </c>
      <c r="Q19" s="244">
        <f>INDEX([2]!tbl_Forecast,MATCH($D$8&amp;$C19&amp;$D$7,[2]!rng_ForecastRowLookup,0),MATCH(Q$11,[2]!rng_ForecastColumnLookup,0))</f>
        <v>0.87858644381951334</v>
      </c>
      <c r="R19" s="244">
        <f>INDEX([2]!tbl_Forecast,MATCH($D$8&amp;$C19&amp;$D$7,[2]!rng_ForecastRowLookup,0),MATCH(R$11,[2]!rng_ForecastColumnLookup,0))</f>
        <v>0.78420074698109388</v>
      </c>
      <c r="S19" s="244">
        <f>INDEX([2]!tbl_Forecast,MATCH($D$8&amp;$C19&amp;$D$7,[2]!rng_ForecastRowLookup,0),MATCH(S$11,[2]!rng_ForecastColumnLookup,0))</f>
        <v>0.77728841592354081</v>
      </c>
      <c r="T19" s="244">
        <f>INDEX([2]!tbl_Forecast,MATCH($D$8&amp;$C19&amp;$D$7,[2]!rng_ForecastRowLookup,0),MATCH(T$11,[2]!rng_ForecastColumnLookup,0))</f>
        <v>0.74886674252534069</v>
      </c>
      <c r="U19" s="244">
        <f>INDEX([2]!tbl_Forecast,MATCH($D$8&amp;$C19&amp;$D$7,[2]!rng_ForecastRowLookup,0),MATCH(U$11,[2]!rng_ForecastColumnLookup,0))</f>
        <v>0.63964179951326661</v>
      </c>
      <c r="V19" s="244">
        <f>INDEX([2]!tbl_Forecast,MATCH($D$8&amp;$C19&amp;$D$7,[2]!rng_ForecastRowLookup,0),MATCH(V$11,[2]!rng_ForecastColumnLookup,0))</f>
        <v>0.64714740319049269</v>
      </c>
      <c r="W19" s="244">
        <f>INDEX([2]!tbl_Forecast,MATCH($D$8&amp;$C19&amp;$D$7,[2]!rng_ForecastRowLookup,0),MATCH(W$11,[2]!rng_ForecastColumnLookup,0))</f>
        <v>0.61166389038687663</v>
      </c>
      <c r="X19" s="244">
        <f>INDEX([2]!tbl_Forecast,MATCH($D$8&amp;$C19&amp;$D$7,[2]!rng_ForecastRowLookup,0),MATCH(X$11,[2]!rng_ForecastColumnLookup,0))</f>
        <v>0.66242443593788758</v>
      </c>
      <c r="Y19" s="250">
        <f t="shared" si="3"/>
        <v>11.92294763220845</v>
      </c>
      <c r="Z19" s="198"/>
      <c r="AA19" s="24"/>
      <c r="AB19" s="24"/>
      <c r="AC19" s="24"/>
    </row>
    <row r="20" spans="1:29">
      <c r="B20" s="24" t="s">
        <v>811</v>
      </c>
      <c r="C20" s="24" t="s">
        <v>103</v>
      </c>
      <c r="D20" s="24">
        <v>8</v>
      </c>
      <c r="E20" s="244">
        <f>INDEX([2]!tbl_Forecast,MATCH($D$8&amp;$C20&amp;$D$7,[2]!rng_ForecastRowLookup,0),MATCH(E$11,[2]!rng_ForecastColumnLookup,0))</f>
        <v>0.49337113702797691</v>
      </c>
      <c r="F20" s="244">
        <f>INDEX([2]!tbl_Forecast,MATCH($D$8&amp;$C20&amp;$D$7,[2]!rng_ForecastRowLookup,0),MATCH(F$11,[2]!rng_ForecastColumnLookup,0))</f>
        <v>1.1029723159217257</v>
      </c>
      <c r="G20" s="244">
        <f>INDEX([2]!tbl_Forecast,MATCH($D$8&amp;$C20&amp;$D$7,[2]!rng_ForecastRowLookup,0),MATCH(G$11,[2]!rng_ForecastColumnLookup,0))</f>
        <v>0.94992456965043459</v>
      </c>
      <c r="H20" s="244">
        <f>INDEX([2]!tbl_Forecast,MATCH($D$8&amp;$C20&amp;$D$7,[2]!rng_ForecastRowLookup,0),MATCH(H$11,[2]!rng_ForecastColumnLookup,0))</f>
        <v>0.71720701164062661</v>
      </c>
      <c r="I20" s="244">
        <f>INDEX([2]!tbl_Forecast,MATCH($D$8&amp;$C20&amp;$D$7,[2]!rng_ForecastRowLookup,0),MATCH(I$11,[2]!rng_ForecastColumnLookup,0))</f>
        <v>0.7442281187428561</v>
      </c>
      <c r="J20" s="244">
        <f>INDEX([2]!tbl_Forecast,MATCH($D$8&amp;$C20&amp;$D$7,[2]!rng_ForecastRowLookup,0),MATCH(J$11,[2]!rng_ForecastColumnLookup,0))</f>
        <v>0.85140099810585501</v>
      </c>
      <c r="K20" s="244">
        <f>INDEX([2]!tbl_Forecast,MATCH($D$8&amp;$C20&amp;$D$7,[2]!rng_ForecastRowLookup,0),MATCH(K$11,[2]!rng_ForecastColumnLookup,0))</f>
        <v>0.99139466996200198</v>
      </c>
      <c r="L20" s="244">
        <f>INDEX([2]!tbl_Forecast,MATCH($D$8&amp;$C20&amp;$D$7,[2]!rng_ForecastRowLookup,0),MATCH(L$11,[2]!rng_ForecastColumnLookup,0))</f>
        <v>1.5014629353162949</v>
      </c>
      <c r="M20" s="244">
        <f>INDEX([2]!tbl_Forecast,MATCH($D$8&amp;$C20&amp;$D$7,[2]!rng_ForecastRowLookup,0),MATCH(M$11,[2]!rng_ForecastColumnLookup,0))</f>
        <v>1.8697826256608596</v>
      </c>
      <c r="N20" s="244">
        <f>INDEX([2]!tbl_Forecast,MATCH($D$8&amp;$C20&amp;$D$7,[2]!rng_ForecastRowLookup,0),MATCH(N$11,[2]!rng_ForecastColumnLookup,0))</f>
        <v>1.6452707482432332</v>
      </c>
      <c r="O20" s="244">
        <f>INDEX([2]!tbl_Forecast,MATCH($D$8&amp;$C20&amp;$D$7,[2]!rng_ForecastRowLookup,0),MATCH(O$11,[2]!rng_ForecastColumnLookup,0))</f>
        <v>1.6753181172445872</v>
      </c>
      <c r="P20" s="244">
        <f>INDEX([2]!tbl_Forecast,MATCH($D$8&amp;$C20&amp;$D$7,[2]!rng_ForecastRowLookup,0),MATCH(P$11,[2]!rng_ForecastColumnLookup,0))</f>
        <v>1.7943041099264481</v>
      </c>
      <c r="Q20" s="244">
        <f>INDEX([2]!tbl_Forecast,MATCH($D$8&amp;$C20&amp;$D$7,[2]!rng_ForecastRowLookup,0),MATCH(Q$11,[2]!rng_ForecastColumnLookup,0))</f>
        <v>1.8624299937819393</v>
      </c>
      <c r="R20" s="244">
        <f>INDEX([2]!tbl_Forecast,MATCH($D$8&amp;$C20&amp;$D$7,[2]!rng_ForecastRowLookup,0),MATCH(R$11,[2]!rng_ForecastColumnLookup,0))</f>
        <v>1.7489264522150836</v>
      </c>
      <c r="S20" s="244">
        <f>INDEX([2]!tbl_Forecast,MATCH($D$8&amp;$C20&amp;$D$7,[2]!rng_ForecastRowLookup,0),MATCH(S$11,[2]!rng_ForecastColumnLookup,0))</f>
        <v>1.7975598556031414</v>
      </c>
      <c r="T20" s="244">
        <f>INDEX([2]!tbl_Forecast,MATCH($D$8&amp;$C20&amp;$D$7,[2]!rng_ForecastRowLookup,0),MATCH(T$11,[2]!rng_ForecastColumnLookup,0))</f>
        <v>1.6195220459723754</v>
      </c>
      <c r="U20" s="244">
        <f>INDEX([2]!tbl_Forecast,MATCH($D$8&amp;$C20&amp;$D$7,[2]!rng_ForecastRowLookup,0),MATCH(U$11,[2]!rng_ForecastColumnLookup,0))</f>
        <v>1.8221433074925411</v>
      </c>
      <c r="V20" s="244">
        <f>INDEX([2]!tbl_Forecast,MATCH($D$8&amp;$C20&amp;$D$7,[2]!rng_ForecastRowLookup,0),MATCH(V$11,[2]!rng_ForecastColumnLookup,0))</f>
        <v>1.6336676691608698</v>
      </c>
      <c r="W20" s="244">
        <f>INDEX([2]!tbl_Forecast,MATCH($D$8&amp;$C20&amp;$D$7,[2]!rng_ForecastRowLookup,0),MATCH(W$11,[2]!rng_ForecastColumnLookup,0))</f>
        <v>1.7826242149357872</v>
      </c>
      <c r="X20" s="244">
        <f>INDEX([2]!tbl_Forecast,MATCH($D$8&amp;$C20&amp;$D$7,[2]!rng_ForecastRowLookup,0),MATCH(X$11,[2]!rng_ForecastColumnLookup,0))</f>
        <v>1.6891002859244486</v>
      </c>
      <c r="Y20" s="250">
        <f t="shared" si="3"/>
        <v>28.292611182529082</v>
      </c>
      <c r="Z20" s="198"/>
      <c r="AA20" s="24"/>
      <c r="AB20" s="24"/>
      <c r="AC20" s="24"/>
    </row>
    <row r="21" spans="1:29">
      <c r="B21" s="24" t="s">
        <v>812</v>
      </c>
      <c r="C21" s="24" t="s">
        <v>813</v>
      </c>
      <c r="D21" s="280">
        <v>9</v>
      </c>
      <c r="E21" s="244">
        <f>INDEX([2]!tbl_Forecast,MATCH($D$8&amp;$C21&amp;$D$7,[2]!rng_ForecastRowLookup,0),MATCH(E$11,[2]!rng_ForecastColumnLookup,0))</f>
        <v>0.2800209986196866</v>
      </c>
      <c r="F21" s="244">
        <f>INDEX([2]!tbl_Forecast,MATCH($D$8&amp;$C21&amp;$D$7,[2]!rng_ForecastRowLookup,0),MATCH(F$11,[2]!rng_ForecastColumnLookup,0))</f>
        <v>0.29719871383536939</v>
      </c>
      <c r="G21" s="244">
        <f>INDEX([2]!tbl_Forecast,MATCH($D$8&amp;$C21&amp;$D$7,[2]!rng_ForecastRowLookup,0),MATCH(G$11,[2]!rng_ForecastColumnLookup,0))</f>
        <v>0.58203115602335975</v>
      </c>
      <c r="H21" s="244">
        <f>INDEX([2]!tbl_Forecast,MATCH($D$8&amp;$C21&amp;$D$7,[2]!rng_ForecastRowLookup,0),MATCH(H$11,[2]!rng_ForecastColumnLookup,0))</f>
        <v>0.83189457735737737</v>
      </c>
      <c r="I21" s="244">
        <f>INDEX([2]!tbl_Forecast,MATCH($D$8&amp;$C21&amp;$D$7,[2]!rng_ForecastRowLookup,0),MATCH(I$11,[2]!rng_ForecastColumnLookup,0))</f>
        <v>0.66610454718876777</v>
      </c>
      <c r="J21" s="244">
        <f>INDEX([2]!tbl_Forecast,MATCH($D$8&amp;$C21&amp;$D$7,[2]!rng_ForecastRowLookup,0),MATCH(J$11,[2]!rng_ForecastColumnLookup,0))</f>
        <v>0.73648247778559484</v>
      </c>
      <c r="K21" s="244">
        <f>INDEX([2]!tbl_Forecast,MATCH($D$8&amp;$C21&amp;$D$7,[2]!rng_ForecastRowLookup,0),MATCH(K$11,[2]!rng_ForecastColumnLookup,0))</f>
        <v>0.64334185638367225</v>
      </c>
      <c r="L21" s="244">
        <f>INDEX([2]!tbl_Forecast,MATCH($D$8&amp;$C21&amp;$D$7,[2]!rng_ForecastRowLookup,0),MATCH(L$11,[2]!rng_ForecastColumnLookup,0))</f>
        <v>0.97289424291238524</v>
      </c>
      <c r="M21" s="244">
        <f>INDEX([2]!tbl_Forecast,MATCH($D$8&amp;$C21&amp;$D$7,[2]!rng_ForecastRowLookup,0),MATCH(M$11,[2]!rng_ForecastColumnLookup,0))</f>
        <v>1.1820978013224126</v>
      </c>
      <c r="N21" s="244">
        <f>INDEX([2]!tbl_Forecast,MATCH($D$8&amp;$C21&amp;$D$7,[2]!rng_ForecastRowLookup,0),MATCH(N$11,[2]!rng_ForecastColumnLookup,0))</f>
        <v>1.1785313924254113</v>
      </c>
      <c r="O21" s="244">
        <f>INDEX([2]!tbl_Forecast,MATCH($D$8&amp;$C21&amp;$D$7,[2]!rng_ForecastRowLookup,0),MATCH(O$11,[2]!rng_ForecastColumnLookup,0))</f>
        <v>1.2952038876416079</v>
      </c>
      <c r="P21" s="244">
        <f>INDEX([2]!tbl_Forecast,MATCH($D$8&amp;$C21&amp;$D$7,[2]!rng_ForecastRowLookup,0),MATCH(P$11,[2]!rng_ForecastColumnLookup,0))</f>
        <v>1.3229243736280945</v>
      </c>
      <c r="Q21" s="244">
        <f>INDEX([2]!tbl_Forecast,MATCH($D$8&amp;$C21&amp;$D$7,[2]!rng_ForecastRowLookup,0),MATCH(Q$11,[2]!rng_ForecastColumnLookup,0))</f>
        <v>1.422909455419719</v>
      </c>
      <c r="R21" s="244">
        <f>INDEX([2]!tbl_Forecast,MATCH($D$8&amp;$C21&amp;$D$7,[2]!rng_ForecastRowLookup,0),MATCH(R$11,[2]!rng_ForecastColumnLookup,0))</f>
        <v>1.4430187909981058</v>
      </c>
      <c r="S21" s="244">
        <f>INDEX([2]!tbl_Forecast,MATCH($D$8&amp;$C21&amp;$D$7,[2]!rng_ForecastRowLookup,0),MATCH(S$11,[2]!rng_ForecastColumnLookup,0))</f>
        <v>1.2923971403480323</v>
      </c>
      <c r="T21" s="244">
        <f>INDEX([2]!tbl_Forecast,MATCH($D$8&amp;$C21&amp;$D$7,[2]!rng_ForecastRowLookup,0),MATCH(T$11,[2]!rng_ForecastColumnLookup,0))</f>
        <v>1.1785050733908478</v>
      </c>
      <c r="U21" s="244">
        <f>INDEX([2]!tbl_Forecast,MATCH($D$8&amp;$C21&amp;$D$7,[2]!rng_ForecastRowLookup,0),MATCH(U$11,[2]!rng_ForecastColumnLookup,0))</f>
        <v>1.3433889489273994</v>
      </c>
      <c r="V21" s="244">
        <f>INDEX([2]!tbl_Forecast,MATCH($D$8&amp;$C21&amp;$D$7,[2]!rng_ForecastRowLookup,0),MATCH(V$11,[2]!rng_ForecastColumnLookup,0))</f>
        <v>1.2265545990556588</v>
      </c>
      <c r="W21" s="244">
        <f>INDEX([2]!tbl_Forecast,MATCH($D$8&amp;$C21&amp;$D$7,[2]!rng_ForecastRowLookup,0),MATCH(W$11,[2]!rng_ForecastColumnLookup,0))</f>
        <v>1.2571458643971927</v>
      </c>
      <c r="X21" s="244">
        <f>INDEX([2]!tbl_Forecast,MATCH($D$8&amp;$C21&amp;$D$7,[2]!rng_ForecastRowLookup,0),MATCH(X$11,[2]!rng_ForecastColumnLookup,0))</f>
        <v>1.2979913333963795</v>
      </c>
      <c r="Y21" s="250">
        <f t="shared" si="3"/>
        <v>20.450637231057076</v>
      </c>
      <c r="Z21" s="198"/>
      <c r="AA21" s="24"/>
      <c r="AB21" s="24"/>
      <c r="AC21" s="24"/>
    </row>
    <row r="22" spans="1:29">
      <c r="B22" s="24" t="s">
        <v>814</v>
      </c>
      <c r="C22" s="24" t="s">
        <v>108</v>
      </c>
      <c r="D22" s="280">
        <v>10</v>
      </c>
      <c r="E22" s="244">
        <f>INDEX([2]!tbl_Forecast,MATCH($D$8&amp;$C22&amp;$D$7,[2]!rng_ForecastRowLookup,0),MATCH(E$11,[2]!rng_ForecastColumnLookup,0))</f>
        <v>7.6586609772993617</v>
      </c>
      <c r="F22" s="244">
        <f>INDEX([2]!tbl_Forecast,MATCH($D$8&amp;$C22&amp;$D$7,[2]!rng_ForecastRowLookup,0),MATCH(F$11,[2]!rng_ForecastColumnLookup,0))</f>
        <v>7.5774552212762423</v>
      </c>
      <c r="G22" s="244">
        <f>INDEX([2]!tbl_Forecast,MATCH($D$8&amp;$C22&amp;$D$7,[2]!rng_ForecastRowLookup,0),MATCH(G$11,[2]!rng_ForecastColumnLookup,0))</f>
        <v>5.6453939930651131</v>
      </c>
      <c r="H22" s="244">
        <f>INDEX([2]!tbl_Forecast,MATCH($D$8&amp;$C22&amp;$D$7,[2]!rng_ForecastRowLookup,0),MATCH(H$11,[2]!rng_ForecastColumnLookup,0))</f>
        <v>4.800793231843981</v>
      </c>
      <c r="I22" s="244">
        <f>INDEX([2]!tbl_Forecast,MATCH($D$8&amp;$C22&amp;$D$7,[2]!rng_ForecastRowLookup,0),MATCH(I$11,[2]!rng_ForecastColumnLookup,0))</f>
        <v>3.5881391412601156</v>
      </c>
      <c r="J22" s="244">
        <f>INDEX([2]!tbl_Forecast,MATCH($D$8&amp;$C22&amp;$D$7,[2]!rng_ForecastRowLookup,0),MATCH(J$11,[2]!rng_ForecastColumnLookup,0))</f>
        <v>3.1529819033971824</v>
      </c>
      <c r="K22" s="244">
        <f>INDEX([2]!tbl_Forecast,MATCH($D$8&amp;$C22&amp;$D$7,[2]!rng_ForecastRowLookup,0),MATCH(K$11,[2]!rng_ForecastColumnLookup,0))</f>
        <v>4.0691744688008198</v>
      </c>
      <c r="L22" s="244">
        <f>INDEX([2]!tbl_Forecast,MATCH($D$8&amp;$C22&amp;$D$7,[2]!rng_ForecastRowLookup,0),MATCH(L$11,[2]!rng_ForecastColumnLookup,0))</f>
        <v>4.5400289951106014</v>
      </c>
      <c r="M22" s="244">
        <f>INDEX([2]!tbl_Forecast,MATCH($D$8&amp;$C22&amp;$D$7,[2]!rng_ForecastRowLookup,0),MATCH(M$11,[2]!rng_ForecastColumnLookup,0))</f>
        <v>4.8555474587969272</v>
      </c>
      <c r="N22" s="244">
        <f>INDEX([2]!tbl_Forecast,MATCH($D$8&amp;$C22&amp;$D$7,[2]!rng_ForecastRowLookup,0),MATCH(N$11,[2]!rng_ForecastColumnLookup,0))</f>
        <v>4.6966359797376018</v>
      </c>
      <c r="O22" s="244">
        <f>INDEX([2]!tbl_Forecast,MATCH($D$8&amp;$C22&amp;$D$7,[2]!rng_ForecastRowLookup,0),MATCH(O$11,[2]!rng_ForecastColumnLookup,0))</f>
        <v>4.8557170740974245</v>
      </c>
      <c r="P22" s="244">
        <f>INDEX([2]!tbl_Forecast,MATCH($D$8&amp;$C22&amp;$D$7,[2]!rng_ForecastRowLookup,0),MATCH(P$11,[2]!rng_ForecastColumnLookup,0))</f>
        <v>4.451750056135543</v>
      </c>
      <c r="Q22" s="244">
        <f>INDEX([2]!tbl_Forecast,MATCH($D$8&amp;$C22&amp;$D$7,[2]!rng_ForecastRowLookup,0),MATCH(Q$11,[2]!rng_ForecastColumnLookup,0))</f>
        <v>3.8657972013430704</v>
      </c>
      <c r="R22" s="244">
        <f>INDEX([2]!tbl_Forecast,MATCH($D$8&amp;$C22&amp;$D$7,[2]!rng_ForecastRowLookup,0),MATCH(R$11,[2]!rng_ForecastColumnLookup,0))</f>
        <v>3.9817445148405937</v>
      </c>
      <c r="S22" s="244">
        <f>INDEX([2]!tbl_Forecast,MATCH($D$8&amp;$C22&amp;$D$7,[2]!rng_ForecastRowLookup,0),MATCH(S$11,[2]!rng_ForecastColumnLookup,0))</f>
        <v>3.9951806948216846</v>
      </c>
      <c r="T22" s="244">
        <f>INDEX([2]!tbl_Forecast,MATCH($D$8&amp;$C22&amp;$D$7,[2]!rng_ForecastRowLookup,0),MATCH(T$11,[2]!rng_ForecastColumnLookup,0))</f>
        <v>4.4738164673360306</v>
      </c>
      <c r="U22" s="244">
        <f>INDEX([2]!tbl_Forecast,MATCH($D$8&amp;$C22&amp;$D$7,[2]!rng_ForecastRowLookup,0),MATCH(U$11,[2]!rng_ForecastColumnLookup,0))</f>
        <v>4.2737219736102183</v>
      </c>
      <c r="V22" s="244">
        <f>INDEX([2]!tbl_Forecast,MATCH($D$8&amp;$C22&amp;$D$7,[2]!rng_ForecastRowLookup,0),MATCH(V$11,[2]!rng_ForecastColumnLookup,0))</f>
        <v>4.0870251812551333</v>
      </c>
      <c r="W22" s="244">
        <f>INDEX([2]!tbl_Forecast,MATCH($D$8&amp;$C22&amp;$D$7,[2]!rng_ForecastRowLookup,0),MATCH(W$11,[2]!rng_ForecastColumnLookup,0))</f>
        <v>4.137725578117939</v>
      </c>
      <c r="X22" s="244">
        <f>INDEX([2]!tbl_Forecast,MATCH($D$8&amp;$C22&amp;$D$7,[2]!rng_ForecastRowLookup,0),MATCH(X$11,[2]!rng_ForecastColumnLookup,0))</f>
        <v>3.6922064696454697</v>
      </c>
      <c r="Y22" s="250">
        <f t="shared" si="3"/>
        <v>92.399496581791055</v>
      </c>
      <c r="Z22" s="198"/>
      <c r="AA22" s="24"/>
      <c r="AB22" s="24"/>
      <c r="AC22" s="24"/>
    </row>
    <row r="23" spans="1:29">
      <c r="B23" s="24" t="s">
        <v>815</v>
      </c>
      <c r="C23" s="24" t="s">
        <v>816</v>
      </c>
      <c r="D23" s="24">
        <v>11</v>
      </c>
      <c r="E23" s="244">
        <f>INDEX([2]!tbl_Forecast,MATCH($D$8&amp;$C23&amp;$D$7,[2]!rng_ForecastRowLookup,0),MATCH(E$11,[2]!rng_ForecastColumnLookup,0))</f>
        <v>0.38924897939746522</v>
      </c>
      <c r="F23" s="244">
        <f>INDEX([2]!tbl_Forecast,MATCH($D$8&amp;$C23&amp;$D$7,[2]!rng_ForecastRowLookup,0),MATCH(F$11,[2]!rng_ForecastColumnLookup,0))</f>
        <v>0.34341311895347121</v>
      </c>
      <c r="G23" s="244">
        <f>INDEX([2]!tbl_Forecast,MATCH($D$8&amp;$C23&amp;$D$7,[2]!rng_ForecastRowLookup,0),MATCH(G$11,[2]!rng_ForecastColumnLookup,0))</f>
        <v>0.29927348040561341</v>
      </c>
      <c r="H23" s="244">
        <f>INDEX([2]!tbl_Forecast,MATCH($D$8&amp;$C23&amp;$D$7,[2]!rng_ForecastRowLookup,0),MATCH(H$11,[2]!rng_ForecastColumnLookup,0))</f>
        <v>0.29688874456634085</v>
      </c>
      <c r="I23" s="244">
        <f>INDEX([2]!tbl_Forecast,MATCH($D$8&amp;$C23&amp;$D$7,[2]!rng_ForecastRowLookup,0),MATCH(I$11,[2]!rng_ForecastColumnLookup,0))</f>
        <v>0.29379933994281465</v>
      </c>
      <c r="J23" s="244">
        <f>INDEX([2]!tbl_Forecast,MATCH($D$8&amp;$C23&amp;$D$7,[2]!rng_ForecastRowLookup,0),MATCH(J$11,[2]!rng_ForecastColumnLookup,0))</f>
        <v>0.29041766271303127</v>
      </c>
      <c r="K23" s="244">
        <f>INDEX([2]!tbl_Forecast,MATCH($D$8&amp;$C23&amp;$D$7,[2]!rng_ForecastRowLookup,0),MATCH(K$11,[2]!rng_ForecastColumnLookup,0))</f>
        <v>0.28614144770449462</v>
      </c>
      <c r="L23" s="244">
        <f>INDEX([2]!tbl_Forecast,MATCH($D$8&amp;$C23&amp;$D$7,[2]!rng_ForecastRowLookup,0),MATCH(L$11,[2]!rng_ForecastColumnLookup,0))</f>
        <v>0.28163861967746157</v>
      </c>
      <c r="M23" s="244">
        <f>INDEX([2]!tbl_Forecast,MATCH($D$8&amp;$C23&amp;$D$7,[2]!rng_ForecastRowLookup,0),MATCH(M$11,[2]!rng_ForecastColumnLookup,0))</f>
        <v>0.27688800876616482</v>
      </c>
      <c r="N23" s="244">
        <f>INDEX([2]!tbl_Forecast,MATCH($D$8&amp;$C23&amp;$D$7,[2]!rng_ForecastRowLookup,0),MATCH(N$11,[2]!rng_ForecastColumnLookup,0))</f>
        <v>0.27357754310134663</v>
      </c>
      <c r="O23" s="244">
        <f>INDEX([2]!tbl_Forecast,MATCH($D$8&amp;$C23&amp;$D$7,[2]!rng_ForecastRowLookup,0),MATCH(O$11,[2]!rng_ForecastColumnLookup,0))</f>
        <v>0.27063184585003941</v>
      </c>
      <c r="P23" s="244">
        <f>INDEX([2]!tbl_Forecast,MATCH($D$8&amp;$C23&amp;$D$7,[2]!rng_ForecastRowLookup,0),MATCH(P$11,[2]!rng_ForecastColumnLookup,0))</f>
        <v>0.26801411864303953</v>
      </c>
      <c r="Q23" s="244">
        <f>INDEX([2]!tbl_Forecast,MATCH($D$8&amp;$C23&amp;$D$7,[2]!rng_ForecastRowLookup,0),MATCH(Q$11,[2]!rng_ForecastColumnLookup,0))</f>
        <v>0.26660240614409092</v>
      </c>
      <c r="R23" s="244">
        <f>INDEX([2]!tbl_Forecast,MATCH($D$8&amp;$C23&amp;$D$7,[2]!rng_ForecastRowLookup,0),MATCH(R$11,[2]!rng_ForecastColumnLookup,0))</f>
        <v>0.25138198684402913</v>
      </c>
      <c r="S23" s="244">
        <f>INDEX([2]!tbl_Forecast,MATCH($D$8&amp;$C23&amp;$D$7,[2]!rng_ForecastRowLookup,0),MATCH(S$11,[2]!rng_ForecastColumnLookup,0))</f>
        <v>0.26455339135243683</v>
      </c>
      <c r="T23" s="244">
        <f>INDEX([2]!tbl_Forecast,MATCH($D$8&amp;$C23&amp;$D$7,[2]!rng_ForecastRowLookup,0),MATCH(T$11,[2]!rng_ForecastColumnLookup,0))</f>
        <v>0.26299167309250365</v>
      </c>
      <c r="U23" s="244">
        <f>INDEX([2]!tbl_Forecast,MATCH($D$8&amp;$C23&amp;$D$7,[2]!rng_ForecastRowLookup,0),MATCH(U$11,[2]!rng_ForecastColumnLookup,0))</f>
        <v>0.26140909607327911</v>
      </c>
      <c r="V23" s="244">
        <f>INDEX([2]!tbl_Forecast,MATCH($D$8&amp;$C23&amp;$D$7,[2]!rng_ForecastRowLookup,0),MATCH(V$11,[2]!rng_ForecastColumnLookup,0))</f>
        <v>0.25947687815142023</v>
      </c>
      <c r="W23" s="244">
        <f>INDEX([2]!tbl_Forecast,MATCH($D$8&amp;$C23&amp;$D$7,[2]!rng_ForecastRowLookup,0),MATCH(W$11,[2]!rng_ForecastColumnLookup,0))</f>
        <v>0.25750619496776178</v>
      </c>
      <c r="X23" s="244">
        <f>INDEX([2]!tbl_Forecast,MATCH($D$8&amp;$C23&amp;$D$7,[2]!rng_ForecastRowLookup,0),MATCH(X$11,[2]!rng_ForecastColumnLookup,0))</f>
        <v>0.25562560804995926</v>
      </c>
      <c r="Y23" s="250">
        <f t="shared" si="3"/>
        <v>5.6494801443967644</v>
      </c>
      <c r="Z23" s="198"/>
      <c r="AA23" s="24"/>
      <c r="AB23" s="24"/>
      <c r="AC23" s="24"/>
    </row>
    <row r="24" spans="1:29">
      <c r="B24" s="24" t="s">
        <v>817</v>
      </c>
      <c r="C24" s="24" t="s">
        <v>818</v>
      </c>
      <c r="D24" s="24">
        <v>12</v>
      </c>
      <c r="E24" s="244">
        <f>INDEX([2]!tbl_Forecast,MATCH($D$8&amp;$C24&amp;$D$7,[2]!rng_ForecastRowLookup,0),MATCH(E$11,[2]!rng_ForecastColumnLookup,0))</f>
        <v>0.19765540078516197</v>
      </c>
      <c r="F24" s="244">
        <f>INDEX([2]!tbl_Forecast,MATCH($D$8&amp;$C24&amp;$D$7,[2]!rng_ForecastRowLookup,0),MATCH(F$11,[2]!rng_ForecastColumnLookup,0))</f>
        <v>0.18600542935034625</v>
      </c>
      <c r="G24" s="244">
        <f>INDEX([2]!tbl_Forecast,MATCH($D$8&amp;$C24&amp;$D$7,[2]!rng_ForecastRowLookup,0),MATCH(G$11,[2]!rng_ForecastColumnLookup,0))</f>
        <v>9.5760802585072302E-2</v>
      </c>
      <c r="H24" s="244">
        <f>INDEX([2]!tbl_Forecast,MATCH($D$8&amp;$C24&amp;$D$7,[2]!rng_ForecastRowLookup,0),MATCH(H$11,[2]!rng_ForecastColumnLookup,0))</f>
        <v>0.10062051473914659</v>
      </c>
      <c r="I24" s="244">
        <f>INDEX([2]!tbl_Forecast,MATCH($D$8&amp;$C24&amp;$D$7,[2]!rng_ForecastRowLookup,0),MATCH(I$11,[2]!rng_ForecastColumnLookup,0))</f>
        <v>8.5646792534183808E-2</v>
      </c>
      <c r="J24" s="244">
        <f>INDEX([2]!tbl_Forecast,MATCH($D$8&amp;$C24&amp;$D$7,[2]!rng_ForecastRowLookup,0),MATCH(J$11,[2]!rng_ForecastColumnLookup,0))</f>
        <v>6.5415041923045286E-2</v>
      </c>
      <c r="K24" s="244">
        <f>INDEX([2]!tbl_Forecast,MATCH($D$8&amp;$C24&amp;$D$7,[2]!rng_ForecastRowLookup,0),MATCH(K$11,[2]!rng_ForecastColumnLookup,0))</f>
        <v>5.7242996146950373E-2</v>
      </c>
      <c r="L24" s="244">
        <f>INDEX([2]!tbl_Forecast,MATCH($D$8&amp;$C24&amp;$D$7,[2]!rng_ForecastRowLookup,0),MATCH(L$11,[2]!rng_ForecastColumnLookup,0))</f>
        <v>5.5087150941189433E-2</v>
      </c>
      <c r="M24" s="244">
        <f>INDEX([2]!tbl_Forecast,MATCH($D$8&amp;$C24&amp;$D$7,[2]!rng_ForecastRowLookup,0),MATCH(M$11,[2]!rng_ForecastColumnLookup,0))</f>
        <v>7.3916214299540497E-2</v>
      </c>
      <c r="N24" s="244">
        <f>INDEX([2]!tbl_Forecast,MATCH($D$8&amp;$C24&amp;$D$7,[2]!rng_ForecastRowLookup,0),MATCH(N$11,[2]!rng_ForecastColumnLookup,0))</f>
        <v>9.2056169088318471E-2</v>
      </c>
      <c r="O24" s="244">
        <f>INDEX([2]!tbl_Forecast,MATCH($D$8&amp;$C24&amp;$D$7,[2]!rng_ForecastRowLookup,0),MATCH(O$11,[2]!rng_ForecastColumnLookup,0))</f>
        <v>0.10393709432109566</v>
      </c>
      <c r="P24" s="244">
        <f>INDEX([2]!tbl_Forecast,MATCH($D$8&amp;$C24&amp;$D$7,[2]!rng_ForecastRowLookup,0),MATCH(P$11,[2]!rng_ForecastColumnLookup,0))</f>
        <v>0.15172170448022598</v>
      </c>
      <c r="Q24" s="244">
        <f>INDEX([2]!tbl_Forecast,MATCH($D$8&amp;$C24&amp;$D$7,[2]!rng_ForecastRowLookup,0),MATCH(Q$11,[2]!rng_ForecastColumnLookup,0))</f>
        <v>0.15706997726929292</v>
      </c>
      <c r="R24" s="244">
        <f>INDEX([2]!tbl_Forecast,MATCH($D$8&amp;$C24&amp;$D$7,[2]!rng_ForecastRowLookup,0),MATCH(R$11,[2]!rng_ForecastColumnLookup,0))</f>
        <v>0.14510580631504899</v>
      </c>
      <c r="S24" s="244">
        <f>INDEX([2]!tbl_Forecast,MATCH($D$8&amp;$C24&amp;$D$7,[2]!rng_ForecastRowLookup,0),MATCH(S$11,[2]!rng_ForecastColumnLookup,0))</f>
        <v>0.15272706829792246</v>
      </c>
      <c r="T24" s="244">
        <f>INDEX([2]!tbl_Forecast,MATCH($D$8&amp;$C24&amp;$D$7,[2]!rng_ForecastRowLookup,0),MATCH(T$11,[2]!rng_ForecastColumnLookup,0))</f>
        <v>0.14104647748606622</v>
      </c>
      <c r="U24" s="244">
        <f>INDEX([2]!tbl_Forecast,MATCH($D$8&amp;$C24&amp;$D$7,[2]!rng_ForecastRowLookup,0),MATCH(U$11,[2]!rng_ForecastColumnLookup,0))</f>
        <v>0.11700741064540764</v>
      </c>
      <c r="V24" s="244">
        <f>INDEX([2]!tbl_Forecast,MATCH($D$8&amp;$C24&amp;$D$7,[2]!rng_ForecastRowLookup,0),MATCH(V$11,[2]!rng_ForecastColumnLookup,0))</f>
        <v>0.1200067315077773</v>
      </c>
      <c r="W24" s="244">
        <f>INDEX([2]!tbl_Forecast,MATCH($D$8&amp;$C24&amp;$D$7,[2]!rng_ForecastRowLookup,0),MATCH(W$11,[2]!rng_ForecastColumnLookup,0))</f>
        <v>0.11457442878633581</v>
      </c>
      <c r="X24" s="244">
        <f>INDEX([2]!tbl_Forecast,MATCH($D$8&amp;$C24&amp;$D$7,[2]!rng_ForecastRowLookup,0),MATCH(X$11,[2]!rng_ForecastColumnLookup,0))</f>
        <v>0.1211768182439132</v>
      </c>
      <c r="Y24" s="250">
        <f t="shared" si="3"/>
        <v>2.3337800297460412</v>
      </c>
      <c r="Z24" s="198"/>
      <c r="AA24" s="24"/>
      <c r="AB24" s="24"/>
      <c r="AC24" s="24"/>
    </row>
    <row r="25" spans="1:29">
      <c r="B25" s="24" t="s">
        <v>819</v>
      </c>
      <c r="C25" s="24" t="s">
        <v>118</v>
      </c>
      <c r="D25" s="24">
        <v>13</v>
      </c>
      <c r="E25" s="244">
        <f>INDEX([2]!tbl_Forecast,MATCH($D$8&amp;$C25&amp;$D$7,[2]!rng_ForecastRowLookup,0),MATCH(E$11,[2]!rng_ForecastColumnLookup,0))</f>
        <v>0.46894871790011039</v>
      </c>
      <c r="F25" s="244">
        <f>INDEX([2]!tbl_Forecast,MATCH($D$8&amp;$C25&amp;$D$7,[2]!rng_ForecastRowLookup,0),MATCH(F$11,[2]!rng_ForecastColumnLookup,0))</f>
        <v>0.47387410836125871</v>
      </c>
      <c r="G25" s="244">
        <f>INDEX([2]!tbl_Forecast,MATCH($D$8&amp;$C25&amp;$D$7,[2]!rng_ForecastRowLookup,0),MATCH(G$11,[2]!rng_ForecastColumnLookup,0))</f>
        <v>0.45144590813821411</v>
      </c>
      <c r="H25" s="244">
        <f>INDEX([2]!tbl_Forecast,MATCH($D$8&amp;$C25&amp;$D$7,[2]!rng_ForecastRowLookup,0),MATCH(H$11,[2]!rng_ForecastColumnLookup,0))</f>
        <v>0.4505136151455652</v>
      </c>
      <c r="I25" s="244">
        <f>INDEX([2]!tbl_Forecast,MATCH($D$8&amp;$C25&amp;$D$7,[2]!rng_ForecastRowLookup,0),MATCH(I$11,[2]!rng_ForecastColumnLookup,0))</f>
        <v>0.44778046039172248</v>
      </c>
      <c r="J25" s="244">
        <f>INDEX([2]!tbl_Forecast,MATCH($D$8&amp;$C25&amp;$D$7,[2]!rng_ForecastRowLookup,0),MATCH(J$11,[2]!rng_ForecastColumnLookup,0))</f>
        <v>0.44523396067124349</v>
      </c>
      <c r="K25" s="244">
        <f>INDEX([2]!tbl_Forecast,MATCH($D$8&amp;$C25&amp;$D$7,[2]!rng_ForecastRowLookup,0),MATCH(K$11,[2]!rng_ForecastColumnLookup,0))</f>
        <v>0.44273536313864043</v>
      </c>
      <c r="L25" s="244">
        <f>INDEX([2]!tbl_Forecast,MATCH($D$8&amp;$C25&amp;$D$7,[2]!rng_ForecastRowLookup,0),MATCH(L$11,[2]!rng_ForecastColumnLookup,0))</f>
        <v>0.4399078135546039</v>
      </c>
      <c r="M25" s="244">
        <f>INDEX([2]!tbl_Forecast,MATCH($D$8&amp;$C25&amp;$D$7,[2]!rng_ForecastRowLookup,0),MATCH(M$11,[2]!rng_ForecastColumnLookup,0))</f>
        <v>0.43708606600163591</v>
      </c>
      <c r="N25" s="244">
        <f>INDEX([2]!tbl_Forecast,MATCH($D$8&amp;$C25&amp;$D$7,[2]!rng_ForecastRowLookup,0),MATCH(N$11,[2]!rng_ForecastColumnLookup,0))</f>
        <v>0.43513915585550955</v>
      </c>
      <c r="O25" s="244">
        <f>INDEX([2]!tbl_Forecast,MATCH($D$8&amp;$C25&amp;$D$7,[2]!rng_ForecastRowLookup,0),MATCH(O$11,[2]!rng_ForecastColumnLookup,0))</f>
        <v>0.43580404899906589</v>
      </c>
      <c r="P25" s="244">
        <f>INDEX([2]!tbl_Forecast,MATCH($D$8&amp;$C25&amp;$D$7,[2]!rng_ForecastRowLookup,0),MATCH(P$11,[2]!rng_ForecastColumnLookup,0))</f>
        <v>0.59161866303702282</v>
      </c>
      <c r="Q25" s="244">
        <f>INDEX([2]!tbl_Forecast,MATCH($D$8&amp;$C25&amp;$D$7,[2]!rng_ForecastRowLookup,0),MATCH(Q$11,[2]!rng_ForecastColumnLookup,0))</f>
        <v>0.66467702134516005</v>
      </c>
      <c r="R25" s="244">
        <f>INDEX([2]!tbl_Forecast,MATCH($D$8&amp;$C25&amp;$D$7,[2]!rng_ForecastRowLookup,0),MATCH(R$11,[2]!rng_ForecastColumnLookup,0))</f>
        <v>0.65353995366480533</v>
      </c>
      <c r="S25" s="244">
        <f>INDEX([2]!tbl_Forecast,MATCH($D$8&amp;$C25&amp;$D$7,[2]!rng_ForecastRowLookup,0),MATCH(S$11,[2]!rng_ForecastColumnLookup,0))</f>
        <v>0.676060915960916</v>
      </c>
      <c r="T25" s="244">
        <f>INDEX([2]!tbl_Forecast,MATCH($D$8&amp;$C25&amp;$D$7,[2]!rng_ForecastRowLookup,0),MATCH(T$11,[2]!rng_ForecastColumnLookup,0))</f>
        <v>0.70559825286541389</v>
      </c>
      <c r="U25" s="244">
        <f>INDEX([2]!tbl_Forecast,MATCH($D$8&amp;$C25&amp;$D$7,[2]!rng_ForecastRowLookup,0),MATCH(U$11,[2]!rng_ForecastColumnLookup,0))</f>
        <v>0.63206878506691044</v>
      </c>
      <c r="V25" s="244">
        <f>INDEX([2]!tbl_Forecast,MATCH($D$8&amp;$C25&amp;$D$7,[2]!rng_ForecastRowLookup,0),MATCH(V$11,[2]!rng_ForecastColumnLookup,0))</f>
        <v>0.63726309269471215</v>
      </c>
      <c r="W25" s="244">
        <f>INDEX([2]!tbl_Forecast,MATCH($D$8&amp;$C25&amp;$D$7,[2]!rng_ForecastRowLookup,0),MATCH(W$11,[2]!rng_ForecastColumnLookup,0))</f>
        <v>0.5828366650853003</v>
      </c>
      <c r="X25" s="244">
        <f>INDEX([2]!tbl_Forecast,MATCH($D$8&amp;$C25&amp;$D$7,[2]!rng_ForecastRowLookup,0),MATCH(X$11,[2]!rng_ForecastColumnLookup,0))</f>
        <v>0.63928201324113043</v>
      </c>
      <c r="Y25" s="250">
        <f t="shared" si="3"/>
        <v>10.711414581118939</v>
      </c>
      <c r="Z25" s="198"/>
      <c r="AA25" s="24"/>
      <c r="AB25" s="24"/>
      <c r="AC25" s="24"/>
    </row>
    <row r="26" spans="1:29">
      <c r="B26" s="24" t="s">
        <v>820</v>
      </c>
      <c r="C26" s="24" t="s">
        <v>122</v>
      </c>
      <c r="D26" s="280">
        <v>14</v>
      </c>
      <c r="E26" s="244">
        <f>INDEX([2]!tbl_Forecast,MATCH($D$8&amp;$C26&amp;$D$7,[2]!rng_ForecastRowLookup,0),MATCH(E$11,[2]!rng_ForecastColumnLookup,0))</f>
        <v>1.0326774321313152</v>
      </c>
      <c r="F26" s="244">
        <f>INDEX([2]!tbl_Forecast,MATCH($D$8&amp;$C26&amp;$D$7,[2]!rng_ForecastRowLookup,0),MATCH(F$11,[2]!rng_ForecastColumnLookup,0))</f>
        <v>1.0158776160943388</v>
      </c>
      <c r="G26" s="244">
        <f>INDEX([2]!tbl_Forecast,MATCH($D$8&amp;$C26&amp;$D$7,[2]!rng_ForecastRowLookup,0),MATCH(G$11,[2]!rng_ForecastColumnLookup,0))</f>
        <v>0.74304915446037911</v>
      </c>
      <c r="H26" s="244">
        <f>INDEX([2]!tbl_Forecast,MATCH($D$8&amp;$C26&amp;$D$7,[2]!rng_ForecastRowLookup,0),MATCH(H$11,[2]!rng_ForecastColumnLookup,0))</f>
        <v>0.76054102414226543</v>
      </c>
      <c r="I26" s="244">
        <f>INDEX([2]!tbl_Forecast,MATCH($D$8&amp;$C26&amp;$D$7,[2]!rng_ForecastRowLookup,0),MATCH(I$11,[2]!rng_ForecastColumnLookup,0))</f>
        <v>0.65616402459427536</v>
      </c>
      <c r="J26" s="244">
        <f>INDEX([2]!tbl_Forecast,MATCH($D$8&amp;$C26&amp;$D$7,[2]!rng_ForecastRowLookup,0),MATCH(J$11,[2]!rng_ForecastColumnLookup,0))</f>
        <v>0.62755023267601961</v>
      </c>
      <c r="K26" s="244">
        <f>INDEX([2]!tbl_Forecast,MATCH($D$8&amp;$C26&amp;$D$7,[2]!rng_ForecastRowLookup,0),MATCH(K$11,[2]!rng_ForecastColumnLookup,0))</f>
        <v>0.61023293273354484</v>
      </c>
      <c r="L26" s="244">
        <f>INDEX([2]!tbl_Forecast,MATCH($D$8&amp;$C26&amp;$D$7,[2]!rng_ForecastRowLookup,0),MATCH(L$11,[2]!rng_ForecastColumnLookup,0))</f>
        <v>0.60571699788717037</v>
      </c>
      <c r="M26" s="244">
        <f>INDEX([2]!tbl_Forecast,MATCH($D$8&amp;$C26&amp;$D$7,[2]!rng_ForecastRowLookup,0),MATCH(M$11,[2]!rng_ForecastColumnLookup,0))</f>
        <v>0.65097903457434547</v>
      </c>
      <c r="N26" s="244">
        <f>INDEX([2]!tbl_Forecast,MATCH($D$8&amp;$C26&amp;$D$7,[2]!rng_ForecastRowLookup,0),MATCH(N$11,[2]!rng_ForecastColumnLookup,0))</f>
        <v>0.69319811486407867</v>
      </c>
      <c r="O26" s="244">
        <f>INDEX([2]!tbl_Forecast,MATCH($D$8&amp;$C26&amp;$D$7,[2]!rng_ForecastRowLookup,0),MATCH(O$11,[2]!rng_ForecastColumnLookup,0))</f>
        <v>0.78843795894088464</v>
      </c>
      <c r="P26" s="244">
        <f>INDEX([2]!tbl_Forecast,MATCH($D$8&amp;$C26&amp;$D$7,[2]!rng_ForecastRowLookup,0),MATCH(P$11,[2]!rng_ForecastColumnLookup,0))</f>
        <v>1.3645659476947984</v>
      </c>
      <c r="Q26" s="244">
        <f>INDEX([2]!tbl_Forecast,MATCH($D$8&amp;$C26&amp;$D$7,[2]!rng_ForecastRowLookup,0),MATCH(Q$11,[2]!rng_ForecastColumnLookup,0))</f>
        <v>1.6032227373726178</v>
      </c>
      <c r="R26" s="244">
        <f>INDEX([2]!tbl_Forecast,MATCH($D$8&amp;$C26&amp;$D$7,[2]!rng_ForecastRowLookup,0),MATCH(R$11,[2]!rng_ForecastColumnLookup,0))</f>
        <v>1.6412696995684901</v>
      </c>
      <c r="S26" s="244">
        <f>INDEX([2]!tbl_Forecast,MATCH($D$8&amp;$C26&amp;$D$7,[2]!rng_ForecastRowLookup,0),MATCH(S$11,[2]!rng_ForecastColumnLookup,0))</f>
        <v>1.670283030615213</v>
      </c>
      <c r="T26" s="244">
        <f>INDEX([2]!tbl_Forecast,MATCH($D$8&amp;$C26&amp;$D$7,[2]!rng_ForecastRowLookup,0),MATCH(T$11,[2]!rng_ForecastColumnLookup,0))</f>
        <v>1.755661848186447</v>
      </c>
      <c r="U26" s="244">
        <f>INDEX([2]!tbl_Forecast,MATCH($D$8&amp;$C26&amp;$D$7,[2]!rng_ForecastRowLookup,0),MATCH(U$11,[2]!rng_ForecastColumnLookup,0))</f>
        <v>1.4871375295645746</v>
      </c>
      <c r="V26" s="244">
        <f>INDEX([2]!tbl_Forecast,MATCH($D$8&amp;$C26&amp;$D$7,[2]!rng_ForecastRowLookup,0),MATCH(V$11,[2]!rng_ForecastColumnLookup,0))</f>
        <v>1.4400033906080374</v>
      </c>
      <c r="W26" s="244">
        <f>INDEX([2]!tbl_Forecast,MATCH($D$8&amp;$C26&amp;$D$7,[2]!rng_ForecastRowLookup,0),MATCH(W$11,[2]!rng_ForecastColumnLookup,0))</f>
        <v>1.3499648074414823</v>
      </c>
      <c r="X26" s="244">
        <f>INDEX([2]!tbl_Forecast,MATCH($D$8&amp;$C26&amp;$D$7,[2]!rng_ForecastRowLookup,0),MATCH(X$11,[2]!rng_ForecastColumnLookup,0))</f>
        <v>1.4487057151095009</v>
      </c>
      <c r="Y26" s="250">
        <f t="shared" si="3"/>
        <v>21.945239229259773</v>
      </c>
      <c r="Z26" s="198"/>
      <c r="AA26" s="24"/>
      <c r="AB26" s="24"/>
      <c r="AC26" s="24"/>
    </row>
    <row r="27" spans="1:29">
      <c r="B27" s="24" t="s">
        <v>821</v>
      </c>
      <c r="C27" s="24" t="s">
        <v>822</v>
      </c>
      <c r="D27" s="280">
        <v>15</v>
      </c>
      <c r="E27" s="244">
        <f>INDEX([2]!tbl_Forecast,MATCH($D$8&amp;$C27&amp;$D$7,[2]!rng_ForecastRowLookup,0),MATCH(E$11,[2]!rng_ForecastColumnLookup,0))</f>
        <v>4.1336070304911159</v>
      </c>
      <c r="F27" s="244">
        <f>INDEX([2]!tbl_Forecast,MATCH($D$8&amp;$C27&amp;$D$7,[2]!rng_ForecastRowLookup,0),MATCH(F$11,[2]!rng_ForecastColumnLookup,0))</f>
        <v>3.5601449453189118</v>
      </c>
      <c r="G27" s="244">
        <f>INDEX([2]!tbl_Forecast,MATCH($D$8&amp;$C27&amp;$D$7,[2]!rng_ForecastRowLookup,0),MATCH(G$11,[2]!rng_ForecastColumnLookup,0))</f>
        <v>3.2007770264658664</v>
      </c>
      <c r="H27" s="244">
        <f>INDEX([2]!tbl_Forecast,MATCH($D$8&amp;$C27&amp;$D$7,[2]!rng_ForecastRowLookup,0),MATCH(H$11,[2]!rng_ForecastColumnLookup,0))</f>
        <v>2.6531465767673241</v>
      </c>
      <c r="I27" s="244">
        <f>INDEX([2]!tbl_Forecast,MATCH($D$8&amp;$C27&amp;$D$7,[2]!rng_ForecastRowLookup,0),MATCH(I$11,[2]!rng_ForecastColumnLookup,0))</f>
        <v>1.8730082465149496</v>
      </c>
      <c r="J27" s="244">
        <f>INDEX([2]!tbl_Forecast,MATCH($D$8&amp;$C27&amp;$D$7,[2]!rng_ForecastRowLookup,0),MATCH(J$11,[2]!rng_ForecastColumnLookup,0))</f>
        <v>1.6467285324389391</v>
      </c>
      <c r="K27" s="244">
        <f>INDEX([2]!tbl_Forecast,MATCH($D$8&amp;$C27&amp;$D$7,[2]!rng_ForecastRowLookup,0),MATCH(K$11,[2]!rng_ForecastColumnLookup,0))</f>
        <v>1.5196240263467067</v>
      </c>
      <c r="L27" s="244">
        <f>INDEX([2]!tbl_Forecast,MATCH($D$8&amp;$C27&amp;$D$7,[2]!rng_ForecastRowLookup,0),MATCH(L$11,[2]!rng_ForecastColumnLookup,0))</f>
        <v>1.3328145698119136</v>
      </c>
      <c r="M27" s="244">
        <f>INDEX([2]!tbl_Forecast,MATCH($D$8&amp;$C27&amp;$D$7,[2]!rng_ForecastRowLookup,0),MATCH(M$11,[2]!rng_ForecastColumnLookup,0))</f>
        <v>1.3372342578617185</v>
      </c>
      <c r="N27" s="244">
        <f>INDEX([2]!tbl_Forecast,MATCH($D$8&amp;$C27&amp;$D$7,[2]!rng_ForecastRowLookup,0),MATCH(N$11,[2]!rng_ForecastColumnLookup,0))</f>
        <v>1.4086686461757902</v>
      </c>
      <c r="O27" s="244">
        <f>INDEX([2]!tbl_Forecast,MATCH($D$8&amp;$C27&amp;$D$7,[2]!rng_ForecastRowLookup,0),MATCH(O$11,[2]!rng_ForecastColumnLookup,0))</f>
        <v>1.6725933548501446</v>
      </c>
      <c r="P27" s="244">
        <f>INDEX([2]!tbl_Forecast,MATCH($D$8&amp;$C27&amp;$D$7,[2]!rng_ForecastRowLookup,0),MATCH(P$11,[2]!rng_ForecastColumnLookup,0))</f>
        <v>2.0158466086985318</v>
      </c>
      <c r="Q27" s="244">
        <f>INDEX([2]!tbl_Forecast,MATCH($D$8&amp;$C27&amp;$D$7,[2]!rng_ForecastRowLookup,0),MATCH(Q$11,[2]!rng_ForecastColumnLookup,0))</f>
        <v>2.3033709594417431</v>
      </c>
      <c r="R27" s="244">
        <f>INDEX([2]!tbl_Forecast,MATCH($D$8&amp;$C27&amp;$D$7,[2]!rng_ForecastRowLookup,0),MATCH(R$11,[2]!rng_ForecastColumnLookup,0))</f>
        <v>2.063930246052466</v>
      </c>
      <c r="S27" s="244">
        <f>INDEX([2]!tbl_Forecast,MATCH($D$8&amp;$C27&amp;$D$7,[2]!rng_ForecastRowLookup,0),MATCH(S$11,[2]!rng_ForecastColumnLookup,0))</f>
        <v>1.9880083370090949</v>
      </c>
      <c r="T27" s="244">
        <f>INDEX([2]!tbl_Forecast,MATCH($D$8&amp;$C27&amp;$D$7,[2]!rng_ForecastRowLookup,0),MATCH(T$11,[2]!rng_ForecastColumnLookup,0))</f>
        <v>1.9342270452860566</v>
      </c>
      <c r="U27" s="244">
        <f>INDEX([2]!tbl_Forecast,MATCH($D$8&amp;$C27&amp;$D$7,[2]!rng_ForecastRowLookup,0),MATCH(U$11,[2]!rng_ForecastColumnLookup,0))</f>
        <v>1.774507966199161</v>
      </c>
      <c r="V27" s="244">
        <f>INDEX([2]!tbl_Forecast,MATCH($D$8&amp;$C27&amp;$D$7,[2]!rng_ForecastRowLookup,0),MATCH(V$11,[2]!rng_ForecastColumnLookup,0))</f>
        <v>1.6723841845019074</v>
      </c>
      <c r="W27" s="244">
        <f>INDEX([2]!tbl_Forecast,MATCH($D$8&amp;$C27&amp;$D$7,[2]!rng_ForecastRowLookup,0),MATCH(W$11,[2]!rng_ForecastColumnLookup,0))</f>
        <v>1.5414284807799123</v>
      </c>
      <c r="X27" s="244">
        <f>INDEX([2]!tbl_Forecast,MATCH($D$8&amp;$C27&amp;$D$7,[2]!rng_ForecastRowLookup,0),MATCH(X$11,[2]!rng_ForecastColumnLookup,0))</f>
        <v>1.5563040522680198</v>
      </c>
      <c r="Y27" s="250">
        <f t="shared" si="3"/>
        <v>41.188355093280272</v>
      </c>
      <c r="Z27" s="198"/>
      <c r="AA27" s="24"/>
      <c r="AB27" s="24"/>
      <c r="AC27" s="24"/>
    </row>
    <row r="28" spans="1:29">
      <c r="B28" s="24" t="s">
        <v>823</v>
      </c>
      <c r="C28" s="24" t="s">
        <v>125</v>
      </c>
      <c r="D28" s="24">
        <v>16</v>
      </c>
      <c r="E28" s="244">
        <f>INDEX([2]!tbl_Forecast,MATCH($D$8&amp;$C28&amp;$D$7,[2]!rng_ForecastRowLookup,0),MATCH(E$11,[2]!rng_ForecastColumnLookup,0))</f>
        <v>4.5029406937179912</v>
      </c>
      <c r="F28" s="244">
        <f>INDEX([2]!tbl_Forecast,MATCH($D$8&amp;$C28&amp;$D$7,[2]!rng_ForecastRowLookup,0),MATCH(F$11,[2]!rng_ForecastColumnLookup,0))</f>
        <v>4.0786070344439063</v>
      </c>
      <c r="G28" s="244">
        <f>INDEX([2]!tbl_Forecast,MATCH($D$8&amp;$C28&amp;$D$7,[2]!rng_ForecastRowLookup,0),MATCH(G$11,[2]!rng_ForecastColumnLookup,0))</f>
        <v>3.5919834720533679</v>
      </c>
      <c r="H28" s="244">
        <f>INDEX([2]!tbl_Forecast,MATCH($D$8&amp;$C28&amp;$D$7,[2]!rng_ForecastRowLookup,0),MATCH(H$11,[2]!rng_ForecastColumnLookup,0))</f>
        <v>3.0400934926407626</v>
      </c>
      <c r="I28" s="244">
        <f>INDEX([2]!tbl_Forecast,MATCH($D$8&amp;$C28&amp;$D$7,[2]!rng_ForecastRowLookup,0),MATCH(I$11,[2]!rng_ForecastColumnLookup,0))</f>
        <v>2.3018670718031324</v>
      </c>
      <c r="J28" s="244">
        <f>INDEX([2]!tbl_Forecast,MATCH($D$8&amp;$C28&amp;$D$7,[2]!rng_ForecastRowLookup,0),MATCH(J$11,[2]!rng_ForecastColumnLookup,0))</f>
        <v>2.1321468422073435</v>
      </c>
      <c r="K28" s="244">
        <f>INDEX([2]!tbl_Forecast,MATCH($D$8&amp;$C28&amp;$D$7,[2]!rng_ForecastRowLookup,0),MATCH(K$11,[2]!rng_ForecastColumnLookup,0))</f>
        <v>1.9771504564110642</v>
      </c>
      <c r="L28" s="244">
        <f>INDEX([2]!tbl_Forecast,MATCH($D$8&amp;$C28&amp;$D$7,[2]!rng_ForecastRowLookup,0),MATCH(L$11,[2]!rng_ForecastColumnLookup,0))</f>
        <v>1.8096072137015302</v>
      </c>
      <c r="M28" s="244">
        <f>INDEX([2]!tbl_Forecast,MATCH($D$8&amp;$C28&amp;$D$7,[2]!rng_ForecastRowLookup,0),MATCH(M$11,[2]!rng_ForecastColumnLookup,0))</f>
        <v>1.9023478055732992</v>
      </c>
      <c r="N28" s="244">
        <f>INDEX([2]!tbl_Forecast,MATCH($D$8&amp;$C28&amp;$D$7,[2]!rng_ForecastRowLookup,0),MATCH(N$11,[2]!rng_ForecastColumnLookup,0))</f>
        <v>2.0129777404511922</v>
      </c>
      <c r="O28" s="244">
        <f>INDEX([2]!tbl_Forecast,MATCH($D$8&amp;$C28&amp;$D$7,[2]!rng_ForecastRowLookup,0),MATCH(O$11,[2]!rng_ForecastColumnLookup,0))</f>
        <v>2.304026079874093</v>
      </c>
      <c r="P28" s="244">
        <f>INDEX([2]!tbl_Forecast,MATCH($D$8&amp;$C28&amp;$D$7,[2]!rng_ForecastRowLookup,0),MATCH(P$11,[2]!rng_ForecastColumnLookup,0))</f>
        <v>2.7992417645016405</v>
      </c>
      <c r="Q28" s="244">
        <f>INDEX([2]!tbl_Forecast,MATCH($D$8&amp;$C28&amp;$D$7,[2]!rng_ForecastRowLookup,0),MATCH(Q$11,[2]!rng_ForecastColumnLookup,0))</f>
        <v>3.0682339807477179</v>
      </c>
      <c r="R28" s="244">
        <f>INDEX([2]!tbl_Forecast,MATCH($D$8&amp;$C28&amp;$D$7,[2]!rng_ForecastRowLookup,0),MATCH(R$11,[2]!rng_ForecastColumnLookup,0))</f>
        <v>2.7441690138981158</v>
      </c>
      <c r="S28" s="244">
        <f>INDEX([2]!tbl_Forecast,MATCH($D$8&amp;$C28&amp;$D$7,[2]!rng_ForecastRowLookup,0),MATCH(S$11,[2]!rng_ForecastColumnLookup,0))</f>
        <v>2.8046561391012603</v>
      </c>
      <c r="T28" s="244">
        <f>INDEX([2]!tbl_Forecast,MATCH($D$8&amp;$C28&amp;$D$7,[2]!rng_ForecastRowLookup,0),MATCH(T$11,[2]!rng_ForecastColumnLookup,0))</f>
        <v>2.7282838662201567</v>
      </c>
      <c r="U28" s="244">
        <f>INDEX([2]!tbl_Forecast,MATCH($D$8&amp;$C28&amp;$D$7,[2]!rng_ForecastRowLookup,0),MATCH(U$11,[2]!rng_ForecastColumnLookup,0))</f>
        <v>2.4959637785038216</v>
      </c>
      <c r="V28" s="244">
        <f>INDEX([2]!tbl_Forecast,MATCH($D$8&amp;$C28&amp;$D$7,[2]!rng_ForecastRowLookup,0),MATCH(V$11,[2]!rng_ForecastColumnLookup,0))</f>
        <v>2.4392052334479857</v>
      </c>
      <c r="W28" s="244">
        <f>INDEX([2]!tbl_Forecast,MATCH($D$8&amp;$C28&amp;$D$7,[2]!rng_ForecastRowLookup,0),MATCH(W$11,[2]!rng_ForecastColumnLookup,0))</f>
        <v>2.3386950979959957</v>
      </c>
      <c r="X28" s="244">
        <f>INDEX([2]!tbl_Forecast,MATCH($D$8&amp;$C28&amp;$D$7,[2]!rng_ForecastRowLookup,0),MATCH(X$11,[2]!rng_ForecastColumnLookup,0))</f>
        <v>2.3103955399373803</v>
      </c>
      <c r="Y28" s="250">
        <f t="shared" si="3"/>
        <v>53.382592317231762</v>
      </c>
      <c r="Z28" s="198"/>
      <c r="AA28" s="24"/>
      <c r="AB28" s="24"/>
      <c r="AC28" s="24"/>
    </row>
    <row r="29" spans="1:29">
      <c r="B29" s="24" t="s">
        <v>824</v>
      </c>
      <c r="C29" s="24" t="s">
        <v>127</v>
      </c>
      <c r="D29" s="24">
        <v>17</v>
      </c>
      <c r="E29" s="244">
        <f>INDEX([2]!tbl_Forecast,MATCH($D$8&amp;$C29&amp;$D$7,[2]!rng_ForecastRowLookup,0),MATCH(E$11,[2]!rng_ForecastColumnLookup,0))</f>
        <v>3.1854829351393543</v>
      </c>
      <c r="F29" s="244">
        <f>INDEX([2]!tbl_Forecast,MATCH($D$8&amp;$C29&amp;$D$7,[2]!rng_ForecastRowLookup,0),MATCH(F$11,[2]!rng_ForecastColumnLookup,0))</f>
        <v>3.1699057451518957</v>
      </c>
      <c r="G29" s="244">
        <f>INDEX([2]!tbl_Forecast,MATCH($D$8&amp;$C29&amp;$D$7,[2]!rng_ForecastRowLookup,0),MATCH(G$11,[2]!rng_ForecastColumnLookup,0))</f>
        <v>2.2628528186826316</v>
      </c>
      <c r="H29" s="244">
        <f>INDEX([2]!tbl_Forecast,MATCH($D$8&amp;$C29&amp;$D$7,[2]!rng_ForecastRowLookup,0),MATCH(H$11,[2]!rng_ForecastColumnLookup,0))</f>
        <v>2.6023617076700645</v>
      </c>
      <c r="I29" s="244">
        <f>INDEX([2]!tbl_Forecast,MATCH($D$8&amp;$C29&amp;$D$7,[2]!rng_ForecastRowLookup,0),MATCH(I$11,[2]!rng_ForecastColumnLookup,0))</f>
        <v>2.2919684786454506</v>
      </c>
      <c r="J29" s="244">
        <f>INDEX([2]!tbl_Forecast,MATCH($D$8&amp;$C29&amp;$D$7,[2]!rng_ForecastRowLookup,0),MATCH(J$11,[2]!rng_ForecastColumnLookup,0))</f>
        <v>2.1556450092355899</v>
      </c>
      <c r="K29" s="244">
        <f>INDEX([2]!tbl_Forecast,MATCH($D$8&amp;$C29&amp;$D$7,[2]!rng_ForecastRowLookup,0),MATCH(K$11,[2]!rng_ForecastColumnLookup,0))</f>
        <v>1.4820394508668711</v>
      </c>
      <c r="L29" s="244">
        <f>INDEX([2]!tbl_Forecast,MATCH($D$8&amp;$C29&amp;$D$7,[2]!rng_ForecastRowLookup,0),MATCH(L$11,[2]!rng_ForecastColumnLookup,0))</f>
        <v>1.5603361472368396</v>
      </c>
      <c r="M29" s="244">
        <f>INDEX([2]!tbl_Forecast,MATCH($D$8&amp;$C29&amp;$D$7,[2]!rng_ForecastRowLookup,0),MATCH(M$11,[2]!rng_ForecastColumnLookup,0))</f>
        <v>2.3546097038898557</v>
      </c>
      <c r="N29" s="244">
        <f>INDEX([2]!tbl_Forecast,MATCH($D$8&amp;$C29&amp;$D$7,[2]!rng_ForecastRowLookup,0),MATCH(N$11,[2]!rng_ForecastColumnLookup,0))</f>
        <v>3.2740386396924066</v>
      </c>
      <c r="O29" s="244">
        <f>INDEX([2]!tbl_Forecast,MATCH($D$8&amp;$C29&amp;$D$7,[2]!rng_ForecastRowLookup,0),MATCH(O$11,[2]!rng_ForecastColumnLookup,0))</f>
        <v>3.6241751874536021</v>
      </c>
      <c r="P29" s="244">
        <f>INDEX([2]!tbl_Forecast,MATCH($D$8&amp;$C29&amp;$D$7,[2]!rng_ForecastRowLookup,0),MATCH(P$11,[2]!rng_ForecastColumnLookup,0))</f>
        <v>4.4420137300219826</v>
      </c>
      <c r="Q29" s="244">
        <f>INDEX([2]!tbl_Forecast,MATCH($D$8&amp;$C29&amp;$D$7,[2]!rng_ForecastRowLookup,0),MATCH(Q$11,[2]!rng_ForecastColumnLookup,0))</f>
        <v>5.8224273473135861</v>
      </c>
      <c r="R29" s="244">
        <f>INDEX([2]!tbl_Forecast,MATCH($D$8&amp;$C29&amp;$D$7,[2]!rng_ForecastRowLookup,0),MATCH(R$11,[2]!rng_ForecastColumnLookup,0))</f>
        <v>6.4604400946422142</v>
      </c>
      <c r="S29" s="244">
        <f>INDEX([2]!tbl_Forecast,MATCH($D$8&amp;$C29&amp;$D$7,[2]!rng_ForecastRowLookup,0),MATCH(S$11,[2]!rng_ForecastColumnLookup,0))</f>
        <v>6.9014803298142597</v>
      </c>
      <c r="T29" s="244">
        <f>INDEX([2]!tbl_Forecast,MATCH($D$8&amp;$C29&amp;$D$7,[2]!rng_ForecastRowLookup,0),MATCH(T$11,[2]!rng_ForecastColumnLookup,0))</f>
        <v>6.748515751490312</v>
      </c>
      <c r="U29" s="244">
        <f>INDEX([2]!tbl_Forecast,MATCH($D$8&amp;$C29&amp;$D$7,[2]!rng_ForecastRowLookup,0),MATCH(U$11,[2]!rng_ForecastColumnLookup,0))</f>
        <v>6.4364694734288266</v>
      </c>
      <c r="V29" s="244">
        <f>INDEX([2]!tbl_Forecast,MATCH($D$8&amp;$C29&amp;$D$7,[2]!rng_ForecastRowLookup,0),MATCH(V$11,[2]!rng_ForecastColumnLookup,0))</f>
        <v>6.3053235195290611</v>
      </c>
      <c r="W29" s="244">
        <f>INDEX([2]!tbl_Forecast,MATCH($D$8&amp;$C29&amp;$D$7,[2]!rng_ForecastRowLookup,0),MATCH(W$11,[2]!rng_ForecastColumnLookup,0))</f>
        <v>6.2236620394663484</v>
      </c>
      <c r="X29" s="244">
        <f>INDEX([2]!tbl_Forecast,MATCH($D$8&amp;$C29&amp;$D$7,[2]!rng_ForecastRowLookup,0),MATCH(X$11,[2]!rng_ForecastColumnLookup,0))</f>
        <v>6.0386522880717726</v>
      </c>
      <c r="Y29" s="250">
        <f t="shared" si="3"/>
        <v>83.34240039744293</v>
      </c>
      <c r="Z29" s="198"/>
      <c r="AA29" s="24"/>
      <c r="AB29" s="24"/>
      <c r="AC29" s="24"/>
    </row>
    <row r="30" spans="1:29">
      <c r="B30" s="24" t="s">
        <v>825</v>
      </c>
      <c r="C30" s="24" t="s">
        <v>100</v>
      </c>
      <c r="D30" s="24">
        <v>18</v>
      </c>
      <c r="E30" s="244">
        <f>INDEX([2]!tbl_Forecast,MATCH($D$8&amp;$C30&amp;$D$7,[2]!rng_ForecastRowLookup,0),MATCH(E$11,[2]!rng_ForecastColumnLookup,0))</f>
        <v>12.863107129152304</v>
      </c>
      <c r="F30" s="244">
        <f>INDEX([2]!tbl_Forecast,MATCH($D$8&amp;$C30&amp;$D$7,[2]!rng_ForecastRowLookup,0),MATCH(F$11,[2]!rng_ForecastColumnLookup,0))</f>
        <v>10.7220378193485</v>
      </c>
      <c r="G30" s="244">
        <f>INDEX([2]!tbl_Forecast,MATCH($D$8&amp;$C30&amp;$D$7,[2]!rng_ForecastRowLookup,0),MATCH(G$11,[2]!rng_ForecastColumnLookup,0))</f>
        <v>10.142128438066296</v>
      </c>
      <c r="H30" s="244">
        <f>INDEX([2]!tbl_Forecast,MATCH($D$8&amp;$C30&amp;$D$7,[2]!rng_ForecastRowLookup,0),MATCH(H$11,[2]!rng_ForecastColumnLookup,0))</f>
        <v>9.4611923499879236</v>
      </c>
      <c r="I30" s="244">
        <f>INDEX([2]!tbl_Forecast,MATCH($D$8&amp;$C30&amp;$D$7,[2]!rng_ForecastRowLookup,0),MATCH(I$11,[2]!rng_ForecastColumnLookup,0))</f>
        <v>7.3638556881373223</v>
      </c>
      <c r="J30" s="244">
        <f>INDEX([2]!tbl_Forecast,MATCH($D$8&amp;$C30&amp;$D$7,[2]!rng_ForecastRowLookup,0),MATCH(J$11,[2]!rng_ForecastColumnLookup,0))</f>
        <v>8.1591439254269407</v>
      </c>
      <c r="K30" s="244">
        <f>INDEX([2]!tbl_Forecast,MATCH($D$8&amp;$C30&amp;$D$7,[2]!rng_ForecastRowLookup,0),MATCH(K$11,[2]!rng_ForecastColumnLookup,0))</f>
        <v>7.9603673258815011</v>
      </c>
      <c r="L30" s="244">
        <f>INDEX([2]!tbl_Forecast,MATCH($D$8&amp;$C30&amp;$D$7,[2]!rng_ForecastRowLookup,0),MATCH(L$11,[2]!rng_ForecastColumnLookup,0))</f>
        <v>8.6026166911432824</v>
      </c>
      <c r="M30" s="244">
        <f>INDEX([2]!tbl_Forecast,MATCH($D$8&amp;$C30&amp;$D$7,[2]!rng_ForecastRowLookup,0),MATCH(M$11,[2]!rng_ForecastColumnLookup,0))</f>
        <v>9.3207800366095146</v>
      </c>
      <c r="N30" s="244">
        <f>INDEX([2]!tbl_Forecast,MATCH($D$8&amp;$C30&amp;$D$7,[2]!rng_ForecastRowLookup,0),MATCH(N$11,[2]!rng_ForecastColumnLookup,0))</f>
        <v>9.0572786632714859</v>
      </c>
      <c r="O30" s="244">
        <f>INDEX([2]!tbl_Forecast,MATCH($D$8&amp;$C30&amp;$D$7,[2]!rng_ForecastRowLookup,0),MATCH(O$11,[2]!rng_ForecastColumnLookup,0))</f>
        <v>10.184423730877143</v>
      </c>
      <c r="P30" s="244">
        <f>INDEX([2]!tbl_Forecast,MATCH($D$8&amp;$C30&amp;$D$7,[2]!rng_ForecastRowLookup,0),MATCH(P$11,[2]!rng_ForecastColumnLookup,0))</f>
        <v>10.787657533789663</v>
      </c>
      <c r="Q30" s="244">
        <f>INDEX([2]!tbl_Forecast,MATCH($D$8&amp;$C30&amp;$D$7,[2]!rng_ForecastRowLookup,0),MATCH(Q$11,[2]!rng_ForecastColumnLookup,0))</f>
        <v>11.005378574708409</v>
      </c>
      <c r="R30" s="244">
        <f>INDEX([2]!tbl_Forecast,MATCH($D$8&amp;$C30&amp;$D$7,[2]!rng_ForecastRowLookup,0),MATCH(R$11,[2]!rng_ForecastColumnLookup,0))</f>
        <v>10.267063981307951</v>
      </c>
      <c r="S30" s="244">
        <f>INDEX([2]!tbl_Forecast,MATCH($D$8&amp;$C30&amp;$D$7,[2]!rng_ForecastRowLookup,0),MATCH(S$11,[2]!rng_ForecastColumnLookup,0))</f>
        <v>11.027475862918971</v>
      </c>
      <c r="T30" s="244">
        <f>INDEX([2]!tbl_Forecast,MATCH($D$8&amp;$C30&amp;$D$7,[2]!rng_ForecastRowLookup,0),MATCH(T$11,[2]!rng_ForecastColumnLookup,0))</f>
        <v>9.9609233822623686</v>
      </c>
      <c r="U30" s="244">
        <f>INDEX([2]!tbl_Forecast,MATCH($D$8&amp;$C30&amp;$D$7,[2]!rng_ForecastRowLookup,0),MATCH(U$11,[2]!rng_ForecastColumnLookup,0))</f>
        <v>10.340047869658916</v>
      </c>
      <c r="V30" s="244">
        <f>INDEX([2]!tbl_Forecast,MATCH($D$8&amp;$C30&amp;$D$7,[2]!rng_ForecastRowLookup,0),MATCH(V$11,[2]!rng_ForecastColumnLookup,0))</f>
        <v>9.8383849729989699</v>
      </c>
      <c r="W30" s="244">
        <f>INDEX([2]!tbl_Forecast,MATCH($D$8&amp;$C30&amp;$D$7,[2]!rng_ForecastRowLookup,0),MATCH(W$11,[2]!rng_ForecastColumnLookup,0))</f>
        <v>9.3282989614436094</v>
      </c>
      <c r="X30" s="244">
        <f>INDEX([2]!tbl_Forecast,MATCH($D$8&amp;$C30&amp;$D$7,[2]!rng_ForecastRowLookup,0),MATCH(X$11,[2]!rng_ForecastColumnLookup,0))</f>
        <v>9.0355729282982153</v>
      </c>
      <c r="Y30" s="250">
        <f t="shared" si="3"/>
        <v>195.42773586528929</v>
      </c>
      <c r="Z30" s="198"/>
      <c r="AA30" s="24"/>
      <c r="AB30" s="24"/>
      <c r="AC30" s="24"/>
    </row>
    <row r="31" spans="1:29">
      <c r="A31" s="24"/>
      <c r="B31" s="24"/>
      <c r="C31" s="24"/>
      <c r="D31" s="198"/>
      <c r="E31" s="250"/>
      <c r="F31" s="250"/>
      <c r="G31" s="250"/>
      <c r="H31" s="250"/>
      <c r="I31" s="250"/>
      <c r="J31" s="250"/>
      <c r="K31" s="250"/>
      <c r="L31" s="250"/>
      <c r="M31" s="250"/>
      <c r="N31" s="250"/>
      <c r="O31" s="250"/>
      <c r="P31" s="250"/>
      <c r="Q31" s="250"/>
      <c r="R31" s="250"/>
      <c r="S31" s="250"/>
      <c r="T31" s="250"/>
      <c r="U31" s="250"/>
      <c r="V31" s="250"/>
      <c r="W31" s="250"/>
      <c r="X31" s="250"/>
      <c r="Y31" s="250"/>
      <c r="Z31" s="198"/>
      <c r="AA31" s="24"/>
      <c r="AB31" s="24"/>
      <c r="AC31" s="24"/>
    </row>
    <row r="32" spans="1:29">
      <c r="A32" s="24" t="s">
        <v>937</v>
      </c>
      <c r="B32" s="24"/>
      <c r="C32" s="24" t="s">
        <v>826</v>
      </c>
      <c r="D32" s="198"/>
      <c r="E32" s="250">
        <f>SUM(E13:E30)</f>
        <v>57.114297126179473</v>
      </c>
      <c r="F32" s="250">
        <f t="shared" ref="F32:X32" si="4">SUM(F13:F30)</f>
        <v>49.358660888456697</v>
      </c>
      <c r="G32" s="250">
        <f t="shared" si="4"/>
        <v>42.883996361562694</v>
      </c>
      <c r="H32" s="250">
        <f t="shared" si="4"/>
        <v>42.769928168515861</v>
      </c>
      <c r="I32" s="250">
        <f t="shared" si="4"/>
        <v>36.559258837741957</v>
      </c>
      <c r="J32" s="250">
        <f t="shared" si="4"/>
        <v>33.347085593434706</v>
      </c>
      <c r="K32" s="250">
        <f t="shared" si="4"/>
        <v>36.515305616596898</v>
      </c>
      <c r="L32" s="250">
        <f t="shared" si="4"/>
        <v>36.312589546095708</v>
      </c>
      <c r="M32" s="250">
        <f t="shared" si="4"/>
        <v>39.06093852873046</v>
      </c>
      <c r="N32" s="250">
        <f t="shared" si="4"/>
        <v>41.721160397442901</v>
      </c>
      <c r="O32" s="250">
        <f t="shared" si="4"/>
        <v>44.358216248359909</v>
      </c>
      <c r="P32" s="250">
        <f t="shared" si="4"/>
        <v>49.930477203838102</v>
      </c>
      <c r="Q32" s="250">
        <f t="shared" si="4"/>
        <v>53.958732397486379</v>
      </c>
      <c r="R32" s="250">
        <f t="shared" si="4"/>
        <v>51.509803850235102</v>
      </c>
      <c r="S32" s="250">
        <f t="shared" si="4"/>
        <v>54.060467297337325</v>
      </c>
      <c r="T32" s="250">
        <f t="shared" si="4"/>
        <v>52.230061485014218</v>
      </c>
      <c r="U32" s="250">
        <f t="shared" si="4"/>
        <v>51.036230165113999</v>
      </c>
      <c r="V32" s="250">
        <f t="shared" si="4"/>
        <v>48.348219984944222</v>
      </c>
      <c r="W32" s="250">
        <f t="shared" si="4"/>
        <v>47.245952894616551</v>
      </c>
      <c r="X32" s="250">
        <f t="shared" si="4"/>
        <v>47.686700389963214</v>
      </c>
      <c r="Y32" s="250">
        <f>SUM(E32:X32)</f>
        <v>916.00808298166646</v>
      </c>
      <c r="Z32" s="198">
        <f>$Z$12*Y32</f>
        <v>778.60687053441643</v>
      </c>
      <c r="AA32" s="24"/>
      <c r="AB32" s="24"/>
      <c r="AC32" s="24"/>
    </row>
    <row r="33" spans="1:29">
      <c r="A33" s="24"/>
      <c r="B33" s="24"/>
      <c r="C33" s="24" t="s">
        <v>788</v>
      </c>
      <c r="D33" s="198"/>
      <c r="E33" s="250">
        <f>E32</f>
        <v>57.114297126179473</v>
      </c>
      <c r="F33" s="250">
        <f>E33+F32</f>
        <v>106.47295801463616</v>
      </c>
      <c r="G33" s="250">
        <f t="shared" ref="G33:X33" si="5">F33+G32</f>
        <v>149.35695437619887</v>
      </c>
      <c r="H33" s="250">
        <f t="shared" si="5"/>
        <v>192.12688254471473</v>
      </c>
      <c r="I33" s="250">
        <f t="shared" si="5"/>
        <v>228.6861413824567</v>
      </c>
      <c r="J33" s="250">
        <f t="shared" si="5"/>
        <v>262.03322697589141</v>
      </c>
      <c r="K33" s="250">
        <f t="shared" si="5"/>
        <v>298.5485325924883</v>
      </c>
      <c r="L33" s="250">
        <f t="shared" si="5"/>
        <v>334.86112213858399</v>
      </c>
      <c r="M33" s="250">
        <f t="shared" si="5"/>
        <v>373.92206066731444</v>
      </c>
      <c r="N33" s="250">
        <f t="shared" si="5"/>
        <v>415.64322106475731</v>
      </c>
      <c r="O33" s="250">
        <f t="shared" si="5"/>
        <v>460.00143731311721</v>
      </c>
      <c r="P33" s="250">
        <f t="shared" si="5"/>
        <v>509.93191451695532</v>
      </c>
      <c r="Q33" s="250">
        <f t="shared" si="5"/>
        <v>563.89064691444173</v>
      </c>
      <c r="R33" s="250">
        <f t="shared" si="5"/>
        <v>615.40045076467686</v>
      </c>
      <c r="S33" s="250">
        <f t="shared" si="5"/>
        <v>669.46091806201423</v>
      </c>
      <c r="T33" s="250">
        <f t="shared" si="5"/>
        <v>721.69097954702841</v>
      </c>
      <c r="U33" s="250">
        <f t="shared" si="5"/>
        <v>772.72720971214244</v>
      </c>
      <c r="V33" s="250">
        <f t="shared" si="5"/>
        <v>821.07542969708663</v>
      </c>
      <c r="W33" s="250">
        <f t="shared" si="5"/>
        <v>868.32138259170324</v>
      </c>
      <c r="X33" s="250">
        <f t="shared" si="5"/>
        <v>916.00808298166646</v>
      </c>
      <c r="Y33" s="250"/>
      <c r="Z33" s="198"/>
      <c r="AA33" s="24"/>
      <c r="AB33" s="24"/>
      <c r="AC33" s="24"/>
    </row>
    <row r="34" spans="1:29">
      <c r="A34" s="24"/>
      <c r="B34" s="24"/>
      <c r="C34" s="24"/>
      <c r="D34" s="198"/>
      <c r="E34" s="250"/>
      <c r="F34" s="250"/>
      <c r="G34" s="250"/>
      <c r="H34" s="250"/>
      <c r="I34" s="250"/>
      <c r="J34" s="250"/>
      <c r="K34" s="250"/>
      <c r="L34" s="250"/>
      <c r="M34" s="250"/>
      <c r="N34" s="250"/>
      <c r="O34" s="250"/>
      <c r="P34" s="250"/>
      <c r="Q34" s="250"/>
      <c r="R34" s="250"/>
      <c r="S34" s="250"/>
      <c r="T34" s="250"/>
      <c r="U34" s="250"/>
      <c r="V34" s="250"/>
      <c r="W34" s="250"/>
      <c r="X34" s="250"/>
      <c r="Y34" s="250"/>
      <c r="Z34" s="198"/>
      <c r="AA34" s="24"/>
      <c r="AB34" s="24"/>
      <c r="AC34" s="24"/>
    </row>
    <row r="35" spans="1:29">
      <c r="A35" s="24"/>
      <c r="B35" s="24"/>
      <c r="C35" s="24"/>
      <c r="D35" s="198"/>
      <c r="E35" s="250"/>
      <c r="F35" s="250"/>
      <c r="G35" s="250"/>
      <c r="H35" s="250"/>
      <c r="I35" s="250"/>
      <c r="J35" s="250"/>
      <c r="K35" s="250"/>
      <c r="L35" s="250"/>
      <c r="M35" s="250"/>
      <c r="N35" s="250"/>
      <c r="O35" s="250"/>
      <c r="P35" s="250"/>
      <c r="Q35" s="250"/>
      <c r="R35" s="250"/>
      <c r="S35" s="250"/>
      <c r="T35" s="250"/>
      <c r="U35" s="250"/>
      <c r="V35" s="250"/>
      <c r="W35" s="250"/>
      <c r="X35" s="250"/>
      <c r="Y35" s="250"/>
      <c r="Z35" s="198"/>
      <c r="AA35" s="24"/>
      <c r="AB35" s="24"/>
      <c r="AC35" s="24"/>
    </row>
    <row r="36" spans="1:29" ht="15">
      <c r="A36" s="246" t="s">
        <v>904</v>
      </c>
      <c r="B36" s="246"/>
      <c r="C36" s="243"/>
      <c r="D36" s="243"/>
      <c r="E36" s="255">
        <f>E11</f>
        <v>2016</v>
      </c>
      <c r="F36" s="255">
        <f t="shared" ref="F36:X36" si="6">F11</f>
        <v>2017</v>
      </c>
      <c r="G36" s="255">
        <f t="shared" si="6"/>
        <v>2018</v>
      </c>
      <c r="H36" s="255">
        <f t="shared" si="6"/>
        <v>2019</v>
      </c>
      <c r="I36" s="255">
        <f t="shared" si="6"/>
        <v>2020</v>
      </c>
      <c r="J36" s="255">
        <f t="shared" si="6"/>
        <v>2021</v>
      </c>
      <c r="K36" s="255">
        <f t="shared" si="6"/>
        <v>2022</v>
      </c>
      <c r="L36" s="255">
        <f t="shared" si="6"/>
        <v>2023</v>
      </c>
      <c r="M36" s="255">
        <f t="shared" si="6"/>
        <v>2024</v>
      </c>
      <c r="N36" s="255">
        <f t="shared" si="6"/>
        <v>2025</v>
      </c>
      <c r="O36" s="255">
        <f t="shared" si="6"/>
        <v>2026</v>
      </c>
      <c r="P36" s="255">
        <f t="shared" si="6"/>
        <v>2027</v>
      </c>
      <c r="Q36" s="255">
        <f t="shared" si="6"/>
        <v>2028</v>
      </c>
      <c r="R36" s="255">
        <f t="shared" si="6"/>
        <v>2029</v>
      </c>
      <c r="S36" s="255">
        <f t="shared" si="6"/>
        <v>2030</v>
      </c>
      <c r="T36" s="255">
        <f t="shared" si="6"/>
        <v>2031</v>
      </c>
      <c r="U36" s="255">
        <f t="shared" si="6"/>
        <v>2032</v>
      </c>
      <c r="V36" s="255">
        <f t="shared" si="6"/>
        <v>2033</v>
      </c>
      <c r="W36" s="255">
        <f t="shared" si="6"/>
        <v>2034</v>
      </c>
      <c r="X36" s="255">
        <f t="shared" si="6"/>
        <v>2035</v>
      </c>
      <c r="Y36" s="248" t="s">
        <v>694</v>
      </c>
      <c r="Z36" s="248" t="s">
        <v>695</v>
      </c>
      <c r="AA36" s="24"/>
      <c r="AB36" s="24"/>
      <c r="AC36" s="24"/>
    </row>
    <row r="37" spans="1:29">
      <c r="A37" s="243" t="s">
        <v>696</v>
      </c>
      <c r="B37" s="232"/>
      <c r="C37" s="243" t="str">
        <f>C8</f>
        <v>Exterior Building Lighting-New</v>
      </c>
      <c r="D37" s="243"/>
      <c r="E37" s="256"/>
      <c r="F37" s="256"/>
      <c r="G37" s="256"/>
      <c r="H37" s="256"/>
      <c r="I37" s="256"/>
      <c r="J37" s="256"/>
      <c r="K37" s="256"/>
      <c r="L37" s="256"/>
      <c r="M37" s="256"/>
      <c r="N37" s="256"/>
      <c r="O37" s="256"/>
      <c r="P37" s="256"/>
      <c r="Q37" s="256"/>
      <c r="R37" s="256"/>
      <c r="S37" s="256"/>
      <c r="T37" s="256"/>
      <c r="U37" s="256"/>
      <c r="V37" s="256"/>
      <c r="W37" s="256"/>
      <c r="X37" s="256"/>
      <c r="Y37" s="249"/>
      <c r="AA37" s="24"/>
      <c r="AB37" s="24"/>
      <c r="AC37" s="24"/>
    </row>
    <row r="38" spans="1:29">
      <c r="A38" s="333">
        <f>1-VLOOKUP(D38,'DOE2014 Sales Pen'!$AA$5:$AH$25,7,FALSE)</f>
        <v>0.75</v>
      </c>
      <c r="B38" s="333">
        <v>1</v>
      </c>
      <c r="C38" t="s">
        <v>930</v>
      </c>
      <c r="D38" t="s">
        <v>972</v>
      </c>
      <c r="E38" s="254">
        <f>E$32*$A38*$B38</f>
        <v>42.835722844634603</v>
      </c>
      <c r="F38" s="254">
        <f t="shared" ref="F38:X45" si="7">F$32*$A38*$B38</f>
        <v>37.018995666342519</v>
      </c>
      <c r="G38" s="254">
        <f t="shared" si="7"/>
        <v>32.162997271172017</v>
      </c>
      <c r="H38" s="254">
        <f t="shared" si="7"/>
        <v>32.077446126386896</v>
      </c>
      <c r="I38" s="254">
        <f t="shared" si="7"/>
        <v>27.419444128306466</v>
      </c>
      <c r="J38" s="254">
        <f t="shared" si="7"/>
        <v>25.010314195076027</v>
      </c>
      <c r="K38" s="254">
        <f t="shared" si="7"/>
        <v>27.386479212447675</v>
      </c>
      <c r="L38" s="254">
        <f t="shared" si="7"/>
        <v>27.234442159571781</v>
      </c>
      <c r="M38" s="254">
        <f t="shared" si="7"/>
        <v>29.295703896547845</v>
      </c>
      <c r="N38" s="254">
        <f t="shared" si="7"/>
        <v>31.290870298082176</v>
      </c>
      <c r="O38" s="254">
        <f t="shared" si="7"/>
        <v>33.268662186269935</v>
      </c>
      <c r="P38" s="254">
        <f t="shared" si="7"/>
        <v>37.447857902878575</v>
      </c>
      <c r="Q38" s="254">
        <f t="shared" si="7"/>
        <v>40.469049298114783</v>
      </c>
      <c r="R38" s="254">
        <f t="shared" si="7"/>
        <v>38.632352887676326</v>
      </c>
      <c r="S38" s="254">
        <f t="shared" si="7"/>
        <v>40.545350473002998</v>
      </c>
      <c r="T38" s="254">
        <f t="shared" si="7"/>
        <v>39.17254611376066</v>
      </c>
      <c r="U38" s="254">
        <f t="shared" si="7"/>
        <v>38.277172623835497</v>
      </c>
      <c r="V38" s="254">
        <f t="shared" si="7"/>
        <v>36.261164988708167</v>
      </c>
      <c r="W38" s="254">
        <f t="shared" si="7"/>
        <v>35.434464670962413</v>
      </c>
      <c r="X38" s="254">
        <f t="shared" si="7"/>
        <v>35.765025292472409</v>
      </c>
      <c r="Y38" s="252">
        <f>SUM(E38:X38)</f>
        <v>687.00606223624982</v>
      </c>
      <c r="AA38" s="24"/>
      <c r="AB38" s="24"/>
      <c r="AC38" s="24"/>
    </row>
    <row r="39" spans="1:29">
      <c r="A39" s="333">
        <f>1-VLOOKUP(D39,'DOE2014 Sales Pen'!$AA$5:$AE$25,5,FALSE)</f>
        <v>0.64</v>
      </c>
      <c r="B39" s="333">
        <v>1</v>
      </c>
      <c r="C39" t="s">
        <v>931</v>
      </c>
      <c r="D39" t="s">
        <v>1055</v>
      </c>
      <c r="E39" s="254">
        <f t="shared" ref="E39:T45" si="8">E$32*$A39*$B39</f>
        <v>36.553150160754861</v>
      </c>
      <c r="F39" s="254">
        <f t="shared" si="8"/>
        <v>31.589542968612285</v>
      </c>
      <c r="G39" s="254">
        <f t="shared" si="8"/>
        <v>27.445757671400123</v>
      </c>
      <c r="H39" s="254">
        <f t="shared" si="8"/>
        <v>27.372754027850153</v>
      </c>
      <c r="I39" s="254">
        <f t="shared" si="8"/>
        <v>23.397925656154854</v>
      </c>
      <c r="J39" s="254">
        <f t="shared" si="8"/>
        <v>21.342134779798211</v>
      </c>
      <c r="K39" s="254">
        <f t="shared" si="8"/>
        <v>23.369795594622015</v>
      </c>
      <c r="L39" s="254">
        <f t="shared" si="8"/>
        <v>23.240057309501253</v>
      </c>
      <c r="M39" s="254">
        <f t="shared" si="8"/>
        <v>24.999000658387494</v>
      </c>
      <c r="N39" s="254">
        <f t="shared" si="8"/>
        <v>26.701542654363458</v>
      </c>
      <c r="O39" s="254">
        <f t="shared" si="8"/>
        <v>28.389258398950343</v>
      </c>
      <c r="P39" s="254">
        <f t="shared" si="8"/>
        <v>31.955505410456386</v>
      </c>
      <c r="Q39" s="254">
        <f t="shared" si="8"/>
        <v>34.53358873439128</v>
      </c>
      <c r="R39" s="254">
        <f t="shared" si="8"/>
        <v>32.966274464150466</v>
      </c>
      <c r="S39" s="254">
        <f t="shared" si="8"/>
        <v>34.598699070295886</v>
      </c>
      <c r="T39" s="254">
        <f t="shared" si="8"/>
        <v>33.427239350409103</v>
      </c>
      <c r="U39" s="254">
        <f t="shared" si="7"/>
        <v>32.663187305672963</v>
      </c>
      <c r="V39" s="254">
        <f t="shared" si="7"/>
        <v>30.942860790364303</v>
      </c>
      <c r="W39" s="254">
        <f t="shared" si="7"/>
        <v>30.237409852554592</v>
      </c>
      <c r="X39" s="254">
        <f t="shared" si="7"/>
        <v>30.519488249576458</v>
      </c>
      <c r="Y39" s="252">
        <f>SUM(E39:X39)</f>
        <v>586.2451731082665</v>
      </c>
      <c r="AA39" s="24"/>
      <c r="AB39" s="24"/>
      <c r="AC39" s="24"/>
    </row>
    <row r="40" spans="1:29">
      <c r="A40" s="333">
        <f>1-VLOOKUP(D40,'DOE2014 Sales Pen'!$AA$5:$AE$25,5,FALSE)</f>
        <v>0.64</v>
      </c>
      <c r="B40" s="333">
        <v>1</v>
      </c>
      <c r="C40" t="s">
        <v>932</v>
      </c>
      <c r="D40" t="s">
        <v>1055</v>
      </c>
      <c r="E40" s="254">
        <f t="shared" si="8"/>
        <v>36.553150160754861</v>
      </c>
      <c r="F40" s="254">
        <f t="shared" si="7"/>
        <v>31.589542968612285</v>
      </c>
      <c r="G40" s="254">
        <f t="shared" si="7"/>
        <v>27.445757671400123</v>
      </c>
      <c r="H40" s="254">
        <f t="shared" si="7"/>
        <v>27.372754027850153</v>
      </c>
      <c r="I40" s="254">
        <f t="shared" si="7"/>
        <v>23.397925656154854</v>
      </c>
      <c r="J40" s="254">
        <f t="shared" si="7"/>
        <v>21.342134779798211</v>
      </c>
      <c r="K40" s="254">
        <f t="shared" si="7"/>
        <v>23.369795594622015</v>
      </c>
      <c r="L40" s="254">
        <f t="shared" si="7"/>
        <v>23.240057309501253</v>
      </c>
      <c r="M40" s="254">
        <f t="shared" si="7"/>
        <v>24.999000658387494</v>
      </c>
      <c r="N40" s="254">
        <f t="shared" si="7"/>
        <v>26.701542654363458</v>
      </c>
      <c r="O40" s="254">
        <f t="shared" si="7"/>
        <v>28.389258398950343</v>
      </c>
      <c r="P40" s="254">
        <f t="shared" si="7"/>
        <v>31.955505410456386</v>
      </c>
      <c r="Q40" s="254">
        <f t="shared" si="7"/>
        <v>34.53358873439128</v>
      </c>
      <c r="R40" s="254">
        <f t="shared" si="7"/>
        <v>32.966274464150466</v>
      </c>
      <c r="S40" s="254">
        <f t="shared" si="7"/>
        <v>34.598699070295886</v>
      </c>
      <c r="T40" s="254">
        <f t="shared" si="7"/>
        <v>33.427239350409103</v>
      </c>
      <c r="U40" s="254">
        <f t="shared" si="7"/>
        <v>32.663187305672963</v>
      </c>
      <c r="V40" s="254">
        <f t="shared" si="7"/>
        <v>30.942860790364303</v>
      </c>
      <c r="W40" s="254">
        <f t="shared" si="7"/>
        <v>30.237409852554592</v>
      </c>
      <c r="X40" s="254">
        <f t="shared" si="7"/>
        <v>30.519488249576458</v>
      </c>
      <c r="Y40" s="252">
        <f>SUM(E40:X40)</f>
        <v>586.2451731082665</v>
      </c>
      <c r="AA40" s="24"/>
      <c r="AB40" s="24"/>
      <c r="AC40" s="24"/>
    </row>
    <row r="41" spans="1:29">
      <c r="A41" s="333">
        <f>1-VLOOKUP(D41,'DOE2014 Sales Pen'!$AA$5:$AE$25,5,FALSE)</f>
        <v>0.64</v>
      </c>
      <c r="B41" s="333">
        <v>1</v>
      </c>
      <c r="C41" t="s">
        <v>933</v>
      </c>
      <c r="D41" t="s">
        <v>1055</v>
      </c>
      <c r="E41" s="254">
        <f t="shared" si="8"/>
        <v>36.553150160754861</v>
      </c>
      <c r="F41" s="254">
        <f t="shared" si="7"/>
        <v>31.589542968612285</v>
      </c>
      <c r="G41" s="254">
        <f t="shared" si="7"/>
        <v>27.445757671400123</v>
      </c>
      <c r="H41" s="254">
        <f t="shared" si="7"/>
        <v>27.372754027850153</v>
      </c>
      <c r="I41" s="254">
        <f t="shared" si="7"/>
        <v>23.397925656154854</v>
      </c>
      <c r="J41" s="254">
        <f t="shared" si="7"/>
        <v>21.342134779798211</v>
      </c>
      <c r="K41" s="254">
        <f t="shared" si="7"/>
        <v>23.369795594622015</v>
      </c>
      <c r="L41" s="254">
        <f t="shared" si="7"/>
        <v>23.240057309501253</v>
      </c>
      <c r="M41" s="254">
        <f t="shared" si="7"/>
        <v>24.999000658387494</v>
      </c>
      <c r="N41" s="254">
        <f t="shared" si="7"/>
        <v>26.701542654363458</v>
      </c>
      <c r="O41" s="254">
        <f t="shared" si="7"/>
        <v>28.389258398950343</v>
      </c>
      <c r="P41" s="254">
        <f t="shared" si="7"/>
        <v>31.955505410456386</v>
      </c>
      <c r="Q41" s="254">
        <f t="shared" si="7"/>
        <v>34.53358873439128</v>
      </c>
      <c r="R41" s="254">
        <f t="shared" si="7"/>
        <v>32.966274464150466</v>
      </c>
      <c r="S41" s="254">
        <f t="shared" si="7"/>
        <v>34.598699070295886</v>
      </c>
      <c r="T41" s="254">
        <f t="shared" si="7"/>
        <v>33.427239350409103</v>
      </c>
      <c r="U41" s="254">
        <f t="shared" si="7"/>
        <v>32.663187305672963</v>
      </c>
      <c r="V41" s="254">
        <f t="shared" si="7"/>
        <v>30.942860790364303</v>
      </c>
      <c r="W41" s="254">
        <f t="shared" si="7"/>
        <v>30.237409852554592</v>
      </c>
      <c r="X41" s="254">
        <f t="shared" si="7"/>
        <v>30.519488249576458</v>
      </c>
      <c r="Y41" s="252">
        <f>SUM(E41:X41)</f>
        <v>586.2451731082665</v>
      </c>
      <c r="AA41" s="24"/>
      <c r="AB41" s="24"/>
      <c r="AC41" s="24"/>
    </row>
    <row r="42" spans="1:29">
      <c r="A42" s="333">
        <f>1-VLOOKUP(D42,'DOE2014 Sales Pen'!$AA$5:$AE$25,5,FALSE)</f>
        <v>0.64</v>
      </c>
      <c r="B42" s="333">
        <v>1</v>
      </c>
      <c r="C42" t="s">
        <v>934</v>
      </c>
      <c r="D42" t="s">
        <v>1055</v>
      </c>
      <c r="E42" s="254">
        <f t="shared" si="8"/>
        <v>36.553150160754861</v>
      </c>
      <c r="F42" s="254">
        <f t="shared" si="7"/>
        <v>31.589542968612285</v>
      </c>
      <c r="G42" s="254">
        <f t="shared" si="7"/>
        <v>27.445757671400123</v>
      </c>
      <c r="H42" s="254">
        <f t="shared" si="7"/>
        <v>27.372754027850153</v>
      </c>
      <c r="I42" s="254">
        <f t="shared" si="7"/>
        <v>23.397925656154854</v>
      </c>
      <c r="J42" s="254">
        <f t="shared" si="7"/>
        <v>21.342134779798211</v>
      </c>
      <c r="K42" s="254">
        <f t="shared" si="7"/>
        <v>23.369795594622015</v>
      </c>
      <c r="L42" s="254">
        <f t="shared" si="7"/>
        <v>23.240057309501253</v>
      </c>
      <c r="M42" s="254">
        <f t="shared" si="7"/>
        <v>24.999000658387494</v>
      </c>
      <c r="N42" s="254">
        <f t="shared" si="7"/>
        <v>26.701542654363458</v>
      </c>
      <c r="O42" s="254">
        <f t="shared" si="7"/>
        <v>28.389258398950343</v>
      </c>
      <c r="P42" s="254">
        <f t="shared" si="7"/>
        <v>31.955505410456386</v>
      </c>
      <c r="Q42" s="254">
        <f t="shared" si="7"/>
        <v>34.53358873439128</v>
      </c>
      <c r="R42" s="254">
        <f t="shared" si="7"/>
        <v>32.966274464150466</v>
      </c>
      <c r="S42" s="254">
        <f t="shared" si="7"/>
        <v>34.598699070295886</v>
      </c>
      <c r="T42" s="254">
        <f t="shared" si="7"/>
        <v>33.427239350409103</v>
      </c>
      <c r="U42" s="254">
        <f t="shared" si="7"/>
        <v>32.663187305672963</v>
      </c>
      <c r="V42" s="254">
        <f t="shared" si="7"/>
        <v>30.942860790364303</v>
      </c>
      <c r="W42" s="254">
        <f t="shared" si="7"/>
        <v>30.237409852554592</v>
      </c>
      <c r="X42" s="254">
        <f t="shared" si="7"/>
        <v>30.519488249576458</v>
      </c>
      <c r="Y42" s="252">
        <f>SUM(E42:X42)</f>
        <v>586.2451731082665</v>
      </c>
      <c r="AA42" s="24"/>
      <c r="AB42" s="24"/>
      <c r="AC42" s="24"/>
    </row>
    <row r="43" spans="1:29">
      <c r="A43" s="333">
        <f>1-VLOOKUP(D43,'DOE2014 Sales Pen'!$AA$5:$AE$25,5,FALSE)</f>
        <v>0.64</v>
      </c>
      <c r="B43" s="333">
        <v>1</v>
      </c>
      <c r="C43" t="s">
        <v>933</v>
      </c>
      <c r="D43" t="s">
        <v>1055</v>
      </c>
      <c r="E43" s="254">
        <f t="shared" si="8"/>
        <v>36.553150160754861</v>
      </c>
      <c r="F43" s="254">
        <f t="shared" si="7"/>
        <v>31.589542968612285</v>
      </c>
      <c r="G43" s="254">
        <f t="shared" si="7"/>
        <v>27.445757671400123</v>
      </c>
      <c r="H43" s="254">
        <f t="shared" si="7"/>
        <v>27.372754027850153</v>
      </c>
      <c r="I43" s="254">
        <f t="shared" si="7"/>
        <v>23.397925656154854</v>
      </c>
      <c r="J43" s="254">
        <f t="shared" si="7"/>
        <v>21.342134779798211</v>
      </c>
      <c r="K43" s="254">
        <f t="shared" si="7"/>
        <v>23.369795594622015</v>
      </c>
      <c r="L43" s="254">
        <f t="shared" si="7"/>
        <v>23.240057309501253</v>
      </c>
      <c r="M43" s="254">
        <f t="shared" si="7"/>
        <v>24.999000658387494</v>
      </c>
      <c r="N43" s="254">
        <f t="shared" si="7"/>
        <v>26.701542654363458</v>
      </c>
      <c r="O43" s="254">
        <f t="shared" si="7"/>
        <v>28.389258398950343</v>
      </c>
      <c r="P43" s="254">
        <f t="shared" si="7"/>
        <v>31.955505410456386</v>
      </c>
      <c r="Q43" s="254">
        <f t="shared" si="7"/>
        <v>34.53358873439128</v>
      </c>
      <c r="R43" s="254">
        <f t="shared" si="7"/>
        <v>32.966274464150466</v>
      </c>
      <c r="S43" s="254">
        <f t="shared" si="7"/>
        <v>34.598699070295886</v>
      </c>
      <c r="T43" s="254">
        <f t="shared" si="7"/>
        <v>33.427239350409103</v>
      </c>
      <c r="U43" s="254">
        <f t="shared" si="7"/>
        <v>32.663187305672963</v>
      </c>
      <c r="V43" s="254">
        <f t="shared" si="7"/>
        <v>30.942860790364303</v>
      </c>
      <c r="W43" s="254">
        <f t="shared" si="7"/>
        <v>30.237409852554592</v>
      </c>
      <c r="X43" s="254">
        <f t="shared" si="7"/>
        <v>30.519488249576458</v>
      </c>
      <c r="Y43" s="252">
        <f t="shared" ref="Y43:Y45" si="9">SUM(E43:X43)</f>
        <v>586.2451731082665</v>
      </c>
      <c r="AA43" s="24"/>
      <c r="AB43" s="24"/>
      <c r="AC43" s="24"/>
    </row>
    <row r="44" spans="1:29">
      <c r="A44" s="333">
        <f>1-VLOOKUP(D44,'DOE2014 Sales Pen'!$AA$5:$AE$25,5,FALSE)</f>
        <v>0.73</v>
      </c>
      <c r="B44" s="333">
        <v>1</v>
      </c>
      <c r="C44" t="s">
        <v>935</v>
      </c>
      <c r="D44" t="s">
        <v>972</v>
      </c>
      <c r="E44" s="254">
        <f t="shared" si="8"/>
        <v>41.693436902111017</v>
      </c>
      <c r="F44" s="254">
        <f t="shared" si="7"/>
        <v>36.031822448573386</v>
      </c>
      <c r="G44" s="254">
        <f t="shared" si="7"/>
        <v>31.305317343940764</v>
      </c>
      <c r="H44" s="254">
        <f t="shared" si="7"/>
        <v>31.222047563016577</v>
      </c>
      <c r="I44" s="254">
        <f t="shared" si="7"/>
        <v>26.688258951551628</v>
      </c>
      <c r="J44" s="254">
        <f t="shared" si="7"/>
        <v>24.343372483207336</v>
      </c>
      <c r="K44" s="254">
        <f t="shared" si="7"/>
        <v>26.656173100115733</v>
      </c>
      <c r="L44" s="254">
        <f t="shared" si="7"/>
        <v>26.508190368649867</v>
      </c>
      <c r="M44" s="254">
        <f t="shared" si="7"/>
        <v>28.514485125973234</v>
      </c>
      <c r="N44" s="254">
        <f t="shared" si="7"/>
        <v>30.456447090133317</v>
      </c>
      <c r="O44" s="254">
        <f t="shared" si="7"/>
        <v>32.381497861302734</v>
      </c>
      <c r="P44" s="254">
        <f t="shared" si="7"/>
        <v>36.44924835880181</v>
      </c>
      <c r="Q44" s="254">
        <f t="shared" si="7"/>
        <v>39.389874650165055</v>
      </c>
      <c r="R44" s="254">
        <f t="shared" si="7"/>
        <v>37.602156810671623</v>
      </c>
      <c r="S44" s="254">
        <f t="shared" si="7"/>
        <v>39.464141127056244</v>
      </c>
      <c r="T44" s="254">
        <f t="shared" si="7"/>
        <v>38.127944884060376</v>
      </c>
      <c r="U44" s="254">
        <f t="shared" si="7"/>
        <v>37.25644802053322</v>
      </c>
      <c r="V44" s="254">
        <f t="shared" si="7"/>
        <v>35.294200589009279</v>
      </c>
      <c r="W44" s="254">
        <f t="shared" si="7"/>
        <v>34.489545613070078</v>
      </c>
      <c r="X44" s="254">
        <f t="shared" si="7"/>
        <v>34.811291284673146</v>
      </c>
      <c r="Y44" s="252">
        <f t="shared" si="9"/>
        <v>668.6859005766164</v>
      </c>
      <c r="AA44" s="24"/>
      <c r="AB44" s="24" t="s">
        <v>697</v>
      </c>
      <c r="AC44" s="24"/>
    </row>
    <row r="45" spans="1:29">
      <c r="A45" s="333">
        <f>1-VLOOKUP(D45,'DOE2014 Sales Pen'!$AA$5:$AE$25,5,FALSE)</f>
        <v>0.73</v>
      </c>
      <c r="B45" s="333">
        <v>1</v>
      </c>
      <c r="C45" t="s">
        <v>936</v>
      </c>
      <c r="D45" t="s">
        <v>972</v>
      </c>
      <c r="E45" s="254">
        <f t="shared" si="8"/>
        <v>41.693436902111017</v>
      </c>
      <c r="F45" s="254">
        <f t="shared" si="7"/>
        <v>36.031822448573386</v>
      </c>
      <c r="G45" s="254">
        <f t="shared" si="7"/>
        <v>31.305317343940764</v>
      </c>
      <c r="H45" s="254">
        <f t="shared" si="7"/>
        <v>31.222047563016577</v>
      </c>
      <c r="I45" s="254">
        <f t="shared" si="7"/>
        <v>26.688258951551628</v>
      </c>
      <c r="J45" s="254">
        <f t="shared" si="7"/>
        <v>24.343372483207336</v>
      </c>
      <c r="K45" s="254">
        <f t="shared" si="7"/>
        <v>26.656173100115733</v>
      </c>
      <c r="L45" s="254">
        <f t="shared" si="7"/>
        <v>26.508190368649867</v>
      </c>
      <c r="M45" s="254">
        <f t="shared" si="7"/>
        <v>28.514485125973234</v>
      </c>
      <c r="N45" s="254">
        <f t="shared" si="7"/>
        <v>30.456447090133317</v>
      </c>
      <c r="O45" s="254">
        <f t="shared" si="7"/>
        <v>32.381497861302734</v>
      </c>
      <c r="P45" s="254">
        <f t="shared" si="7"/>
        <v>36.44924835880181</v>
      </c>
      <c r="Q45" s="254">
        <f t="shared" si="7"/>
        <v>39.389874650165055</v>
      </c>
      <c r="R45" s="254">
        <f t="shared" si="7"/>
        <v>37.602156810671623</v>
      </c>
      <c r="S45" s="254">
        <f t="shared" si="7"/>
        <v>39.464141127056244</v>
      </c>
      <c r="T45" s="254">
        <f t="shared" si="7"/>
        <v>38.127944884060376</v>
      </c>
      <c r="U45" s="254">
        <f t="shared" si="7"/>
        <v>37.25644802053322</v>
      </c>
      <c r="V45" s="254">
        <f t="shared" si="7"/>
        <v>35.294200589009279</v>
      </c>
      <c r="W45" s="254">
        <f t="shared" si="7"/>
        <v>34.489545613070078</v>
      </c>
      <c r="X45" s="254">
        <f t="shared" si="7"/>
        <v>34.811291284673146</v>
      </c>
      <c r="Y45" s="252">
        <f t="shared" si="9"/>
        <v>668.6859005766164</v>
      </c>
      <c r="AA45" s="24"/>
      <c r="AB45" s="24"/>
      <c r="AC45" s="24"/>
    </row>
    <row r="46" spans="1:29">
      <c r="A46" s="24"/>
      <c r="B46" s="258"/>
      <c r="C46" s="24"/>
      <c r="D46" s="24"/>
      <c r="E46" s="254"/>
      <c r="F46" s="254"/>
      <c r="G46" s="254"/>
      <c r="H46" s="254"/>
      <c r="I46" s="254"/>
      <c r="J46" s="254"/>
      <c r="K46" s="254"/>
      <c r="L46" s="254"/>
      <c r="M46" s="254"/>
      <c r="N46" s="254"/>
      <c r="O46" s="254"/>
      <c r="P46" s="254"/>
      <c r="Q46" s="254"/>
      <c r="R46" s="254"/>
      <c r="S46" s="254"/>
      <c r="T46" s="254"/>
      <c r="U46" s="254"/>
      <c r="V46" s="254"/>
      <c r="W46" s="254"/>
      <c r="X46" s="254"/>
      <c r="Y46" s="250"/>
      <c r="AA46" s="24"/>
      <c r="AB46" s="24"/>
      <c r="AC46" s="24"/>
    </row>
    <row r="47" spans="1:29">
      <c r="A47" s="24"/>
      <c r="B47" s="258"/>
      <c r="C47" s="24"/>
      <c r="D47" s="24"/>
      <c r="E47" s="254"/>
      <c r="F47" s="254"/>
      <c r="G47" s="254"/>
      <c r="H47" s="254"/>
      <c r="I47" s="254"/>
      <c r="J47" s="254"/>
      <c r="K47" s="254"/>
      <c r="L47" s="254"/>
      <c r="M47" s="254"/>
      <c r="N47" s="254"/>
      <c r="O47" s="254"/>
      <c r="P47" s="254"/>
      <c r="Q47" s="254"/>
      <c r="R47" s="254"/>
      <c r="S47" s="254"/>
      <c r="T47" s="254"/>
      <c r="U47" s="254"/>
      <c r="V47" s="254"/>
      <c r="W47" s="254"/>
      <c r="X47" s="254"/>
      <c r="Y47" s="250"/>
      <c r="AA47" s="24"/>
      <c r="AB47" s="24"/>
      <c r="AC47" s="24"/>
    </row>
    <row r="48" spans="1:29" ht="15">
      <c r="A48" s="246" t="s">
        <v>903</v>
      </c>
      <c r="B48" s="247"/>
      <c r="C48" s="259" t="s">
        <v>698</v>
      </c>
      <c r="D48" s="259" t="str">
        <f>VLOOKUP($C$49,[1]!ACHIEV,MATCH(E$11,$E$11:$Z$11,0)+1,FALSE)</f>
        <v>LO20Fast</v>
      </c>
      <c r="E48" s="24">
        <v>3</v>
      </c>
      <c r="F48" s="24">
        <v>4</v>
      </c>
      <c r="G48" s="24">
        <v>5</v>
      </c>
      <c r="H48" s="24">
        <v>6</v>
      </c>
      <c r="I48" s="24">
        <v>7</v>
      </c>
      <c r="J48" s="24">
        <v>8</v>
      </c>
      <c r="K48" s="24">
        <v>9</v>
      </c>
      <c r="L48" s="24">
        <v>10</v>
      </c>
      <c r="M48" s="24">
        <v>11</v>
      </c>
      <c r="N48" s="24">
        <v>12</v>
      </c>
      <c r="O48" s="24">
        <v>13</v>
      </c>
      <c r="P48" s="24">
        <v>14</v>
      </c>
      <c r="Q48" s="24">
        <v>15</v>
      </c>
      <c r="R48" s="24">
        <v>16</v>
      </c>
      <c r="S48" s="24">
        <v>17</v>
      </c>
      <c r="T48" s="24">
        <v>18</v>
      </c>
      <c r="U48" s="24">
        <v>19</v>
      </c>
      <c r="V48" s="24">
        <v>20</v>
      </c>
      <c r="W48" s="24">
        <v>21</v>
      </c>
      <c r="X48" s="24">
        <v>22</v>
      </c>
      <c r="Y48" s="24"/>
      <c r="Z48" s="198"/>
      <c r="AA48" s="24"/>
      <c r="AB48" s="24"/>
      <c r="AC48" s="24"/>
    </row>
    <row r="49" spans="1:29" ht="15">
      <c r="A49" s="243" t="s">
        <v>699</v>
      </c>
      <c r="B49" s="243"/>
      <c r="C49" s="259" t="str">
        <f>$C$8</f>
        <v>Exterior Building Lighting-New</v>
      </c>
      <c r="D49" s="259" t="s">
        <v>700</v>
      </c>
      <c r="E49" s="260">
        <f>VLOOKUP($C$49,[1]!ACHIEV,MATCH(E$11,$E$11:$Z$11,0)+2,FALSE)</f>
        <v>0.22119921692859512</v>
      </c>
      <c r="F49" s="260">
        <f>VLOOKUP($C$49,[1]!ACHIEV,MATCH(F$11,$E$11:$Z$11,0)+2,FALSE)</f>
        <v>0.37624232795148943</v>
      </c>
      <c r="G49" s="260">
        <f>VLOOKUP($C$49,[1]!ACHIEV,MATCH(G$11,$E$11:$Z$11,0)+2,FALSE)</f>
        <v>0.48357361352878442</v>
      </c>
      <c r="H49" s="260">
        <f>VLOOKUP($C$49,[1]!ACHIEV,MATCH(H$11,$E$11:$Z$11,0)+2,FALSE)</f>
        <v>0.56716330278444227</v>
      </c>
      <c r="I49" s="260">
        <f>VLOOKUP($C$49,[1]!ACHIEV,MATCH(I$11,$E$11:$Z$11,0)+2,FALSE)</f>
        <v>0.64040048266456928</v>
      </c>
      <c r="J49" s="260">
        <f>VLOOKUP($C$49,[1]!ACHIEV,MATCH(J$11,$E$11:$Z$11,0)+2,FALSE)</f>
        <v>0.70377511937632964</v>
      </c>
      <c r="K49" s="260">
        <f>VLOOKUP($C$49,[1]!ACHIEV,MATCH(K$11,$E$11:$Z$11,0)+2,FALSE)</f>
        <v>0.7580669577441127</v>
      </c>
      <c r="L49" s="260">
        <f>VLOOKUP($C$49,[1]!ACHIEV,MATCH(L$11,$E$11:$Z$11,0)+2,FALSE)</f>
        <v>0.80419335000071168</v>
      </c>
      <c r="M49" s="260">
        <f>VLOOKUP($C$49,[1]!ACHIEV,MATCH(M$11,$E$11:$Z$11,0)+2,FALSE)</f>
        <v>0.84311022627788457</v>
      </c>
      <c r="N49" s="260">
        <f>VLOOKUP($C$49,[1]!ACHIEV,MATCH(N$11,$E$11:$Z$11,0)+2,FALSE)</f>
        <v>0.87575014259103623</v>
      </c>
      <c r="O49" s="260">
        <f>VLOOKUP($C$49,[1]!ACHIEV,MATCH(O$11,$E$11:$Z$11,0)+2,FALSE)</f>
        <v>0.90298584871682319</v>
      </c>
      <c r="P49" s="260">
        <f>VLOOKUP($C$49,[1]!ACHIEV,MATCH(P$11,$E$11:$Z$11,0)+2,FALSE)</f>
        <v>0.92419703797508856</v>
      </c>
      <c r="Q49" s="260">
        <f>VLOOKUP($C$49,[1]!ACHIEV,MATCH(Q$11,$E$11:$Z$11,0)+2,FALSE)</f>
        <v>0.94071632877930145</v>
      </c>
      <c r="R49" s="260">
        <f>VLOOKUP($C$49,[1]!ACHIEV,MATCH(R$11,$E$11:$Z$11,0)+2,FALSE)</f>
        <v>0.95358156539340677</v>
      </c>
      <c r="S49" s="260">
        <f>VLOOKUP($C$49,[1]!ACHIEV,MATCH(S$11,$E$11:$Z$11,0)+2,FALSE)</f>
        <v>0.96360102174287088</v>
      </c>
      <c r="T49" s="260">
        <f>VLOOKUP($C$49,[1]!ACHIEV,MATCH(T$11,$E$11:$Z$11,0)+2,FALSE)</f>
        <v>0.97140418219378311</v>
      </c>
      <c r="U49" s="260">
        <f>VLOOKUP($C$49,[1]!ACHIEV,MATCH(U$11,$E$11:$Z$11,0)+2,FALSE)</f>
        <v>0.97748128966338554</v>
      </c>
      <c r="V49" s="260">
        <f>VLOOKUP($C$49,[1]!ACHIEV,MATCH(V$11,$E$11:$Z$11,0)+2,FALSE)</f>
        <v>0.98221414571952104</v>
      </c>
      <c r="W49" s="260">
        <f>VLOOKUP($C$49,[1]!ACHIEV,MATCH(W$11,$E$11:$Z$11,0)+2,FALSE)</f>
        <v>0.98590009772220355</v>
      </c>
      <c r="X49" s="260">
        <f>VLOOKUP($C$49,[1]!ACHIEV,MATCH(X$11,$E$11:$Z$11,0)+2,FALSE)</f>
        <v>0.98877072002825628</v>
      </c>
      <c r="Y49" s="248" t="s">
        <v>694</v>
      </c>
      <c r="Z49" s="248" t="s">
        <v>695</v>
      </c>
      <c r="AA49" s="24"/>
      <c r="AB49" s="24"/>
      <c r="AC49" s="24"/>
    </row>
    <row r="50" spans="1:29">
      <c r="A50" s="261"/>
      <c r="B50" s="257"/>
      <c r="C50" s="24" t="s">
        <v>413</v>
      </c>
      <c r="D50" s="24"/>
      <c r="E50" s="198">
        <f t="shared" ref="E50:X50" si="10">E38*E$49*$Z$12</f>
        <v>8.0539440973329803</v>
      </c>
      <c r="F50" s="198">
        <f t="shared" si="10"/>
        <v>11.838896141741188</v>
      </c>
      <c r="G50" s="198">
        <f t="shared" si="10"/>
        <v>13.220200290486522</v>
      </c>
      <c r="H50" s="198">
        <f t="shared" si="10"/>
        <v>15.464177746441864</v>
      </c>
      <c r="I50" s="198">
        <f t="shared" si="10"/>
        <v>14.925511466037404</v>
      </c>
      <c r="J50" s="198">
        <f t="shared" si="10"/>
        <v>14.961391329537271</v>
      </c>
      <c r="K50" s="198">
        <f t="shared" si="10"/>
        <v>17.646667232917203</v>
      </c>
      <c r="L50" s="198">
        <f t="shared" si="10"/>
        <v>18.616493684350651</v>
      </c>
      <c r="M50" s="198">
        <f t="shared" si="10"/>
        <v>20.994581410010102</v>
      </c>
      <c r="N50" s="198">
        <f t="shared" si="10"/>
        <v>23.292536506541623</v>
      </c>
      <c r="O50" s="198">
        <f t="shared" si="10"/>
        <v>25.534961485950902</v>
      </c>
      <c r="P50" s="198">
        <f t="shared" si="10"/>
        <v>29.417819449499532</v>
      </c>
      <c r="Q50" s="198">
        <f t="shared" si="10"/>
        <v>32.359411162174439</v>
      </c>
      <c r="R50" s="198">
        <f t="shared" si="10"/>
        <v>31.313234610241754</v>
      </c>
      <c r="S50" s="198">
        <f t="shared" si="10"/>
        <v>33.209109971302205</v>
      </c>
      <c r="T50" s="198">
        <f t="shared" si="10"/>
        <v>32.344518853773046</v>
      </c>
      <c r="U50" s="198">
        <f t="shared" si="10"/>
        <v>31.802937051862543</v>
      </c>
      <c r="V50" s="198">
        <f t="shared" si="10"/>
        <v>30.27379481335181</v>
      </c>
      <c r="W50" s="198">
        <f t="shared" si="10"/>
        <v>29.694615854560439</v>
      </c>
      <c r="X50" s="198">
        <f t="shared" si="10"/>
        <v>30.058898338726728</v>
      </c>
      <c r="Y50" s="252">
        <f t="shared" ref="Y50:Y57" si="11">SUM(E50:X50)</f>
        <v>465.02370149684026</v>
      </c>
      <c r="AA50" s="24"/>
      <c r="AB50" s="24"/>
      <c r="AC50" s="24"/>
    </row>
    <row r="51" spans="1:29">
      <c r="A51" s="261"/>
      <c r="B51" s="257"/>
      <c r="C51" s="24" t="s">
        <v>414</v>
      </c>
      <c r="D51" s="24"/>
      <c r="E51" s="198">
        <f t="shared" ref="E51:X51" si="12">E39*E$49*$Z$12</f>
        <v>6.8726989630574771</v>
      </c>
      <c r="F51" s="198">
        <f t="shared" si="12"/>
        <v>10.102524707619146</v>
      </c>
      <c r="G51" s="198">
        <f t="shared" si="12"/>
        <v>11.281237581215166</v>
      </c>
      <c r="H51" s="198">
        <f t="shared" si="12"/>
        <v>13.196098343630391</v>
      </c>
      <c r="I51" s="198">
        <f t="shared" si="12"/>
        <v>12.736436451018585</v>
      </c>
      <c r="J51" s="198">
        <f t="shared" si="12"/>
        <v>12.767053934538472</v>
      </c>
      <c r="K51" s="198">
        <f t="shared" si="12"/>
        <v>15.058489372089346</v>
      </c>
      <c r="L51" s="198">
        <f t="shared" si="12"/>
        <v>15.886074610645888</v>
      </c>
      <c r="M51" s="198">
        <f t="shared" si="12"/>
        <v>17.915376136541955</v>
      </c>
      <c r="N51" s="198">
        <f t="shared" si="12"/>
        <v>19.876297818915518</v>
      </c>
      <c r="O51" s="198">
        <f t="shared" si="12"/>
        <v>21.78983380134477</v>
      </c>
      <c r="P51" s="198">
        <f t="shared" si="12"/>
        <v>25.1032059302396</v>
      </c>
      <c r="Q51" s="198">
        <f t="shared" si="12"/>
        <v>27.613364191722187</v>
      </c>
      <c r="R51" s="198">
        <f t="shared" si="12"/>
        <v>26.720626867406299</v>
      </c>
      <c r="S51" s="198">
        <f t="shared" si="12"/>
        <v>28.338440508844545</v>
      </c>
      <c r="T51" s="198">
        <f t="shared" si="12"/>
        <v>27.600656088552999</v>
      </c>
      <c r="U51" s="198">
        <f t="shared" si="12"/>
        <v>27.138506284256039</v>
      </c>
      <c r="V51" s="198">
        <f t="shared" si="12"/>
        <v>25.833638240726877</v>
      </c>
      <c r="W51" s="198">
        <f t="shared" si="12"/>
        <v>25.339405529224909</v>
      </c>
      <c r="X51" s="198">
        <f t="shared" si="12"/>
        <v>25.650259915713477</v>
      </c>
      <c r="Y51" s="252">
        <f t="shared" si="11"/>
        <v>396.82022527730368</v>
      </c>
      <c r="AA51" s="24"/>
      <c r="AB51" s="24"/>
      <c r="AC51" s="24"/>
    </row>
    <row r="52" spans="1:29">
      <c r="A52" s="261"/>
      <c r="B52" s="257"/>
      <c r="C52" s="24" t="s">
        <v>415</v>
      </c>
      <c r="D52" s="24"/>
      <c r="E52" s="198">
        <f t="shared" ref="E52:X52" si="13">E40*E$49*$Z$12</f>
        <v>6.8726989630574771</v>
      </c>
      <c r="F52" s="198">
        <f t="shared" si="13"/>
        <v>10.102524707619146</v>
      </c>
      <c r="G52" s="198">
        <f t="shared" si="13"/>
        <v>11.281237581215166</v>
      </c>
      <c r="H52" s="198">
        <f t="shared" si="13"/>
        <v>13.196098343630391</v>
      </c>
      <c r="I52" s="198">
        <f t="shared" si="13"/>
        <v>12.736436451018585</v>
      </c>
      <c r="J52" s="198">
        <f t="shared" si="13"/>
        <v>12.767053934538472</v>
      </c>
      <c r="K52" s="198">
        <f t="shared" si="13"/>
        <v>15.058489372089346</v>
      </c>
      <c r="L52" s="198">
        <f t="shared" si="13"/>
        <v>15.886074610645888</v>
      </c>
      <c r="M52" s="198">
        <f t="shared" si="13"/>
        <v>17.915376136541955</v>
      </c>
      <c r="N52" s="198">
        <f t="shared" si="13"/>
        <v>19.876297818915518</v>
      </c>
      <c r="O52" s="198">
        <f t="shared" si="13"/>
        <v>21.78983380134477</v>
      </c>
      <c r="P52" s="198">
        <f t="shared" si="13"/>
        <v>25.1032059302396</v>
      </c>
      <c r="Q52" s="198">
        <f t="shared" si="13"/>
        <v>27.613364191722187</v>
      </c>
      <c r="R52" s="198">
        <f t="shared" si="13"/>
        <v>26.720626867406299</v>
      </c>
      <c r="S52" s="198">
        <f t="shared" si="13"/>
        <v>28.338440508844545</v>
      </c>
      <c r="T52" s="198">
        <f t="shared" si="13"/>
        <v>27.600656088552999</v>
      </c>
      <c r="U52" s="198">
        <f t="shared" si="13"/>
        <v>27.138506284256039</v>
      </c>
      <c r="V52" s="198">
        <f t="shared" si="13"/>
        <v>25.833638240726877</v>
      </c>
      <c r="W52" s="198">
        <f t="shared" si="13"/>
        <v>25.339405529224909</v>
      </c>
      <c r="X52" s="198">
        <f t="shared" si="13"/>
        <v>25.650259915713477</v>
      </c>
      <c r="Y52" s="252">
        <f t="shared" si="11"/>
        <v>396.82022527730368</v>
      </c>
      <c r="AA52" s="24"/>
      <c r="AB52" s="24"/>
      <c r="AC52" s="24"/>
    </row>
    <row r="53" spans="1:29">
      <c r="A53" s="261"/>
      <c r="B53" s="257"/>
      <c r="C53" s="24" t="s">
        <v>416</v>
      </c>
      <c r="D53" s="24"/>
      <c r="E53" s="198">
        <f t="shared" ref="E53:X53" si="14">E41*E$49*$Z$12</f>
        <v>6.8726989630574771</v>
      </c>
      <c r="F53" s="198">
        <f t="shared" si="14"/>
        <v>10.102524707619146</v>
      </c>
      <c r="G53" s="198">
        <f t="shared" si="14"/>
        <v>11.281237581215166</v>
      </c>
      <c r="H53" s="198">
        <f t="shared" si="14"/>
        <v>13.196098343630391</v>
      </c>
      <c r="I53" s="198">
        <f t="shared" si="14"/>
        <v>12.736436451018585</v>
      </c>
      <c r="J53" s="198">
        <f t="shared" si="14"/>
        <v>12.767053934538472</v>
      </c>
      <c r="K53" s="198">
        <f t="shared" si="14"/>
        <v>15.058489372089346</v>
      </c>
      <c r="L53" s="198">
        <f t="shared" si="14"/>
        <v>15.886074610645888</v>
      </c>
      <c r="M53" s="198">
        <f t="shared" si="14"/>
        <v>17.915376136541955</v>
      </c>
      <c r="N53" s="198">
        <f t="shared" si="14"/>
        <v>19.876297818915518</v>
      </c>
      <c r="O53" s="198">
        <f t="shared" si="14"/>
        <v>21.78983380134477</v>
      </c>
      <c r="P53" s="198">
        <f t="shared" si="14"/>
        <v>25.1032059302396</v>
      </c>
      <c r="Q53" s="198">
        <f t="shared" si="14"/>
        <v>27.613364191722187</v>
      </c>
      <c r="R53" s="198">
        <f t="shared" si="14"/>
        <v>26.720626867406299</v>
      </c>
      <c r="S53" s="198">
        <f t="shared" si="14"/>
        <v>28.338440508844545</v>
      </c>
      <c r="T53" s="198">
        <f t="shared" si="14"/>
        <v>27.600656088552999</v>
      </c>
      <c r="U53" s="198">
        <f t="shared" si="14"/>
        <v>27.138506284256039</v>
      </c>
      <c r="V53" s="198">
        <f t="shared" si="14"/>
        <v>25.833638240726877</v>
      </c>
      <c r="W53" s="198">
        <f t="shared" si="14"/>
        <v>25.339405529224909</v>
      </c>
      <c r="X53" s="198">
        <f t="shared" si="14"/>
        <v>25.650259915713477</v>
      </c>
      <c r="Y53" s="252">
        <f t="shared" si="11"/>
        <v>396.82022527730368</v>
      </c>
      <c r="AA53" s="24"/>
      <c r="AB53" s="24"/>
      <c r="AC53" s="24"/>
    </row>
    <row r="54" spans="1:29">
      <c r="A54" s="261"/>
      <c r="B54" s="257"/>
      <c r="C54" s="24" t="s">
        <v>418</v>
      </c>
      <c r="D54" s="24"/>
      <c r="E54" s="198">
        <f t="shared" ref="E54:X54" si="15">E42*E$49*$Z$12</f>
        <v>6.8726989630574771</v>
      </c>
      <c r="F54" s="198">
        <f t="shared" si="15"/>
        <v>10.102524707619146</v>
      </c>
      <c r="G54" s="198">
        <f t="shared" si="15"/>
        <v>11.281237581215166</v>
      </c>
      <c r="H54" s="198">
        <f t="shared" si="15"/>
        <v>13.196098343630391</v>
      </c>
      <c r="I54" s="198">
        <f t="shared" si="15"/>
        <v>12.736436451018585</v>
      </c>
      <c r="J54" s="198">
        <f t="shared" si="15"/>
        <v>12.767053934538472</v>
      </c>
      <c r="K54" s="198">
        <f t="shared" si="15"/>
        <v>15.058489372089346</v>
      </c>
      <c r="L54" s="198">
        <f t="shared" si="15"/>
        <v>15.886074610645888</v>
      </c>
      <c r="M54" s="198">
        <f t="shared" si="15"/>
        <v>17.915376136541955</v>
      </c>
      <c r="N54" s="198">
        <f t="shared" si="15"/>
        <v>19.876297818915518</v>
      </c>
      <c r="O54" s="198">
        <f t="shared" si="15"/>
        <v>21.78983380134477</v>
      </c>
      <c r="P54" s="198">
        <f t="shared" si="15"/>
        <v>25.1032059302396</v>
      </c>
      <c r="Q54" s="198">
        <f t="shared" si="15"/>
        <v>27.613364191722187</v>
      </c>
      <c r="R54" s="198">
        <f t="shared" si="15"/>
        <v>26.720626867406299</v>
      </c>
      <c r="S54" s="198">
        <f t="shared" si="15"/>
        <v>28.338440508844545</v>
      </c>
      <c r="T54" s="198">
        <f t="shared" si="15"/>
        <v>27.600656088552999</v>
      </c>
      <c r="U54" s="198">
        <f t="shared" si="15"/>
        <v>27.138506284256039</v>
      </c>
      <c r="V54" s="198">
        <f t="shared" si="15"/>
        <v>25.833638240726877</v>
      </c>
      <c r="W54" s="198">
        <f t="shared" si="15"/>
        <v>25.339405529224909</v>
      </c>
      <c r="X54" s="198">
        <f t="shared" si="15"/>
        <v>25.650259915713477</v>
      </c>
      <c r="Y54" s="252">
        <f t="shared" si="11"/>
        <v>396.82022527730368</v>
      </c>
      <c r="AA54" s="24"/>
      <c r="AB54" s="24"/>
      <c r="AC54" s="24"/>
    </row>
    <row r="55" spans="1:29">
      <c r="A55" s="261"/>
      <c r="B55" s="257"/>
      <c r="C55" s="24" t="s">
        <v>420</v>
      </c>
      <c r="D55" s="24"/>
      <c r="E55" s="198">
        <f t="shared" ref="E55:X55" si="16">E43*E$49*$Z$12</f>
        <v>6.8726989630574771</v>
      </c>
      <c r="F55" s="198">
        <f t="shared" si="16"/>
        <v>10.102524707619146</v>
      </c>
      <c r="G55" s="198">
        <f t="shared" si="16"/>
        <v>11.281237581215166</v>
      </c>
      <c r="H55" s="198">
        <f t="shared" si="16"/>
        <v>13.196098343630391</v>
      </c>
      <c r="I55" s="198">
        <f t="shared" si="16"/>
        <v>12.736436451018585</v>
      </c>
      <c r="J55" s="198">
        <f t="shared" si="16"/>
        <v>12.767053934538472</v>
      </c>
      <c r="K55" s="198">
        <f t="shared" si="16"/>
        <v>15.058489372089346</v>
      </c>
      <c r="L55" s="198">
        <f t="shared" si="16"/>
        <v>15.886074610645888</v>
      </c>
      <c r="M55" s="198">
        <f t="shared" si="16"/>
        <v>17.915376136541955</v>
      </c>
      <c r="N55" s="198">
        <f t="shared" si="16"/>
        <v>19.876297818915518</v>
      </c>
      <c r="O55" s="198">
        <f t="shared" si="16"/>
        <v>21.78983380134477</v>
      </c>
      <c r="P55" s="198">
        <f t="shared" si="16"/>
        <v>25.1032059302396</v>
      </c>
      <c r="Q55" s="198">
        <f t="shared" si="16"/>
        <v>27.613364191722187</v>
      </c>
      <c r="R55" s="198">
        <f t="shared" si="16"/>
        <v>26.720626867406299</v>
      </c>
      <c r="S55" s="198">
        <f t="shared" si="16"/>
        <v>28.338440508844545</v>
      </c>
      <c r="T55" s="198">
        <f t="shared" si="16"/>
        <v>27.600656088552999</v>
      </c>
      <c r="U55" s="198">
        <f t="shared" si="16"/>
        <v>27.138506284256039</v>
      </c>
      <c r="V55" s="198">
        <f t="shared" si="16"/>
        <v>25.833638240726877</v>
      </c>
      <c r="W55" s="198">
        <f t="shared" si="16"/>
        <v>25.339405529224909</v>
      </c>
      <c r="X55" s="198">
        <f t="shared" si="16"/>
        <v>25.650259915713477</v>
      </c>
      <c r="Y55" s="252">
        <f t="shared" si="11"/>
        <v>396.82022527730368</v>
      </c>
      <c r="AA55" s="24"/>
      <c r="AB55" s="24"/>
      <c r="AC55" s="24"/>
    </row>
    <row r="56" spans="1:29">
      <c r="A56" s="261"/>
      <c r="B56" s="257"/>
      <c r="C56" s="24" t="s">
        <v>423</v>
      </c>
      <c r="D56" s="24"/>
      <c r="E56" s="198">
        <f t="shared" ref="E56:X56" si="17">E44*E$49*$Z$12</f>
        <v>7.8391722547374352</v>
      </c>
      <c r="F56" s="198">
        <f t="shared" si="17"/>
        <v>11.523192244628088</v>
      </c>
      <c r="G56" s="198">
        <f t="shared" si="17"/>
        <v>12.867661616073548</v>
      </c>
      <c r="H56" s="198">
        <f t="shared" si="17"/>
        <v>15.051799673203414</v>
      </c>
      <c r="I56" s="198">
        <f t="shared" si="17"/>
        <v>14.527497826943073</v>
      </c>
      <c r="J56" s="198">
        <f t="shared" si="17"/>
        <v>14.562420894082944</v>
      </c>
      <c r="K56" s="198">
        <f t="shared" si="17"/>
        <v>17.176089440039409</v>
      </c>
      <c r="L56" s="198">
        <f t="shared" si="17"/>
        <v>18.120053852767963</v>
      </c>
      <c r="M56" s="198">
        <f t="shared" si="17"/>
        <v>20.434725905743168</v>
      </c>
      <c r="N56" s="198">
        <f t="shared" si="17"/>
        <v>22.671402199700509</v>
      </c>
      <c r="O56" s="198">
        <f t="shared" si="17"/>
        <v>24.854029179658877</v>
      </c>
      <c r="P56" s="198">
        <f t="shared" si="17"/>
        <v>28.633344264179538</v>
      </c>
      <c r="Q56" s="198">
        <f t="shared" si="17"/>
        <v>31.49649353118312</v>
      </c>
      <c r="R56" s="198">
        <f t="shared" si="17"/>
        <v>30.478215020635307</v>
      </c>
      <c r="S56" s="198">
        <f t="shared" si="17"/>
        <v>32.323533705400806</v>
      </c>
      <c r="T56" s="198">
        <f t="shared" si="17"/>
        <v>31.481998351005757</v>
      </c>
      <c r="U56" s="198">
        <f t="shared" si="17"/>
        <v>30.954858730479547</v>
      </c>
      <c r="V56" s="198">
        <f t="shared" si="17"/>
        <v>29.466493618329093</v>
      </c>
      <c r="W56" s="198">
        <f t="shared" si="17"/>
        <v>28.902759431772157</v>
      </c>
      <c r="X56" s="198">
        <f t="shared" si="17"/>
        <v>29.257327716360685</v>
      </c>
      <c r="Y56" s="252">
        <f t="shared" si="11"/>
        <v>452.62306945692444</v>
      </c>
      <c r="AA56" s="24"/>
      <c r="AB56" s="24"/>
      <c r="AC56" s="24"/>
    </row>
    <row r="57" spans="1:29">
      <c r="A57" s="261"/>
      <c r="B57" s="257"/>
      <c r="C57" s="24" t="s">
        <v>424</v>
      </c>
      <c r="D57" s="24"/>
      <c r="E57" s="198">
        <f t="shared" ref="E57:X57" si="18">E45*E$49*$Z$12</f>
        <v>7.8391722547374352</v>
      </c>
      <c r="F57" s="198">
        <f t="shared" si="18"/>
        <v>11.523192244628088</v>
      </c>
      <c r="G57" s="198">
        <f t="shared" si="18"/>
        <v>12.867661616073548</v>
      </c>
      <c r="H57" s="198">
        <f t="shared" si="18"/>
        <v>15.051799673203414</v>
      </c>
      <c r="I57" s="198">
        <f t="shared" si="18"/>
        <v>14.527497826943073</v>
      </c>
      <c r="J57" s="198">
        <f t="shared" si="18"/>
        <v>14.562420894082944</v>
      </c>
      <c r="K57" s="198">
        <f t="shared" si="18"/>
        <v>17.176089440039409</v>
      </c>
      <c r="L57" s="198">
        <f t="shared" si="18"/>
        <v>18.120053852767963</v>
      </c>
      <c r="M57" s="198">
        <f t="shared" si="18"/>
        <v>20.434725905743168</v>
      </c>
      <c r="N57" s="198">
        <f t="shared" si="18"/>
        <v>22.671402199700509</v>
      </c>
      <c r="O57" s="198">
        <f t="shared" si="18"/>
        <v>24.854029179658877</v>
      </c>
      <c r="P57" s="198">
        <f t="shared" si="18"/>
        <v>28.633344264179538</v>
      </c>
      <c r="Q57" s="198">
        <f t="shared" si="18"/>
        <v>31.49649353118312</v>
      </c>
      <c r="R57" s="198">
        <f t="shared" si="18"/>
        <v>30.478215020635307</v>
      </c>
      <c r="S57" s="198">
        <f t="shared" si="18"/>
        <v>32.323533705400806</v>
      </c>
      <c r="T57" s="198">
        <f t="shared" si="18"/>
        <v>31.481998351005757</v>
      </c>
      <c r="U57" s="198">
        <f t="shared" si="18"/>
        <v>30.954858730479547</v>
      </c>
      <c r="V57" s="198">
        <f t="shared" si="18"/>
        <v>29.466493618329093</v>
      </c>
      <c r="W57" s="198">
        <f t="shared" si="18"/>
        <v>28.902759431772157</v>
      </c>
      <c r="X57" s="198">
        <f t="shared" si="18"/>
        <v>29.257327716360685</v>
      </c>
      <c r="Y57" s="252">
        <f t="shared" si="11"/>
        <v>452.62306945692444</v>
      </c>
      <c r="AA57" s="24"/>
      <c r="AB57" s="24"/>
      <c r="AC57" s="24"/>
    </row>
    <row r="58" spans="1:29">
      <c r="A58" s="261"/>
      <c r="B58" s="257"/>
      <c r="C58" s="47"/>
      <c r="D58" s="24"/>
      <c r="E58" s="198"/>
      <c r="F58" s="198"/>
      <c r="G58" s="198"/>
      <c r="H58" s="198"/>
      <c r="I58" s="198"/>
      <c r="J58" s="198"/>
      <c r="K58" s="198"/>
      <c r="L58" s="198"/>
      <c r="M58" s="198"/>
      <c r="N58" s="198"/>
      <c r="O58" s="198"/>
      <c r="P58" s="198"/>
      <c r="Q58" s="198"/>
      <c r="R58" s="198"/>
      <c r="S58" s="198"/>
      <c r="T58" s="198"/>
      <c r="U58" s="198"/>
      <c r="V58" s="198"/>
      <c r="W58" s="198"/>
      <c r="X58" s="198"/>
      <c r="Y58" s="252"/>
      <c r="AA58" s="24"/>
      <c r="AB58" s="24"/>
      <c r="AC58" s="24"/>
    </row>
    <row r="59" spans="1:29">
      <c r="A59" s="24"/>
      <c r="B59" s="24"/>
      <c r="C59" s="123" t="s">
        <v>701</v>
      </c>
      <c r="D59" s="24"/>
      <c r="E59" s="198">
        <f>SUM(E50:E57)</f>
        <v>58.095783422095238</v>
      </c>
      <c r="F59" s="198">
        <f t="shared" ref="F59:X59" si="19">SUM(F50:F57)</f>
        <v>85.397904169093096</v>
      </c>
      <c r="G59" s="198">
        <f t="shared" si="19"/>
        <v>95.361711428709441</v>
      </c>
      <c r="H59" s="198">
        <f t="shared" si="19"/>
        <v>111.54826881100067</v>
      </c>
      <c r="I59" s="198">
        <f t="shared" si="19"/>
        <v>107.66268937501648</v>
      </c>
      <c r="J59" s="198">
        <f t="shared" si="19"/>
        <v>107.92150279039552</v>
      </c>
      <c r="K59" s="198">
        <f t="shared" si="19"/>
        <v>127.29129297344274</v>
      </c>
      <c r="L59" s="198">
        <f t="shared" si="19"/>
        <v>134.28697444311604</v>
      </c>
      <c r="M59" s="198">
        <f t="shared" si="19"/>
        <v>151.44091390420621</v>
      </c>
      <c r="N59" s="198">
        <f t="shared" si="19"/>
        <v>168.01683000052023</v>
      </c>
      <c r="O59" s="198">
        <f t="shared" si="19"/>
        <v>184.19218885199251</v>
      </c>
      <c r="P59" s="198">
        <f t="shared" si="19"/>
        <v>212.20053762905658</v>
      </c>
      <c r="Q59" s="198">
        <f t="shared" si="19"/>
        <v>233.4192191831516</v>
      </c>
      <c r="R59" s="198">
        <f t="shared" si="19"/>
        <v>225.87279898854388</v>
      </c>
      <c r="S59" s="198">
        <f t="shared" si="19"/>
        <v>239.5483799263265</v>
      </c>
      <c r="T59" s="198">
        <f t="shared" si="19"/>
        <v>233.31179599854954</v>
      </c>
      <c r="U59" s="198">
        <f t="shared" si="19"/>
        <v>229.40518593410184</v>
      </c>
      <c r="V59" s="198">
        <f t="shared" si="19"/>
        <v>218.37497325364438</v>
      </c>
      <c r="W59" s="198">
        <f t="shared" si="19"/>
        <v>214.19716236422929</v>
      </c>
      <c r="X59" s="198">
        <f t="shared" si="19"/>
        <v>216.82485335001547</v>
      </c>
      <c r="Y59" s="252">
        <f>SUM(E59:X59)</f>
        <v>3354.3709667972071</v>
      </c>
      <c r="AA59" s="24"/>
      <c r="AB59" s="24" t="s">
        <v>702</v>
      </c>
      <c r="AC59" s="24"/>
    </row>
    <row r="60" spans="1:29">
      <c r="A60" s="24"/>
      <c r="B60" s="24"/>
      <c r="C60" s="24"/>
      <c r="D60" s="24"/>
      <c r="E60" s="24"/>
      <c r="F60" s="24"/>
      <c r="G60" s="24"/>
      <c r="H60" s="24"/>
      <c r="I60" s="24"/>
      <c r="J60" s="24"/>
      <c r="K60" s="24"/>
      <c r="L60" s="24"/>
      <c r="M60" s="24"/>
      <c r="N60" s="24"/>
      <c r="O60" s="24"/>
      <c r="P60" s="24"/>
      <c r="Q60" s="24"/>
      <c r="R60" s="24"/>
      <c r="S60" s="24"/>
      <c r="T60" s="24"/>
      <c r="U60" s="24"/>
      <c r="V60" s="24"/>
      <c r="W60" s="24"/>
      <c r="X60" s="24"/>
      <c r="Y60" s="24"/>
      <c r="Z60" s="24"/>
      <c r="AA60" s="24"/>
      <c r="AB60" s="24"/>
      <c r="AC60" s="24"/>
    </row>
    <row r="61" spans="1:29" ht="15">
      <c r="A61" s="246" t="s">
        <v>703</v>
      </c>
      <c r="B61" s="24"/>
      <c r="C61" s="24"/>
      <c r="D61" s="262" t="s">
        <v>41</v>
      </c>
      <c r="E61" s="24" t="s">
        <v>704</v>
      </c>
      <c r="F61" s="24"/>
      <c r="G61" s="24"/>
      <c r="H61" s="24"/>
      <c r="I61" s="24"/>
      <c r="J61" s="24"/>
      <c r="K61" s="24"/>
      <c r="L61" s="24"/>
      <c r="M61" s="24"/>
      <c r="N61" s="24"/>
      <c r="O61" s="24"/>
      <c r="P61" s="24"/>
      <c r="Q61" s="24"/>
      <c r="R61" s="24"/>
      <c r="S61" s="24"/>
      <c r="T61" s="24"/>
      <c r="U61" s="24"/>
      <c r="V61" s="24"/>
      <c r="W61" s="24"/>
      <c r="X61" s="24"/>
      <c r="Y61" s="24"/>
      <c r="Z61" s="24"/>
      <c r="AA61" s="24"/>
      <c r="AB61" s="24"/>
      <c r="AC61" s="24"/>
    </row>
    <row r="62" spans="1:29" ht="15">
      <c r="A62" s="259"/>
      <c r="B62" s="259" t="s">
        <v>397</v>
      </c>
      <c r="C62" s="259" t="s">
        <v>905</v>
      </c>
      <c r="D62" s="259">
        <v>1000</v>
      </c>
      <c r="E62" s="263">
        <f>E11</f>
        <v>2016</v>
      </c>
      <c r="F62" s="263">
        <f t="shared" ref="F62:X62" si="20">F11</f>
        <v>2017</v>
      </c>
      <c r="G62" s="263">
        <f t="shared" si="20"/>
        <v>2018</v>
      </c>
      <c r="H62" s="263">
        <f t="shared" si="20"/>
        <v>2019</v>
      </c>
      <c r="I62" s="263">
        <f t="shared" si="20"/>
        <v>2020</v>
      </c>
      <c r="J62" s="263">
        <f t="shared" si="20"/>
        <v>2021</v>
      </c>
      <c r="K62" s="263">
        <f t="shared" si="20"/>
        <v>2022</v>
      </c>
      <c r="L62" s="263">
        <f t="shared" si="20"/>
        <v>2023</v>
      </c>
      <c r="M62" s="263">
        <f t="shared" si="20"/>
        <v>2024</v>
      </c>
      <c r="N62" s="263">
        <f t="shared" si="20"/>
        <v>2025</v>
      </c>
      <c r="O62" s="263">
        <f t="shared" si="20"/>
        <v>2026</v>
      </c>
      <c r="P62" s="263">
        <f t="shared" si="20"/>
        <v>2027</v>
      </c>
      <c r="Q62" s="263">
        <f t="shared" si="20"/>
        <v>2028</v>
      </c>
      <c r="R62" s="263">
        <f t="shared" si="20"/>
        <v>2029</v>
      </c>
      <c r="S62" s="263">
        <f t="shared" si="20"/>
        <v>2030</v>
      </c>
      <c r="T62" s="263">
        <f t="shared" si="20"/>
        <v>2031</v>
      </c>
      <c r="U62" s="263">
        <f t="shared" si="20"/>
        <v>2032</v>
      </c>
      <c r="V62" s="263">
        <f t="shared" si="20"/>
        <v>2033</v>
      </c>
      <c r="W62" s="263">
        <f t="shared" si="20"/>
        <v>2034</v>
      </c>
      <c r="X62" s="263">
        <f t="shared" si="20"/>
        <v>2035</v>
      </c>
      <c r="Y62" s="248" t="s">
        <v>695</v>
      </c>
      <c r="AA62" s="24"/>
      <c r="AB62" s="24"/>
      <c r="AC62" s="24"/>
    </row>
    <row r="63" spans="1:29" ht="15">
      <c r="A63" s="259" t="s">
        <v>389</v>
      </c>
      <c r="B63" s="259" t="s">
        <v>705</v>
      </c>
      <c r="C63" s="259" t="s">
        <v>706</v>
      </c>
      <c r="D63" s="259" t="s">
        <v>707</v>
      </c>
      <c r="E63" s="265" t="str">
        <f>CONCATENATE("aMW_",E$11)</f>
        <v>aMW_2016</v>
      </c>
      <c r="F63" s="265" t="str">
        <f t="shared" ref="F63:X63" si="21">CONCATENATE("aMW_",F$11)</f>
        <v>aMW_2017</v>
      </c>
      <c r="G63" s="265" t="str">
        <f t="shared" si="21"/>
        <v>aMW_2018</v>
      </c>
      <c r="H63" s="265" t="str">
        <f t="shared" si="21"/>
        <v>aMW_2019</v>
      </c>
      <c r="I63" s="265" t="str">
        <f t="shared" si="21"/>
        <v>aMW_2020</v>
      </c>
      <c r="J63" s="265" t="str">
        <f t="shared" si="21"/>
        <v>aMW_2021</v>
      </c>
      <c r="K63" s="265" t="str">
        <f t="shared" si="21"/>
        <v>aMW_2022</v>
      </c>
      <c r="L63" s="265" t="str">
        <f t="shared" si="21"/>
        <v>aMW_2023</v>
      </c>
      <c r="M63" s="265" t="str">
        <f t="shared" si="21"/>
        <v>aMW_2024</v>
      </c>
      <c r="N63" s="265" t="str">
        <f t="shared" si="21"/>
        <v>aMW_2025</v>
      </c>
      <c r="O63" s="265" t="str">
        <f t="shared" si="21"/>
        <v>aMW_2026</v>
      </c>
      <c r="P63" s="265" t="str">
        <f t="shared" si="21"/>
        <v>aMW_2027</v>
      </c>
      <c r="Q63" s="265" t="str">
        <f t="shared" si="21"/>
        <v>aMW_2028</v>
      </c>
      <c r="R63" s="265" t="str">
        <f t="shared" si="21"/>
        <v>aMW_2029</v>
      </c>
      <c r="S63" s="265" t="str">
        <f t="shared" si="21"/>
        <v>aMW_2030</v>
      </c>
      <c r="T63" s="265" t="str">
        <f t="shared" si="21"/>
        <v>aMW_2031</v>
      </c>
      <c r="U63" s="265" t="str">
        <f t="shared" si="21"/>
        <v>aMW_2032</v>
      </c>
      <c r="V63" s="265" t="str">
        <f t="shared" si="21"/>
        <v>aMW_2033</v>
      </c>
      <c r="W63" s="265" t="str">
        <f t="shared" si="21"/>
        <v>aMW_2034</v>
      </c>
      <c r="X63" s="265" t="str">
        <f t="shared" si="21"/>
        <v>aMW_2035</v>
      </c>
      <c r="Y63" s="248" t="s">
        <v>695</v>
      </c>
      <c r="AA63" s="24"/>
      <c r="AB63" s="24"/>
      <c r="AC63" s="24"/>
    </row>
    <row r="64" spans="1:29">
      <c r="A64" s="267">
        <f>VLOOKUP(C64,M_Input_Out!$A$1:$AM$3999,3,FALSE)</f>
        <v>139.58339165168746</v>
      </c>
      <c r="B64" s="268">
        <f>VLOOKUP(C64,M_Input_Out!$A$1:$AM$3999,11,FALSE)</f>
        <v>-2.1286144119562276</v>
      </c>
      <c r="C64" s="24" t="str">
        <f>C50</f>
        <v>Exterior Lighting: Parking Lot - HPS 250W - New</v>
      </c>
      <c r="D64" s="24"/>
      <c r="E64" s="269">
        <f>E50*$D$62*$A64/8760/1000</f>
        <v>0.1283329718354824</v>
      </c>
      <c r="F64" s="269">
        <f t="shared" ref="F64:X71" si="22">F50*$D$62*$A64/8760/1000</f>
        <v>0.18864306813656528</v>
      </c>
      <c r="G64" s="269">
        <f t="shared" si="22"/>
        <v>0.21065301311195578</v>
      </c>
      <c r="H64" s="269">
        <f t="shared" si="22"/>
        <v>0.24640894736905303</v>
      </c>
      <c r="I64" s="269">
        <f t="shared" si="22"/>
        <v>0.23782574344356747</v>
      </c>
      <c r="J64" s="269">
        <f t="shared" si="22"/>
        <v>0.23839745954394542</v>
      </c>
      <c r="K64" s="269">
        <f t="shared" si="22"/>
        <v>0.28118512142914176</v>
      </c>
      <c r="L64" s="269">
        <f t="shared" si="22"/>
        <v>0.29663850789085422</v>
      </c>
      <c r="M64" s="269">
        <f t="shared" si="22"/>
        <v>0.33453137894025992</v>
      </c>
      <c r="N64" s="269">
        <f t="shared" si="22"/>
        <v>0.37114740248331368</v>
      </c>
      <c r="O64" s="269">
        <f t="shared" si="22"/>
        <v>0.406878599304137</v>
      </c>
      <c r="P64" s="269">
        <f t="shared" si="22"/>
        <v>0.46874874586279935</v>
      </c>
      <c r="Q64" s="269">
        <f t="shared" si="22"/>
        <v>0.51562058925431298</v>
      </c>
      <c r="R64" s="269">
        <f t="shared" si="22"/>
        <v>0.49895062676741442</v>
      </c>
      <c r="S64" s="269">
        <f t="shared" si="22"/>
        <v>0.52915984058541499</v>
      </c>
      <c r="T64" s="269">
        <f t="shared" si="22"/>
        <v>0.51538329257438276</v>
      </c>
      <c r="U64" s="269">
        <f t="shared" si="22"/>
        <v>0.5067536322127959</v>
      </c>
      <c r="V64" s="269">
        <f t="shared" si="22"/>
        <v>0.48238800892864275</v>
      </c>
      <c r="W64" s="269">
        <f t="shared" si="22"/>
        <v>0.47315926880976228</v>
      </c>
      <c r="X64" s="269">
        <f t="shared" si="22"/>
        <v>0.47896381043752861</v>
      </c>
      <c r="Y64" s="270">
        <f t="shared" ref="Y64:Y71" si="23">SUM(E64:X64)</f>
        <v>7.4097700289213284</v>
      </c>
      <c r="AA64" s="24"/>
      <c r="AB64" s="251"/>
      <c r="AC64" s="24"/>
    </row>
    <row r="65" spans="1:29">
      <c r="A65" s="267">
        <f>VLOOKUP(C65,M_Input_Out!$A$1:$AM$3999,3,FALSE)</f>
        <v>71.596806262868725</v>
      </c>
      <c r="B65" s="268">
        <f>VLOOKUP(C65,M_Input_Out!$A$1:$AM$3999,11,FALSE)</f>
        <v>-17.998720942754002</v>
      </c>
      <c r="C65" s="24" t="str">
        <f>C51</f>
        <v>Exterior Lighting: Walkway - HID 150W - New</v>
      </c>
      <c r="D65" s="24"/>
      <c r="E65" s="269">
        <f t="shared" ref="E65:T71" si="24">E51*$D$62*$A65/8760/1000</f>
        <v>5.6171609150804221E-2</v>
      </c>
      <c r="F65" s="269">
        <f t="shared" si="24"/>
        <v>8.2569463956307376E-2</v>
      </c>
      <c r="G65" s="269">
        <f t="shared" si="24"/>
        <v>9.2203262729184471E-2</v>
      </c>
      <c r="H65" s="269">
        <f t="shared" si="24"/>
        <v>0.10785370965007623</v>
      </c>
      <c r="I65" s="269">
        <f t="shared" si="24"/>
        <v>0.10409682340900879</v>
      </c>
      <c r="J65" s="269">
        <f t="shared" si="24"/>
        <v>0.10434706473729988</v>
      </c>
      <c r="K65" s="269">
        <f t="shared" si="24"/>
        <v>0.12307531349143248</v>
      </c>
      <c r="L65" s="269">
        <f t="shared" si="24"/>
        <v>0.12983929294245336</v>
      </c>
      <c r="M65" s="269">
        <f t="shared" si="24"/>
        <v>0.14642508154959089</v>
      </c>
      <c r="N65" s="269">
        <f t="shared" si="24"/>
        <v>0.16245199134291949</v>
      </c>
      <c r="O65" s="269">
        <f t="shared" si="24"/>
        <v>0.17809161063641435</v>
      </c>
      <c r="P65" s="269">
        <f t="shared" si="24"/>
        <v>0.20517230268998427</v>
      </c>
      <c r="Q65" s="269">
        <f t="shared" si="24"/>
        <v>0.22568820619871807</v>
      </c>
      <c r="R65" s="269">
        <f t="shared" si="24"/>
        <v>0.21839172888676867</v>
      </c>
      <c r="S65" s="269">
        <f t="shared" si="24"/>
        <v>0.23161436471501984</v>
      </c>
      <c r="T65" s="269">
        <f t="shared" si="24"/>
        <v>0.22558434094751109</v>
      </c>
      <c r="U65" s="269">
        <f t="shared" si="22"/>
        <v>0.22180712062757135</v>
      </c>
      <c r="V65" s="269">
        <f t="shared" si="22"/>
        <v>0.21114223655095421</v>
      </c>
      <c r="W65" s="269">
        <f t="shared" si="22"/>
        <v>0.20710279777307991</v>
      </c>
      <c r="X65" s="269">
        <f t="shared" si="22"/>
        <v>0.20964345773716497</v>
      </c>
      <c r="Y65" s="270">
        <f t="shared" si="23"/>
        <v>3.2432717797222641</v>
      </c>
      <c r="AA65" s="24"/>
      <c r="AB65" s="251"/>
      <c r="AC65" s="24"/>
    </row>
    <row r="66" spans="1:29">
      <c r="A66" s="267">
        <f>VLOOKUP(C66,M_Input_Out!$A$1:$AM$3999,3,FALSE)</f>
        <v>71.761669722483219</v>
      </c>
      <c r="B66" s="268">
        <f>VLOOKUP(C66,M_Input_Out!$A$1:$AM$3999,11,FALSE)</f>
        <v>-18.257111921085425</v>
      </c>
      <c r="C66" s="24" t="str">
        <f>C52</f>
        <v>Exterior Lighting: Façade - HID 150W - New</v>
      </c>
      <c r="D66" s="24"/>
      <c r="E66" s="269">
        <f t="shared" si="24"/>
        <v>5.6300953548970724E-2</v>
      </c>
      <c r="F66" s="269">
        <f t="shared" si="22"/>
        <v>8.2759593770706782E-2</v>
      </c>
      <c r="G66" s="269">
        <f t="shared" si="22"/>
        <v>9.2415575954797741E-2</v>
      </c>
      <c r="H66" s="269">
        <f t="shared" si="22"/>
        <v>0.10810206061198765</v>
      </c>
      <c r="I66" s="269">
        <f t="shared" si="22"/>
        <v>0.10433652352047855</v>
      </c>
      <c r="J66" s="269">
        <f t="shared" si="22"/>
        <v>0.10458734107071686</v>
      </c>
      <c r="K66" s="269">
        <f t="shared" si="22"/>
        <v>0.12335871470769398</v>
      </c>
      <c r="L66" s="269">
        <f t="shared" si="22"/>
        <v>0.13013826933743108</v>
      </c>
      <c r="M66" s="269">
        <f t="shared" si="22"/>
        <v>0.14676224945942706</v>
      </c>
      <c r="N66" s="269">
        <f t="shared" si="22"/>
        <v>0.16282606385693255</v>
      </c>
      <c r="O66" s="269">
        <f t="shared" si="22"/>
        <v>0.17850169595432697</v>
      </c>
      <c r="P66" s="269">
        <f t="shared" si="22"/>
        <v>0.20564474576955896</v>
      </c>
      <c r="Q66" s="269">
        <f t="shared" si="22"/>
        <v>0.2262078905311658</v>
      </c>
      <c r="R66" s="269">
        <f t="shared" si="22"/>
        <v>0.21889461187631534</v>
      </c>
      <c r="S66" s="269">
        <f t="shared" si="22"/>
        <v>0.23214769500524446</v>
      </c>
      <c r="T66" s="269">
        <f t="shared" si="22"/>
        <v>0.2261037861130806</v>
      </c>
      <c r="U66" s="269">
        <f t="shared" si="22"/>
        <v>0.22231786812012755</v>
      </c>
      <c r="V66" s="269">
        <f t="shared" si="22"/>
        <v>0.21162842638825963</v>
      </c>
      <c r="W66" s="269">
        <f t="shared" si="22"/>
        <v>0.20757968613610767</v>
      </c>
      <c r="X66" s="269">
        <f t="shared" si="22"/>
        <v>0.21012619638895899</v>
      </c>
      <c r="Y66" s="270">
        <f t="shared" si="23"/>
        <v>3.2507399481222894</v>
      </c>
      <c r="AA66" s="24"/>
      <c r="AB66" s="251"/>
      <c r="AC66" s="24"/>
    </row>
    <row r="67" spans="1:29">
      <c r="A67" s="267">
        <f>VLOOKUP(C67,M_Input_Out!$A$1:$AM$3999,3,FALSE)</f>
        <v>1.8393233905827586</v>
      </c>
      <c r="B67" s="268">
        <f>VLOOKUP(C67,M_Input_Out!$A$1:$AM$3999,11,FALSE)</f>
        <v>-127.85722269419684</v>
      </c>
      <c r="C67" s="24" t="str">
        <f>C53</f>
        <v>Exterior Lighting: Walkway - INC 75W - New</v>
      </c>
      <c r="D67" s="24"/>
      <c r="E67" s="269">
        <f t="shared" si="24"/>
        <v>1.443049767030307E-3</v>
      </c>
      <c r="F67" s="269">
        <f t="shared" si="22"/>
        <v>2.1212111870621162E-3</v>
      </c>
      <c r="G67" s="269">
        <f t="shared" si="22"/>
        <v>2.3687036709874793E-3</v>
      </c>
      <c r="H67" s="269">
        <f t="shared" si="22"/>
        <v>2.770763966651801E-3</v>
      </c>
      <c r="I67" s="269">
        <f t="shared" si="22"/>
        <v>2.6742494836791485E-3</v>
      </c>
      <c r="J67" s="269">
        <f t="shared" si="22"/>
        <v>2.6806781884278824E-3</v>
      </c>
      <c r="K67" s="269">
        <f t="shared" si="22"/>
        <v>3.1618072749915308E-3</v>
      </c>
      <c r="L67" s="269">
        <f t="shared" si="22"/>
        <v>3.335574042911401E-3</v>
      </c>
      <c r="M67" s="269">
        <f t="shared" si="22"/>
        <v>3.7616632852773731E-3</v>
      </c>
      <c r="N67" s="269">
        <f t="shared" si="22"/>
        <v>4.1733949196941077E-3</v>
      </c>
      <c r="O67" s="269">
        <f t="shared" si="22"/>
        <v>4.5751770533931802E-3</v>
      </c>
      <c r="P67" s="269">
        <f t="shared" si="22"/>
        <v>5.2708805760394431E-3</v>
      </c>
      <c r="Q67" s="269">
        <f t="shared" si="22"/>
        <v>5.7979345491455461E-3</v>
      </c>
      <c r="R67" s="269">
        <f t="shared" si="22"/>
        <v>5.6104879004856747E-3</v>
      </c>
      <c r="S67" s="269">
        <f t="shared" si="22"/>
        <v>5.9501776804287386E-3</v>
      </c>
      <c r="T67" s="269">
        <f t="shared" si="22"/>
        <v>5.7952662487563873E-3</v>
      </c>
      <c r="U67" s="269">
        <f t="shared" si="22"/>
        <v>5.6982293828891925E-3</v>
      </c>
      <c r="V67" s="269">
        <f t="shared" si="22"/>
        <v>5.4242482968061834E-3</v>
      </c>
      <c r="W67" s="269">
        <f t="shared" si="22"/>
        <v>5.3204750334892078E-3</v>
      </c>
      <c r="X67" s="269">
        <f t="shared" si="22"/>
        <v>5.3857446389839201E-3</v>
      </c>
      <c r="Y67" s="270">
        <f t="shared" si="23"/>
        <v>8.3319717147130615E-2</v>
      </c>
      <c r="AA67" s="24"/>
      <c r="AB67" s="251"/>
      <c r="AC67" s="24"/>
    </row>
    <row r="68" spans="1:29">
      <c r="A68" s="267">
        <f>VLOOKUP(C68,M_Input_Out!$A$1:$AM$3999,3,FALSE)</f>
        <v>30.963239695039977</v>
      </c>
      <c r="B68" s="268">
        <f>VLOOKUP(C68,M_Input_Out!$A$1:$AM$3999,11,FALSE)</f>
        <v>-14.593583923608218</v>
      </c>
      <c r="C68" s="24" t="str">
        <f>C54</f>
        <v>Exterior Lighting: Façade - HID 400W - New</v>
      </c>
      <c r="D68" s="24"/>
      <c r="E68" s="269">
        <f t="shared" si="24"/>
        <v>2.4292354491438514E-2</v>
      </c>
      <c r="F68" s="269">
        <f t="shared" si="22"/>
        <v>3.570854954875289E-2</v>
      </c>
      <c r="G68" s="269">
        <f t="shared" si="22"/>
        <v>3.9874847406833128E-2</v>
      </c>
      <c r="H68" s="269">
        <f t="shared" si="22"/>
        <v>4.6643145668167553E-2</v>
      </c>
      <c r="I68" s="269">
        <f t="shared" si="22"/>
        <v>4.5018417202458083E-2</v>
      </c>
      <c r="J68" s="269">
        <f t="shared" si="22"/>
        <v>4.5126638261942686E-2</v>
      </c>
      <c r="K68" s="269">
        <f t="shared" si="22"/>
        <v>5.3225983547170598E-2</v>
      </c>
      <c r="L68" s="269">
        <f t="shared" si="22"/>
        <v>5.6151179906702917E-2</v>
      </c>
      <c r="M68" s="269">
        <f t="shared" si="22"/>
        <v>6.3323982367870763E-2</v>
      </c>
      <c r="N68" s="269">
        <f t="shared" si="22"/>
        <v>7.0255088312452224E-2</v>
      </c>
      <c r="O68" s="269">
        <f t="shared" si="22"/>
        <v>7.7018703984717149E-2</v>
      </c>
      <c r="P68" s="269">
        <f t="shared" si="22"/>
        <v>8.8730203462552254E-2</v>
      </c>
      <c r="Q68" s="269">
        <f t="shared" si="22"/>
        <v>9.760265002907853E-2</v>
      </c>
      <c r="R68" s="269">
        <f t="shared" si="22"/>
        <v>9.4447166038496178E-2</v>
      </c>
      <c r="S68" s="269">
        <f t="shared" si="22"/>
        <v>0.10016551667340004</v>
      </c>
      <c r="T68" s="269">
        <f t="shared" si="22"/>
        <v>9.75577317591588E-2</v>
      </c>
      <c r="U68" s="269">
        <f t="shared" si="22"/>
        <v>9.59242094799964E-2</v>
      </c>
      <c r="V68" s="269">
        <f t="shared" si="22"/>
        <v>9.1312001488878664E-2</v>
      </c>
      <c r="W68" s="269">
        <f t="shared" si="22"/>
        <v>8.9565078439636084E-2</v>
      </c>
      <c r="X68" s="269">
        <f t="shared" si="22"/>
        <v>9.0663829453231995E-2</v>
      </c>
      <c r="Y68" s="270">
        <f t="shared" si="23"/>
        <v>1.4026072775229352</v>
      </c>
      <c r="AA68" s="24"/>
      <c r="AB68" s="251"/>
      <c r="AC68" s="24"/>
    </row>
    <row r="69" spans="1:29">
      <c r="A69" s="267">
        <f>VLOOKUP(C69,M_Input_Out!$A$1:$AM$3999,3,FALSE)</f>
        <v>2.4778634129914572</v>
      </c>
      <c r="B69" s="268">
        <f>VLOOKUP(C69,M_Input_Out!$A$1:$AM$3999,11,FALSE)</f>
        <v>-40.758354707123942</v>
      </c>
      <c r="C69" s="24" t="str">
        <f t="shared" ref="C69:C71" si="25">C55</f>
        <v>Exterior Lighting: Walkway - CFL 26W - New</v>
      </c>
      <c r="D69" s="24"/>
      <c r="E69" s="269">
        <f t="shared" si="24"/>
        <v>1.9440193275187727E-3</v>
      </c>
      <c r="F69" s="269">
        <f t="shared" si="22"/>
        <v>2.8576114556908335E-3</v>
      </c>
      <c r="G69" s="269">
        <f t="shared" si="22"/>
        <v>3.1910234995156739E-3</v>
      </c>
      <c r="H69" s="269">
        <f t="shared" si="22"/>
        <v>3.7326631598080954E-3</v>
      </c>
      <c r="I69" s="269">
        <f t="shared" si="22"/>
        <v>3.6026426819485975E-3</v>
      </c>
      <c r="J69" s="269">
        <f t="shared" si="22"/>
        <v>3.6113031776348753E-3</v>
      </c>
      <c r="K69" s="269">
        <f t="shared" si="22"/>
        <v>4.2594611723768133E-3</v>
      </c>
      <c r="L69" s="269">
        <f t="shared" si="22"/>
        <v>4.4935528600196289E-3</v>
      </c>
      <c r="M69" s="269">
        <f t="shared" si="22"/>
        <v>5.0675633628673002E-3</v>
      </c>
      <c r="N69" s="269">
        <f t="shared" si="22"/>
        <v>5.6222318665767887E-3</v>
      </c>
      <c r="O69" s="269">
        <f t="shared" si="22"/>
        <v>6.1634967981183519E-3</v>
      </c>
      <c r="P69" s="269">
        <f t="shared" si="22"/>
        <v>7.1007209501519281E-3</v>
      </c>
      <c r="Q69" s="269">
        <f t="shared" si="22"/>
        <v>7.8107471278854824E-3</v>
      </c>
      <c r="R69" s="269">
        <f t="shared" si="22"/>
        <v>7.55822644828112E-3</v>
      </c>
      <c r="S69" s="269">
        <f t="shared" si="22"/>
        <v>8.0158430271804696E-3</v>
      </c>
      <c r="T69" s="269">
        <f t="shared" si="22"/>
        <v>7.8071524995873718E-3</v>
      </c>
      <c r="U69" s="269">
        <f t="shared" si="22"/>
        <v>7.6764282882416423E-3</v>
      </c>
      <c r="V69" s="269">
        <f t="shared" si="22"/>
        <v>7.3073318517299221E-3</v>
      </c>
      <c r="W69" s="269">
        <f t="shared" si="22"/>
        <v>7.167532633312765E-3</v>
      </c>
      <c r="X69" s="269">
        <f t="shared" si="22"/>
        <v>7.2554612532954067E-3</v>
      </c>
      <c r="Y69" s="270">
        <f t="shared" si="23"/>
        <v>0.11224501344174183</v>
      </c>
      <c r="AA69" s="24"/>
      <c r="AB69" s="251"/>
      <c r="AC69" s="24"/>
    </row>
    <row r="70" spans="1:29">
      <c r="A70" s="267">
        <f>VLOOKUP(C70,M_Input_Out!$A$1:$AM$3999,3,FALSE)</f>
        <v>55.109130131336691</v>
      </c>
      <c r="B70" s="268">
        <f>VLOOKUP(C70,M_Input_Out!$A$1:$AM$3999,11,FALSE)</f>
        <v>-3.3936670549990122</v>
      </c>
      <c r="C70" s="24" t="str">
        <f t="shared" si="25"/>
        <v>Exterior Lighting: Parking Lot - MH 400W - New</v>
      </c>
      <c r="D70" s="24"/>
      <c r="E70" s="269">
        <f t="shared" si="24"/>
        <v>4.9316205925603804E-2</v>
      </c>
      <c r="F70" s="269">
        <f t="shared" si="22"/>
        <v>7.2492363120732761E-2</v>
      </c>
      <c r="G70" s="269">
        <f t="shared" si="22"/>
        <v>8.0950415352306321E-2</v>
      </c>
      <c r="H70" s="269">
        <f t="shared" si="22"/>
        <v>9.4690820422531727E-2</v>
      </c>
      <c r="I70" s="269">
        <f t="shared" si="22"/>
        <v>9.1392439295401459E-2</v>
      </c>
      <c r="J70" s="269">
        <f t="shared" si="22"/>
        <v>9.161214019170244E-2</v>
      </c>
      <c r="K70" s="269">
        <f t="shared" si="22"/>
        <v>0.10805472010258103</v>
      </c>
      <c r="L70" s="269">
        <f t="shared" si="22"/>
        <v>0.11399319700445416</v>
      </c>
      <c r="M70" s="269">
        <f t="shared" si="22"/>
        <v>0.12855479099746547</v>
      </c>
      <c r="N70" s="269">
        <f t="shared" si="22"/>
        <v>0.14262571393643472</v>
      </c>
      <c r="O70" s="269">
        <f t="shared" si="22"/>
        <v>0.15635661282532654</v>
      </c>
      <c r="P70" s="269">
        <f t="shared" si="22"/>
        <v>0.18013227113584854</v>
      </c>
      <c r="Q70" s="269">
        <f t="shared" si="22"/>
        <v>0.1981443334121889</v>
      </c>
      <c r="R70" s="269">
        <f t="shared" si="22"/>
        <v>0.19173834677432097</v>
      </c>
      <c r="S70" s="269">
        <f t="shared" si="22"/>
        <v>0.20334724032826265</v>
      </c>
      <c r="T70" s="269">
        <f t="shared" si="22"/>
        <v>0.19805314428311685</v>
      </c>
      <c r="U70" s="269">
        <f t="shared" si="22"/>
        <v>0.19473691072775584</v>
      </c>
      <c r="V70" s="269">
        <f t="shared" si="22"/>
        <v>0.18537361088204338</v>
      </c>
      <c r="W70" s="269">
        <f t="shared" si="22"/>
        <v>0.1818271610365583</v>
      </c>
      <c r="X70" s="269">
        <f t="shared" si="22"/>
        <v>0.18405774890594573</v>
      </c>
      <c r="Y70" s="270">
        <f t="shared" si="23"/>
        <v>2.8474501866605819</v>
      </c>
      <c r="AA70" s="24"/>
      <c r="AB70" s="251"/>
      <c r="AC70" s="24"/>
    </row>
    <row r="71" spans="1:29">
      <c r="A71" s="267">
        <f>VLOOKUP(C71,M_Input_Out!$A$1:$AM$3999,3,FALSE)</f>
        <v>6.702605615817987</v>
      </c>
      <c r="B71" s="268">
        <f>VLOOKUP(C71,M_Input_Out!$A$1:$AM$3999,11,FALSE)</f>
        <v>6.5790829489429443</v>
      </c>
      <c r="C71" s="24" t="str">
        <f t="shared" si="25"/>
        <v>Exterior Lighting: Parking Lot - MH 1000W - New</v>
      </c>
      <c r="D71" s="24"/>
      <c r="E71" s="269">
        <f t="shared" si="24"/>
        <v>5.9980456595853521E-3</v>
      </c>
      <c r="F71" s="269">
        <f t="shared" si="22"/>
        <v>8.8168279738578201E-3</v>
      </c>
      <c r="G71" s="269">
        <f t="shared" si="22"/>
        <v>9.8455320788059485E-3</v>
      </c>
      <c r="H71" s="269">
        <f t="shared" si="22"/>
        <v>1.1516698289700974E-2</v>
      </c>
      <c r="I71" s="269">
        <f t="shared" si="22"/>
        <v>1.1115535219024227E-2</v>
      </c>
      <c r="J71" s="269">
        <f t="shared" si="22"/>
        <v>1.114225617175634E-2</v>
      </c>
      <c r="K71" s="269">
        <f t="shared" si="22"/>
        <v>1.314207232175801E-2</v>
      </c>
      <c r="L71" s="269">
        <f t="shared" si="22"/>
        <v>1.3864335012840972E-2</v>
      </c>
      <c r="M71" s="269">
        <f t="shared" si="22"/>
        <v>1.5635377695609069E-2</v>
      </c>
      <c r="N71" s="269">
        <f t="shared" si="22"/>
        <v>1.7346742888376811E-2</v>
      </c>
      <c r="O71" s="269">
        <f t="shared" si="22"/>
        <v>1.9016752917270056E-2</v>
      </c>
      <c r="P71" s="269">
        <f t="shared" si="22"/>
        <v>2.1908449094148345E-2</v>
      </c>
      <c r="Q71" s="269">
        <f t="shared" si="22"/>
        <v>2.4099152331128186E-2</v>
      </c>
      <c r="R71" s="269">
        <f t="shared" si="22"/>
        <v>2.3320029127559171E-2</v>
      </c>
      <c r="S71" s="269">
        <f t="shared" si="22"/>
        <v>2.4731951887774134E-2</v>
      </c>
      <c r="T71" s="269">
        <f t="shared" si="22"/>
        <v>2.4088061523358881E-2</v>
      </c>
      <c r="U71" s="269">
        <f t="shared" si="22"/>
        <v>2.3684727164813318E-2</v>
      </c>
      <c r="V71" s="269">
        <f t="shared" si="22"/>
        <v>2.2545923014232586E-2</v>
      </c>
      <c r="W71" s="269">
        <f t="shared" si="22"/>
        <v>2.2114588776259398E-2</v>
      </c>
      <c r="X71" s="269">
        <f t="shared" si="22"/>
        <v>2.2385882312272416E-2</v>
      </c>
      <c r="Y71" s="270">
        <f t="shared" si="23"/>
        <v>0.34631894146013198</v>
      </c>
      <c r="AA71" s="24"/>
      <c r="AB71" s="251"/>
      <c r="AC71" s="24"/>
    </row>
    <row r="72" spans="1:29">
      <c r="A72" s="24"/>
      <c r="B72" s="24"/>
      <c r="C72" s="24"/>
      <c r="D72" s="24"/>
      <c r="E72" s="269"/>
      <c r="F72" s="269"/>
      <c r="G72" s="269"/>
      <c r="H72" s="269"/>
      <c r="I72" s="269"/>
      <c r="J72" s="269"/>
      <c r="K72" s="269"/>
      <c r="L72" s="269"/>
      <c r="M72" s="269"/>
      <c r="N72" s="269"/>
      <c r="O72" s="269"/>
      <c r="P72" s="269"/>
      <c r="Q72" s="269"/>
      <c r="R72" s="269"/>
      <c r="S72" s="269"/>
      <c r="T72" s="269"/>
      <c r="U72" s="269"/>
      <c r="V72" s="269"/>
      <c r="W72" s="269"/>
      <c r="X72" s="269"/>
      <c r="Y72" s="248"/>
      <c r="AA72" s="24"/>
      <c r="AB72" s="251"/>
      <c r="AC72" s="24"/>
    </row>
    <row r="73" spans="1:29">
      <c r="A73" s="24"/>
      <c r="B73" s="268">
        <f>SUMPRODUCT(A64:A68,B64:B68)/SUM(A64:A68)</f>
        <v>-11.347678881989657</v>
      </c>
      <c r="C73" s="24" t="s">
        <v>708</v>
      </c>
      <c r="D73" s="24"/>
      <c r="E73" s="269">
        <f>SUM(E64:E71)</f>
        <v>0.32379920970643405</v>
      </c>
      <c r="F73" s="269">
        <f t="shared" ref="F73:W73" si="26">SUM(F64:F71)</f>
        <v>0.47596868914967588</v>
      </c>
      <c r="G73" s="269">
        <f t="shared" si="26"/>
        <v>0.53150237380438647</v>
      </c>
      <c r="H73" s="269">
        <f t="shared" si="26"/>
        <v>0.62171880913797717</v>
      </c>
      <c r="I73" s="269">
        <f t="shared" si="26"/>
        <v>0.6000623742555663</v>
      </c>
      <c r="J73" s="269">
        <f t="shared" si="26"/>
        <v>0.60150488134342639</v>
      </c>
      <c r="K73" s="269">
        <f t="shared" si="26"/>
        <v>0.70946319404714608</v>
      </c>
      <c r="L73" s="269">
        <f t="shared" si="26"/>
        <v>0.74845390899766784</v>
      </c>
      <c r="M73" s="269">
        <f t="shared" si="26"/>
        <v>0.84406208765836777</v>
      </c>
      <c r="N73" s="269">
        <f t="shared" si="26"/>
        <v>0.93644862960670039</v>
      </c>
      <c r="O73" s="269">
        <f t="shared" si="26"/>
        <v>1.0266026494737035</v>
      </c>
      <c r="P73" s="269">
        <f t="shared" si="26"/>
        <v>1.182708319541083</v>
      </c>
      <c r="Q73" s="269">
        <f t="shared" si="26"/>
        <v>1.3009715034336236</v>
      </c>
      <c r="R73" s="269">
        <f t="shared" si="26"/>
        <v>1.2589112238196418</v>
      </c>
      <c r="S73" s="269">
        <f t="shared" si="26"/>
        <v>1.3351326299027253</v>
      </c>
      <c r="T73" s="269">
        <f t="shared" si="26"/>
        <v>1.3003727759489527</v>
      </c>
      <c r="U73" s="269">
        <f t="shared" si="26"/>
        <v>1.2785991260041911</v>
      </c>
      <c r="V73" s="269">
        <f t="shared" si="26"/>
        <v>1.2171217874015474</v>
      </c>
      <c r="W73" s="269">
        <f t="shared" si="26"/>
        <v>1.1938365886382056</v>
      </c>
      <c r="X73" s="269">
        <f>SUM(X64:X71)</f>
        <v>1.2084821311273819</v>
      </c>
      <c r="Y73" s="270">
        <f>SUM(Y64:Y71)</f>
        <v>18.695722892998404</v>
      </c>
      <c r="AA73" s="24"/>
      <c r="AB73" s="251"/>
      <c r="AC73" s="24"/>
    </row>
    <row r="74" spans="1:29">
      <c r="A74" s="24"/>
      <c r="B74" s="24"/>
      <c r="C74" s="24"/>
      <c r="D74" s="24"/>
      <c r="E74" s="24"/>
      <c r="F74" s="24"/>
      <c r="G74" s="24"/>
      <c r="H74" s="24"/>
      <c r="I74" s="24"/>
      <c r="J74" s="24"/>
      <c r="K74" s="24"/>
      <c r="L74" s="24"/>
      <c r="M74" s="24"/>
      <c r="N74" s="24"/>
      <c r="O74" s="24"/>
      <c r="P74" s="24"/>
      <c r="Q74" s="24"/>
      <c r="R74" s="24"/>
      <c r="S74" s="24"/>
      <c r="T74" s="24"/>
      <c r="U74" s="24"/>
      <c r="V74" s="24"/>
      <c r="W74" s="24"/>
      <c r="X74" s="24"/>
      <c r="Y74" s="24"/>
      <c r="Z74" s="24"/>
      <c r="AA74" s="24"/>
      <c r="AB74" s="24"/>
      <c r="AC74" s="24"/>
    </row>
    <row r="75" spans="1:29">
      <c r="A75" s="24"/>
      <c r="B75" s="24"/>
      <c r="C75" s="24"/>
      <c r="D75" s="24"/>
      <c r="E75" s="24"/>
      <c r="F75" s="24"/>
      <c r="G75" s="24"/>
      <c r="H75" s="24"/>
      <c r="I75" s="24"/>
      <c r="J75" s="24"/>
      <c r="K75" s="24"/>
      <c r="L75" s="24"/>
      <c r="M75" s="24"/>
      <c r="N75" s="24"/>
      <c r="O75" s="24"/>
      <c r="P75" s="24"/>
      <c r="Q75" s="24"/>
      <c r="R75" s="24"/>
      <c r="S75" s="24"/>
      <c r="T75" s="24"/>
      <c r="U75" s="24"/>
      <c r="V75" s="24"/>
      <c r="W75" s="24"/>
      <c r="X75" s="24"/>
      <c r="Y75" s="24"/>
      <c r="Z75" s="24"/>
      <c r="AA75" s="24"/>
      <c r="AB75" s="24"/>
      <c r="AC75" s="24"/>
    </row>
    <row r="76" spans="1:29" ht="15">
      <c r="A76" s="246" t="s">
        <v>709</v>
      </c>
      <c r="B76" s="247"/>
      <c r="C76" s="24"/>
      <c r="D76" s="24"/>
      <c r="E76" s="24"/>
      <c r="F76" s="24"/>
      <c r="G76" s="24"/>
      <c r="H76" s="24"/>
      <c r="I76" s="24"/>
      <c r="J76" s="24"/>
      <c r="K76" s="24"/>
      <c r="L76" s="24"/>
      <c r="M76" s="24"/>
      <c r="N76" s="24"/>
      <c r="O76" s="24"/>
      <c r="P76" s="24"/>
      <c r="Q76" s="24"/>
      <c r="R76" s="24"/>
      <c r="S76" s="24"/>
      <c r="T76" s="24"/>
      <c r="U76" s="24"/>
      <c r="V76" s="24"/>
      <c r="W76" s="24"/>
      <c r="X76" s="24"/>
      <c r="Y76" s="24"/>
      <c r="Z76" s="24"/>
      <c r="AA76" s="24"/>
      <c r="AB76" s="24"/>
      <c r="AC76" s="24"/>
    </row>
    <row r="77" spans="1:29" ht="15">
      <c r="A77" s="24"/>
      <c r="B77" s="24"/>
      <c r="C77" s="24"/>
      <c r="D77" s="24"/>
      <c r="E77" s="263">
        <f>E11</f>
        <v>2016</v>
      </c>
      <c r="F77" s="263">
        <f t="shared" ref="F77:X77" si="27">F11</f>
        <v>2017</v>
      </c>
      <c r="G77" s="263">
        <f t="shared" si="27"/>
        <v>2018</v>
      </c>
      <c r="H77" s="263">
        <f t="shared" si="27"/>
        <v>2019</v>
      </c>
      <c r="I77" s="263">
        <f t="shared" si="27"/>
        <v>2020</v>
      </c>
      <c r="J77" s="263">
        <f t="shared" si="27"/>
        <v>2021</v>
      </c>
      <c r="K77" s="263">
        <f t="shared" si="27"/>
        <v>2022</v>
      </c>
      <c r="L77" s="263">
        <f t="shared" si="27"/>
        <v>2023</v>
      </c>
      <c r="M77" s="263">
        <f t="shared" si="27"/>
        <v>2024</v>
      </c>
      <c r="N77" s="263">
        <f t="shared" si="27"/>
        <v>2025</v>
      </c>
      <c r="O77" s="263">
        <f t="shared" si="27"/>
        <v>2026</v>
      </c>
      <c r="P77" s="263">
        <f t="shared" si="27"/>
        <v>2027</v>
      </c>
      <c r="Q77" s="263">
        <f t="shared" si="27"/>
        <v>2028</v>
      </c>
      <c r="R77" s="263">
        <f t="shared" si="27"/>
        <v>2029</v>
      </c>
      <c r="S77" s="263">
        <f t="shared" si="27"/>
        <v>2030</v>
      </c>
      <c r="T77" s="263">
        <f t="shared" si="27"/>
        <v>2031</v>
      </c>
      <c r="U77" s="263">
        <f t="shared" si="27"/>
        <v>2032</v>
      </c>
      <c r="V77" s="263">
        <f t="shared" si="27"/>
        <v>2033</v>
      </c>
      <c r="W77" s="263">
        <f t="shared" si="27"/>
        <v>2034</v>
      </c>
      <c r="X77" s="263">
        <f t="shared" si="27"/>
        <v>2035</v>
      </c>
      <c r="Y77" s="248" t="s">
        <v>695</v>
      </c>
      <c r="AA77" s="24"/>
      <c r="AB77" s="24"/>
      <c r="AC77" s="24"/>
    </row>
    <row r="78" spans="1:29" ht="15">
      <c r="A78" s="24"/>
      <c r="B78" s="271" t="s">
        <v>705</v>
      </c>
      <c r="C78" s="271" t="s">
        <v>705</v>
      </c>
      <c r="D78" s="271"/>
      <c r="E78" s="265" t="str">
        <f>TEXT(E63,"0000")</f>
        <v>aMW_2016</v>
      </c>
      <c r="F78" s="265" t="str">
        <f t="shared" ref="F78:X78" si="28">TEXT(F63,"0000")</f>
        <v>aMW_2017</v>
      </c>
      <c r="G78" s="265" t="str">
        <f t="shared" si="28"/>
        <v>aMW_2018</v>
      </c>
      <c r="H78" s="265" t="str">
        <f t="shared" si="28"/>
        <v>aMW_2019</v>
      </c>
      <c r="I78" s="265" t="str">
        <f t="shared" si="28"/>
        <v>aMW_2020</v>
      </c>
      <c r="J78" s="265" t="str">
        <f t="shared" si="28"/>
        <v>aMW_2021</v>
      </c>
      <c r="K78" s="265" t="str">
        <f t="shared" si="28"/>
        <v>aMW_2022</v>
      </c>
      <c r="L78" s="265" t="str">
        <f t="shared" si="28"/>
        <v>aMW_2023</v>
      </c>
      <c r="M78" s="265" t="str">
        <f t="shared" si="28"/>
        <v>aMW_2024</v>
      </c>
      <c r="N78" s="265" t="str">
        <f t="shared" si="28"/>
        <v>aMW_2025</v>
      </c>
      <c r="O78" s="265" t="str">
        <f t="shared" si="28"/>
        <v>aMW_2026</v>
      </c>
      <c r="P78" s="265" t="str">
        <f t="shared" si="28"/>
        <v>aMW_2027</v>
      </c>
      <c r="Q78" s="265" t="str">
        <f t="shared" si="28"/>
        <v>aMW_2028</v>
      </c>
      <c r="R78" s="265" t="str">
        <f t="shared" si="28"/>
        <v>aMW_2029</v>
      </c>
      <c r="S78" s="265" t="str">
        <f t="shared" si="28"/>
        <v>aMW_2030</v>
      </c>
      <c r="T78" s="265" t="str">
        <f t="shared" si="28"/>
        <v>aMW_2031</v>
      </c>
      <c r="U78" s="265" t="str">
        <f t="shared" si="28"/>
        <v>aMW_2032</v>
      </c>
      <c r="V78" s="265" t="str">
        <f t="shared" si="28"/>
        <v>aMW_2033</v>
      </c>
      <c r="W78" s="265" t="str">
        <f t="shared" si="28"/>
        <v>aMW_2034</v>
      </c>
      <c r="X78" s="265" t="str">
        <f t="shared" si="28"/>
        <v>aMW_2035</v>
      </c>
      <c r="Y78" s="248" t="s">
        <v>695</v>
      </c>
      <c r="AA78" s="24"/>
      <c r="AB78" s="24"/>
      <c r="AC78" s="24"/>
    </row>
    <row r="79" spans="1:29">
      <c r="A79" s="24" t="s">
        <v>641</v>
      </c>
      <c r="B79" s="272" t="s">
        <v>710</v>
      </c>
      <c r="C79" s="272" t="s">
        <v>711</v>
      </c>
      <c r="D79" s="272"/>
      <c r="E79" s="273">
        <f>DSUM($B$63:$Y$71,E$63,$B$78:$C79)</f>
        <v>0.31780116404684872</v>
      </c>
      <c r="F79" s="273">
        <f>DSUM($B$63:$Y$71,F$63,$B$78:$C79)</f>
        <v>0.46715186117581808</v>
      </c>
      <c r="G79" s="273">
        <f>DSUM($B$63:$Y$71,G$63,$B$78:$C79)</f>
        <v>0.52165684172558058</v>
      </c>
      <c r="H79" s="273">
        <f>DSUM($B$63:$Y$71,H$63,$B$78:$C79)</f>
        <v>0.61020211084827625</v>
      </c>
      <c r="I79" s="273">
        <f>DSUM($B$63:$Y$71,I$63,$B$78:$C79)</f>
        <v>0.5889468390365421</v>
      </c>
      <c r="J79" s="273">
        <f>DSUM($B$63:$Y$71,J$63,$B$78:$C79)</f>
        <v>0.59036262517167004</v>
      </c>
      <c r="K79" s="273">
        <f>DSUM($B$63:$Y$71,K$63,$B$78:$C79)</f>
        <v>0.69632112172538807</v>
      </c>
      <c r="L79" s="273">
        <f>DSUM($B$63:$Y$71,L$63,$B$78:$C79)</f>
        <v>0.73458957398482683</v>
      </c>
      <c r="M79" s="273">
        <f>DSUM($B$63:$Y$71,M$63,$B$78:$C79)</f>
        <v>0.82842670996275869</v>
      </c>
      <c r="N79" s="273">
        <f>DSUM($B$63:$Y$71,N$63,$B$78:$C79)</f>
        <v>0.9191018867183236</v>
      </c>
      <c r="O79" s="273">
        <f>DSUM($B$63:$Y$71,O$63,$B$78:$C79)</f>
        <v>1.0075858965564335</v>
      </c>
      <c r="P79" s="273">
        <f>DSUM($B$63:$Y$71,P$63,$B$78:$C79)</f>
        <v>1.1607998704469347</v>
      </c>
      <c r="Q79" s="273">
        <f>DSUM($B$63:$Y$71,Q$63,$B$78:$C79)</f>
        <v>1.2768723511024953</v>
      </c>
      <c r="R79" s="273">
        <f>DSUM($B$63:$Y$71,R$63,$B$78:$C79)</f>
        <v>1.2355911946920826</v>
      </c>
      <c r="S79" s="273">
        <f>DSUM($B$63:$Y$71,S$63,$B$78:$C79)</f>
        <v>1.3104006780149511</v>
      </c>
      <c r="T79" s="273">
        <f>DSUM($B$63:$Y$71,T$63,$B$78:$C79)</f>
        <v>1.2762847144255938</v>
      </c>
      <c r="U79" s="273">
        <f>DSUM($B$63:$Y$71,U$63,$B$78:$C79)</f>
        <v>1.2549143988393778</v>
      </c>
      <c r="V79" s="273">
        <f>DSUM($B$63:$Y$71,V$63,$B$78:$C79)</f>
        <v>1.1945758643873148</v>
      </c>
      <c r="W79" s="273">
        <f>DSUM($B$63:$Y$71,W$63,$B$78:$C79)</f>
        <v>1.1717219998619461</v>
      </c>
      <c r="X79" s="273">
        <f>DSUM($B$63:$Y$71,X$63,$B$78:$C79)</f>
        <v>1.1860962488151094</v>
      </c>
      <c r="Y79" s="45">
        <f>DSUM($B$63:$Y$71,Y$63,$B$78:$C79)</f>
        <v>18.349403951538271</v>
      </c>
      <c r="AA79" s="24"/>
      <c r="AB79" s="24"/>
      <c r="AC79" s="24"/>
    </row>
    <row r="80" spans="1:29">
      <c r="A80" s="24" t="s">
        <v>642</v>
      </c>
      <c r="B80" s="272" t="s">
        <v>712</v>
      </c>
      <c r="C80" s="272" t="s">
        <v>713</v>
      </c>
      <c r="D80" s="272"/>
      <c r="E80" s="273">
        <f>DSUM($B$63:$Y$71,E$63,$B$78:$C80)</f>
        <v>0.32379920970643405</v>
      </c>
      <c r="F80" s="273">
        <f>DSUM($B$63:$Y$71,F$63,$B$78:$C80)</f>
        <v>0.47596868914967588</v>
      </c>
      <c r="G80" s="273">
        <f>DSUM($B$63:$Y$71,G$63,$B$78:$C80)</f>
        <v>0.53150237380438647</v>
      </c>
      <c r="H80" s="273">
        <f>DSUM($B$63:$Y$71,H$63,$B$78:$C80)</f>
        <v>0.62171880913797717</v>
      </c>
      <c r="I80" s="273">
        <f>DSUM($B$63:$Y$71,I$63,$B$78:$C80)</f>
        <v>0.6000623742555663</v>
      </c>
      <c r="J80" s="273">
        <f>DSUM($B$63:$Y$71,J$63,$B$78:$C80)</f>
        <v>0.60150488134342639</v>
      </c>
      <c r="K80" s="273">
        <f>DSUM($B$63:$Y$71,K$63,$B$78:$C80)</f>
        <v>0.70946319404714608</v>
      </c>
      <c r="L80" s="273">
        <f>DSUM($B$63:$Y$71,L$63,$B$78:$C80)</f>
        <v>0.74845390899766784</v>
      </c>
      <c r="M80" s="273">
        <f>DSUM($B$63:$Y$71,M$63,$B$78:$C80)</f>
        <v>0.84406208765836777</v>
      </c>
      <c r="N80" s="273">
        <f>DSUM($B$63:$Y$71,N$63,$B$78:$C80)</f>
        <v>0.93644862960670039</v>
      </c>
      <c r="O80" s="273">
        <f>DSUM($B$63:$Y$71,O$63,$B$78:$C80)</f>
        <v>1.0266026494737035</v>
      </c>
      <c r="P80" s="273">
        <f>DSUM($B$63:$Y$71,P$63,$B$78:$C80)</f>
        <v>1.182708319541083</v>
      </c>
      <c r="Q80" s="273">
        <f>DSUM($B$63:$Y$71,Q$63,$B$78:$C80)</f>
        <v>1.3009715034336236</v>
      </c>
      <c r="R80" s="273">
        <f>DSUM($B$63:$Y$71,R$63,$B$78:$C80)</f>
        <v>1.2589112238196418</v>
      </c>
      <c r="S80" s="273">
        <f>DSUM($B$63:$Y$71,S$63,$B$78:$C80)</f>
        <v>1.3351326299027253</v>
      </c>
      <c r="T80" s="273">
        <f>DSUM($B$63:$Y$71,T$63,$B$78:$C80)</f>
        <v>1.3003727759489527</v>
      </c>
      <c r="U80" s="273">
        <f>DSUM($B$63:$Y$71,U$63,$B$78:$C80)</f>
        <v>1.2785991260041911</v>
      </c>
      <c r="V80" s="273">
        <f>DSUM($B$63:$Y$71,V$63,$B$78:$C80)</f>
        <v>1.2171217874015474</v>
      </c>
      <c r="W80" s="273">
        <f>DSUM($B$63:$Y$71,W$63,$B$78:$C80)</f>
        <v>1.1938365886382056</v>
      </c>
      <c r="X80" s="273">
        <f>DSUM($B$63:$Y$71,X$63,$B$78:$C80)</f>
        <v>1.2084821311273819</v>
      </c>
      <c r="Y80" s="45">
        <f>DSUM($B$63:$Y$71,Y$63,$B$78:$C80)</f>
        <v>18.695722892998404</v>
      </c>
      <c r="AA80" s="24"/>
      <c r="AB80" s="24"/>
      <c r="AC80" s="24"/>
    </row>
    <row r="81" spans="1:29">
      <c r="A81" s="24" t="s">
        <v>643</v>
      </c>
      <c r="B81" s="272" t="s">
        <v>714</v>
      </c>
      <c r="C81" s="272" t="s">
        <v>715</v>
      </c>
      <c r="D81" s="272"/>
      <c r="E81" s="273">
        <f>DSUM($B$63:$Y$71,E$63,$B$78:$C81)</f>
        <v>0.32379920970643405</v>
      </c>
      <c r="F81" s="273">
        <f>DSUM($B$63:$Y$71,F$63,$B$78:$C81)</f>
        <v>0.47596868914967588</v>
      </c>
      <c r="G81" s="273">
        <f>DSUM($B$63:$Y$71,G$63,$B$78:$C81)</f>
        <v>0.53150237380438647</v>
      </c>
      <c r="H81" s="273">
        <f>DSUM($B$63:$Y$71,H$63,$B$78:$C81)</f>
        <v>0.62171880913797717</v>
      </c>
      <c r="I81" s="273">
        <f>DSUM($B$63:$Y$71,I$63,$B$78:$C81)</f>
        <v>0.6000623742555663</v>
      </c>
      <c r="J81" s="273">
        <f>DSUM($B$63:$Y$71,J$63,$B$78:$C81)</f>
        <v>0.60150488134342639</v>
      </c>
      <c r="K81" s="273">
        <f>DSUM($B$63:$Y$71,K$63,$B$78:$C81)</f>
        <v>0.70946319404714608</v>
      </c>
      <c r="L81" s="273">
        <f>DSUM($B$63:$Y$71,L$63,$B$78:$C81)</f>
        <v>0.74845390899766784</v>
      </c>
      <c r="M81" s="273">
        <f>DSUM($B$63:$Y$71,M$63,$B$78:$C81)</f>
        <v>0.84406208765836777</v>
      </c>
      <c r="N81" s="273">
        <f>DSUM($B$63:$Y$71,N$63,$B$78:$C81)</f>
        <v>0.93644862960670039</v>
      </c>
      <c r="O81" s="273">
        <f>DSUM($B$63:$Y$71,O$63,$B$78:$C81)</f>
        <v>1.0266026494737035</v>
      </c>
      <c r="P81" s="273">
        <f>DSUM($B$63:$Y$71,P$63,$B$78:$C81)</f>
        <v>1.182708319541083</v>
      </c>
      <c r="Q81" s="273">
        <f>DSUM($B$63:$Y$71,Q$63,$B$78:$C81)</f>
        <v>1.3009715034336236</v>
      </c>
      <c r="R81" s="273">
        <f>DSUM($B$63:$Y$71,R$63,$B$78:$C81)</f>
        <v>1.2589112238196418</v>
      </c>
      <c r="S81" s="273">
        <f>DSUM($B$63:$Y$71,S$63,$B$78:$C81)</f>
        <v>1.3351326299027253</v>
      </c>
      <c r="T81" s="273">
        <f>DSUM($B$63:$Y$71,T$63,$B$78:$C81)</f>
        <v>1.3003727759489527</v>
      </c>
      <c r="U81" s="273">
        <f>DSUM($B$63:$Y$71,U$63,$B$78:$C81)</f>
        <v>1.2785991260041911</v>
      </c>
      <c r="V81" s="273">
        <f>DSUM($B$63:$Y$71,V$63,$B$78:$C81)</f>
        <v>1.2171217874015474</v>
      </c>
      <c r="W81" s="273">
        <f>DSUM($B$63:$Y$71,W$63,$B$78:$C81)</f>
        <v>1.1938365886382056</v>
      </c>
      <c r="X81" s="273">
        <f>DSUM($B$63:$Y$71,X$63,$B$78:$C81)</f>
        <v>1.2084821311273819</v>
      </c>
      <c r="Y81" s="45">
        <f>DSUM($B$63:$Y$71,Y$63,$B$78:$C81)</f>
        <v>18.695722892998404</v>
      </c>
      <c r="AA81" s="24"/>
      <c r="AB81" s="24"/>
      <c r="AC81" s="24"/>
    </row>
    <row r="82" spans="1:29">
      <c r="A82" s="24" t="s">
        <v>644</v>
      </c>
      <c r="B82" s="272" t="s">
        <v>716</v>
      </c>
      <c r="C82" s="272" t="s">
        <v>717</v>
      </c>
      <c r="D82" s="272"/>
      <c r="E82" s="273">
        <f>DSUM($B$63:$Y$71,E$63,$B$78:$C82)</f>
        <v>0.32379920970643405</v>
      </c>
      <c r="F82" s="273">
        <f>DSUM($B$63:$Y$71,F$63,$B$78:$C82)</f>
        <v>0.47596868914967588</v>
      </c>
      <c r="G82" s="273">
        <f>DSUM($B$63:$Y$71,G$63,$B$78:$C82)</f>
        <v>0.53150237380438647</v>
      </c>
      <c r="H82" s="273">
        <f>DSUM($B$63:$Y$71,H$63,$B$78:$C82)</f>
        <v>0.62171880913797717</v>
      </c>
      <c r="I82" s="273">
        <f>DSUM($B$63:$Y$71,I$63,$B$78:$C82)</f>
        <v>0.6000623742555663</v>
      </c>
      <c r="J82" s="273">
        <f>DSUM($B$63:$Y$71,J$63,$B$78:$C82)</f>
        <v>0.60150488134342639</v>
      </c>
      <c r="K82" s="273">
        <f>DSUM($B$63:$Y$71,K$63,$B$78:$C82)</f>
        <v>0.70946319404714608</v>
      </c>
      <c r="L82" s="273">
        <f>DSUM($B$63:$Y$71,L$63,$B$78:$C82)</f>
        <v>0.74845390899766784</v>
      </c>
      <c r="M82" s="273">
        <f>DSUM($B$63:$Y$71,M$63,$B$78:$C82)</f>
        <v>0.84406208765836777</v>
      </c>
      <c r="N82" s="273">
        <f>DSUM($B$63:$Y$71,N$63,$B$78:$C82)</f>
        <v>0.93644862960670039</v>
      </c>
      <c r="O82" s="273">
        <f>DSUM($B$63:$Y$71,O$63,$B$78:$C82)</f>
        <v>1.0266026494737035</v>
      </c>
      <c r="P82" s="273">
        <f>DSUM($B$63:$Y$71,P$63,$B$78:$C82)</f>
        <v>1.182708319541083</v>
      </c>
      <c r="Q82" s="273">
        <f>DSUM($B$63:$Y$71,Q$63,$B$78:$C82)</f>
        <v>1.3009715034336236</v>
      </c>
      <c r="R82" s="273">
        <f>DSUM($B$63:$Y$71,R$63,$B$78:$C82)</f>
        <v>1.2589112238196418</v>
      </c>
      <c r="S82" s="273">
        <f>DSUM($B$63:$Y$71,S$63,$B$78:$C82)</f>
        <v>1.3351326299027253</v>
      </c>
      <c r="T82" s="273">
        <f>DSUM($B$63:$Y$71,T$63,$B$78:$C82)</f>
        <v>1.3003727759489527</v>
      </c>
      <c r="U82" s="273">
        <f>DSUM($B$63:$Y$71,U$63,$B$78:$C82)</f>
        <v>1.2785991260041911</v>
      </c>
      <c r="V82" s="273">
        <f>DSUM($B$63:$Y$71,V$63,$B$78:$C82)</f>
        <v>1.2171217874015474</v>
      </c>
      <c r="W82" s="273">
        <f>DSUM($B$63:$Y$71,W$63,$B$78:$C82)</f>
        <v>1.1938365886382056</v>
      </c>
      <c r="X82" s="273">
        <f>DSUM($B$63:$Y$71,X$63,$B$78:$C82)</f>
        <v>1.2084821311273819</v>
      </c>
      <c r="Y82" s="45">
        <f>DSUM($B$63:$Y$71,Y$63,$B$78:$C82)</f>
        <v>18.695722892998404</v>
      </c>
      <c r="AA82" s="24"/>
      <c r="AB82" s="24"/>
      <c r="AC82" s="24"/>
    </row>
    <row r="83" spans="1:29">
      <c r="A83" s="24" t="s">
        <v>645</v>
      </c>
      <c r="B83" s="272" t="s">
        <v>718</v>
      </c>
      <c r="C83" s="272" t="s">
        <v>719</v>
      </c>
      <c r="D83" s="272"/>
      <c r="E83" s="273">
        <f>DSUM($B$63:$Y$71,E$63,$B$78:$C83)</f>
        <v>0.32379920970643405</v>
      </c>
      <c r="F83" s="273">
        <f>DSUM($B$63:$Y$71,F$63,$B$78:$C83)</f>
        <v>0.47596868914967588</v>
      </c>
      <c r="G83" s="273">
        <f>DSUM($B$63:$Y$71,G$63,$B$78:$C83)</f>
        <v>0.53150237380438647</v>
      </c>
      <c r="H83" s="273">
        <f>DSUM($B$63:$Y$71,H$63,$B$78:$C83)</f>
        <v>0.62171880913797717</v>
      </c>
      <c r="I83" s="273">
        <f>DSUM($B$63:$Y$71,I$63,$B$78:$C83)</f>
        <v>0.6000623742555663</v>
      </c>
      <c r="J83" s="273">
        <f>DSUM($B$63:$Y$71,J$63,$B$78:$C83)</f>
        <v>0.60150488134342639</v>
      </c>
      <c r="K83" s="273">
        <f>DSUM($B$63:$Y$71,K$63,$B$78:$C83)</f>
        <v>0.70946319404714608</v>
      </c>
      <c r="L83" s="273">
        <f>DSUM($B$63:$Y$71,L$63,$B$78:$C83)</f>
        <v>0.74845390899766784</v>
      </c>
      <c r="M83" s="273">
        <f>DSUM($B$63:$Y$71,M$63,$B$78:$C83)</f>
        <v>0.84406208765836777</v>
      </c>
      <c r="N83" s="273">
        <f>DSUM($B$63:$Y$71,N$63,$B$78:$C83)</f>
        <v>0.93644862960670039</v>
      </c>
      <c r="O83" s="273">
        <f>DSUM($B$63:$Y$71,O$63,$B$78:$C83)</f>
        <v>1.0266026494737035</v>
      </c>
      <c r="P83" s="273">
        <f>DSUM($B$63:$Y$71,P$63,$B$78:$C83)</f>
        <v>1.182708319541083</v>
      </c>
      <c r="Q83" s="273">
        <f>DSUM($B$63:$Y$71,Q$63,$B$78:$C83)</f>
        <v>1.3009715034336236</v>
      </c>
      <c r="R83" s="273">
        <f>DSUM($B$63:$Y$71,R$63,$B$78:$C83)</f>
        <v>1.2589112238196418</v>
      </c>
      <c r="S83" s="273">
        <f>DSUM($B$63:$Y$71,S$63,$B$78:$C83)</f>
        <v>1.3351326299027253</v>
      </c>
      <c r="T83" s="273">
        <f>DSUM($B$63:$Y$71,T$63,$B$78:$C83)</f>
        <v>1.3003727759489527</v>
      </c>
      <c r="U83" s="273">
        <f>DSUM($B$63:$Y$71,U$63,$B$78:$C83)</f>
        <v>1.2785991260041911</v>
      </c>
      <c r="V83" s="273">
        <f>DSUM($B$63:$Y$71,V$63,$B$78:$C83)</f>
        <v>1.2171217874015474</v>
      </c>
      <c r="W83" s="273">
        <f>DSUM($B$63:$Y$71,W$63,$B$78:$C83)</f>
        <v>1.1938365886382056</v>
      </c>
      <c r="X83" s="273">
        <f>DSUM($B$63:$Y$71,X$63,$B$78:$C83)</f>
        <v>1.2084821311273819</v>
      </c>
      <c r="Y83" s="45">
        <f>DSUM($B$63:$Y$71,Y$63,$B$78:$C83)</f>
        <v>18.695722892998404</v>
      </c>
      <c r="AA83" s="24"/>
      <c r="AB83" s="24"/>
      <c r="AC83" s="24"/>
    </row>
    <row r="84" spans="1:29">
      <c r="A84" s="24" t="s">
        <v>646</v>
      </c>
      <c r="B84" s="272" t="s">
        <v>720</v>
      </c>
      <c r="C84" s="272" t="s">
        <v>721</v>
      </c>
      <c r="D84" s="272"/>
      <c r="E84" s="273">
        <f>DSUM($B$63:$Y$71,E$63,$B$78:$C84)</f>
        <v>0.32379920970643405</v>
      </c>
      <c r="F84" s="273">
        <f>DSUM($B$63:$Y$71,F$63,$B$78:$C84)</f>
        <v>0.47596868914967588</v>
      </c>
      <c r="G84" s="273">
        <f>DSUM($B$63:$Y$71,G$63,$B$78:$C84)</f>
        <v>0.53150237380438647</v>
      </c>
      <c r="H84" s="273">
        <f>DSUM($B$63:$Y$71,H$63,$B$78:$C84)</f>
        <v>0.62171880913797717</v>
      </c>
      <c r="I84" s="273">
        <f>DSUM($B$63:$Y$71,I$63,$B$78:$C84)</f>
        <v>0.6000623742555663</v>
      </c>
      <c r="J84" s="273">
        <f>DSUM($B$63:$Y$71,J$63,$B$78:$C84)</f>
        <v>0.60150488134342639</v>
      </c>
      <c r="K84" s="273">
        <f>DSUM($B$63:$Y$71,K$63,$B$78:$C84)</f>
        <v>0.70946319404714608</v>
      </c>
      <c r="L84" s="273">
        <f>DSUM($B$63:$Y$71,L$63,$B$78:$C84)</f>
        <v>0.74845390899766784</v>
      </c>
      <c r="M84" s="273">
        <f>DSUM($B$63:$Y$71,M$63,$B$78:$C84)</f>
        <v>0.84406208765836777</v>
      </c>
      <c r="N84" s="273">
        <f>DSUM($B$63:$Y$71,N$63,$B$78:$C84)</f>
        <v>0.93644862960670039</v>
      </c>
      <c r="O84" s="273">
        <f>DSUM($B$63:$Y$71,O$63,$B$78:$C84)</f>
        <v>1.0266026494737035</v>
      </c>
      <c r="P84" s="273">
        <f>DSUM($B$63:$Y$71,P$63,$B$78:$C84)</f>
        <v>1.182708319541083</v>
      </c>
      <c r="Q84" s="273">
        <f>DSUM($B$63:$Y$71,Q$63,$B$78:$C84)</f>
        <v>1.3009715034336236</v>
      </c>
      <c r="R84" s="273">
        <f>DSUM($B$63:$Y$71,R$63,$B$78:$C84)</f>
        <v>1.2589112238196418</v>
      </c>
      <c r="S84" s="273">
        <f>DSUM($B$63:$Y$71,S$63,$B$78:$C84)</f>
        <v>1.3351326299027253</v>
      </c>
      <c r="T84" s="273">
        <f>DSUM($B$63:$Y$71,T$63,$B$78:$C84)</f>
        <v>1.3003727759489527</v>
      </c>
      <c r="U84" s="273">
        <f>DSUM($B$63:$Y$71,U$63,$B$78:$C84)</f>
        <v>1.2785991260041911</v>
      </c>
      <c r="V84" s="273">
        <f>DSUM($B$63:$Y$71,V$63,$B$78:$C84)</f>
        <v>1.2171217874015474</v>
      </c>
      <c r="W84" s="273">
        <f>DSUM($B$63:$Y$71,W$63,$B$78:$C84)</f>
        <v>1.1938365886382056</v>
      </c>
      <c r="X84" s="273">
        <f>DSUM($B$63:$Y$71,X$63,$B$78:$C84)</f>
        <v>1.2084821311273819</v>
      </c>
      <c r="Y84" s="45">
        <f>DSUM($B$63:$Y$71,Y$63,$B$78:$C84)</f>
        <v>18.695722892998404</v>
      </c>
      <c r="AA84" s="24"/>
      <c r="AB84" s="24"/>
      <c r="AC84" s="24"/>
    </row>
    <row r="85" spans="1:29">
      <c r="A85" s="24" t="s">
        <v>647</v>
      </c>
      <c r="B85" s="272" t="s">
        <v>722</v>
      </c>
      <c r="C85" s="272" t="s">
        <v>723</v>
      </c>
      <c r="D85" s="272"/>
      <c r="E85" s="273">
        <f>DSUM($B$63:$Y$71,E$63,$B$78:$C85)</f>
        <v>0.32379920970643405</v>
      </c>
      <c r="F85" s="273">
        <f>DSUM($B$63:$Y$71,F$63,$B$78:$C85)</f>
        <v>0.47596868914967588</v>
      </c>
      <c r="G85" s="273">
        <f>DSUM($B$63:$Y$71,G$63,$B$78:$C85)</f>
        <v>0.53150237380438647</v>
      </c>
      <c r="H85" s="273">
        <f>DSUM($B$63:$Y$71,H$63,$B$78:$C85)</f>
        <v>0.62171880913797717</v>
      </c>
      <c r="I85" s="273">
        <f>DSUM($B$63:$Y$71,I$63,$B$78:$C85)</f>
        <v>0.6000623742555663</v>
      </c>
      <c r="J85" s="273">
        <f>DSUM($B$63:$Y$71,J$63,$B$78:$C85)</f>
        <v>0.60150488134342639</v>
      </c>
      <c r="K85" s="273">
        <f>DSUM($B$63:$Y$71,K$63,$B$78:$C85)</f>
        <v>0.70946319404714608</v>
      </c>
      <c r="L85" s="273">
        <f>DSUM($B$63:$Y$71,L$63,$B$78:$C85)</f>
        <v>0.74845390899766784</v>
      </c>
      <c r="M85" s="273">
        <f>DSUM($B$63:$Y$71,M$63,$B$78:$C85)</f>
        <v>0.84406208765836777</v>
      </c>
      <c r="N85" s="273">
        <f>DSUM($B$63:$Y$71,N$63,$B$78:$C85)</f>
        <v>0.93644862960670039</v>
      </c>
      <c r="O85" s="273">
        <f>DSUM($B$63:$Y$71,O$63,$B$78:$C85)</f>
        <v>1.0266026494737035</v>
      </c>
      <c r="P85" s="273">
        <f>DSUM($B$63:$Y$71,P$63,$B$78:$C85)</f>
        <v>1.182708319541083</v>
      </c>
      <c r="Q85" s="273">
        <f>DSUM($B$63:$Y$71,Q$63,$B$78:$C85)</f>
        <v>1.3009715034336236</v>
      </c>
      <c r="R85" s="273">
        <f>DSUM($B$63:$Y$71,R$63,$B$78:$C85)</f>
        <v>1.2589112238196418</v>
      </c>
      <c r="S85" s="273">
        <f>DSUM($B$63:$Y$71,S$63,$B$78:$C85)</f>
        <v>1.3351326299027253</v>
      </c>
      <c r="T85" s="273">
        <f>DSUM($B$63:$Y$71,T$63,$B$78:$C85)</f>
        <v>1.3003727759489527</v>
      </c>
      <c r="U85" s="273">
        <f>DSUM($B$63:$Y$71,U$63,$B$78:$C85)</f>
        <v>1.2785991260041911</v>
      </c>
      <c r="V85" s="273">
        <f>DSUM($B$63:$Y$71,V$63,$B$78:$C85)</f>
        <v>1.2171217874015474</v>
      </c>
      <c r="W85" s="273">
        <f>DSUM($B$63:$Y$71,W$63,$B$78:$C85)</f>
        <v>1.1938365886382056</v>
      </c>
      <c r="X85" s="273">
        <f>DSUM($B$63:$Y$71,X$63,$B$78:$C85)</f>
        <v>1.2084821311273819</v>
      </c>
      <c r="Y85" s="45">
        <f>DSUM($B$63:$Y$71,Y$63,$B$78:$C85)</f>
        <v>18.695722892998404</v>
      </c>
      <c r="AA85" s="24"/>
      <c r="AB85" s="24"/>
      <c r="AC85" s="24"/>
    </row>
    <row r="86" spans="1:29">
      <c r="A86" s="24" t="s">
        <v>648</v>
      </c>
      <c r="B86" s="272" t="s">
        <v>724</v>
      </c>
      <c r="C86" s="272" t="s">
        <v>725</v>
      </c>
      <c r="D86" s="272"/>
      <c r="E86" s="273">
        <f>DSUM($B$63:$Y$71,E$63,$B$78:$C86)</f>
        <v>0.32379920970643405</v>
      </c>
      <c r="F86" s="273">
        <f>DSUM($B$63:$Y$71,F$63,$B$78:$C86)</f>
        <v>0.47596868914967588</v>
      </c>
      <c r="G86" s="273">
        <f>DSUM($B$63:$Y$71,G$63,$B$78:$C86)</f>
        <v>0.53150237380438647</v>
      </c>
      <c r="H86" s="273">
        <f>DSUM($B$63:$Y$71,H$63,$B$78:$C86)</f>
        <v>0.62171880913797717</v>
      </c>
      <c r="I86" s="273">
        <f>DSUM($B$63:$Y$71,I$63,$B$78:$C86)</f>
        <v>0.6000623742555663</v>
      </c>
      <c r="J86" s="273">
        <f>DSUM($B$63:$Y$71,J$63,$B$78:$C86)</f>
        <v>0.60150488134342639</v>
      </c>
      <c r="K86" s="273">
        <f>DSUM($B$63:$Y$71,K$63,$B$78:$C86)</f>
        <v>0.70946319404714608</v>
      </c>
      <c r="L86" s="273">
        <f>DSUM($B$63:$Y$71,L$63,$B$78:$C86)</f>
        <v>0.74845390899766784</v>
      </c>
      <c r="M86" s="273">
        <f>DSUM($B$63:$Y$71,M$63,$B$78:$C86)</f>
        <v>0.84406208765836777</v>
      </c>
      <c r="N86" s="273">
        <f>DSUM($B$63:$Y$71,N$63,$B$78:$C86)</f>
        <v>0.93644862960670039</v>
      </c>
      <c r="O86" s="273">
        <f>DSUM($B$63:$Y$71,O$63,$B$78:$C86)</f>
        <v>1.0266026494737035</v>
      </c>
      <c r="P86" s="273">
        <f>DSUM($B$63:$Y$71,P$63,$B$78:$C86)</f>
        <v>1.182708319541083</v>
      </c>
      <c r="Q86" s="273">
        <f>DSUM($B$63:$Y$71,Q$63,$B$78:$C86)</f>
        <v>1.3009715034336236</v>
      </c>
      <c r="R86" s="273">
        <f>DSUM($B$63:$Y$71,R$63,$B$78:$C86)</f>
        <v>1.2589112238196418</v>
      </c>
      <c r="S86" s="273">
        <f>DSUM($B$63:$Y$71,S$63,$B$78:$C86)</f>
        <v>1.3351326299027253</v>
      </c>
      <c r="T86" s="273">
        <f>DSUM($B$63:$Y$71,T$63,$B$78:$C86)</f>
        <v>1.3003727759489527</v>
      </c>
      <c r="U86" s="273">
        <f>DSUM($B$63:$Y$71,U$63,$B$78:$C86)</f>
        <v>1.2785991260041911</v>
      </c>
      <c r="V86" s="273">
        <f>DSUM($B$63:$Y$71,V$63,$B$78:$C86)</f>
        <v>1.2171217874015474</v>
      </c>
      <c r="W86" s="273">
        <f>DSUM($B$63:$Y$71,W$63,$B$78:$C86)</f>
        <v>1.1938365886382056</v>
      </c>
      <c r="X86" s="273">
        <f>DSUM($B$63:$Y$71,X$63,$B$78:$C86)</f>
        <v>1.2084821311273819</v>
      </c>
      <c r="Y86" s="45">
        <f>DSUM($B$63:$Y$71,Y$63,$B$78:$C86)</f>
        <v>18.695722892998404</v>
      </c>
      <c r="AA86" s="24"/>
      <c r="AB86" s="24"/>
      <c r="AC86" s="24"/>
    </row>
    <row r="87" spans="1:29">
      <c r="A87" s="24" t="s">
        <v>649</v>
      </c>
      <c r="B87" s="272" t="s">
        <v>726</v>
      </c>
      <c r="C87" s="272" t="s">
        <v>727</v>
      </c>
      <c r="D87" s="272"/>
      <c r="E87" s="273">
        <f>DSUM($B$63:$Y$71,E$63,$B$78:$C87)</f>
        <v>0.32379920970643405</v>
      </c>
      <c r="F87" s="273">
        <f>DSUM($B$63:$Y$71,F$63,$B$78:$C87)</f>
        <v>0.47596868914967588</v>
      </c>
      <c r="G87" s="273">
        <f>DSUM($B$63:$Y$71,G$63,$B$78:$C87)</f>
        <v>0.53150237380438647</v>
      </c>
      <c r="H87" s="273">
        <f>DSUM($B$63:$Y$71,H$63,$B$78:$C87)</f>
        <v>0.62171880913797717</v>
      </c>
      <c r="I87" s="273">
        <f>DSUM($B$63:$Y$71,I$63,$B$78:$C87)</f>
        <v>0.6000623742555663</v>
      </c>
      <c r="J87" s="273">
        <f>DSUM($B$63:$Y$71,J$63,$B$78:$C87)</f>
        <v>0.60150488134342639</v>
      </c>
      <c r="K87" s="273">
        <f>DSUM($B$63:$Y$71,K$63,$B$78:$C87)</f>
        <v>0.70946319404714608</v>
      </c>
      <c r="L87" s="273">
        <f>DSUM($B$63:$Y$71,L$63,$B$78:$C87)</f>
        <v>0.74845390899766784</v>
      </c>
      <c r="M87" s="273">
        <f>DSUM($B$63:$Y$71,M$63,$B$78:$C87)</f>
        <v>0.84406208765836777</v>
      </c>
      <c r="N87" s="273">
        <f>DSUM($B$63:$Y$71,N$63,$B$78:$C87)</f>
        <v>0.93644862960670039</v>
      </c>
      <c r="O87" s="273">
        <f>DSUM($B$63:$Y$71,O$63,$B$78:$C87)</f>
        <v>1.0266026494737035</v>
      </c>
      <c r="P87" s="273">
        <f>DSUM($B$63:$Y$71,P$63,$B$78:$C87)</f>
        <v>1.182708319541083</v>
      </c>
      <c r="Q87" s="273">
        <f>DSUM($B$63:$Y$71,Q$63,$B$78:$C87)</f>
        <v>1.3009715034336236</v>
      </c>
      <c r="R87" s="273">
        <f>DSUM($B$63:$Y$71,R$63,$B$78:$C87)</f>
        <v>1.2589112238196418</v>
      </c>
      <c r="S87" s="273">
        <f>DSUM($B$63:$Y$71,S$63,$B$78:$C87)</f>
        <v>1.3351326299027253</v>
      </c>
      <c r="T87" s="273">
        <f>DSUM($B$63:$Y$71,T$63,$B$78:$C87)</f>
        <v>1.3003727759489527</v>
      </c>
      <c r="U87" s="273">
        <f>DSUM($B$63:$Y$71,U$63,$B$78:$C87)</f>
        <v>1.2785991260041911</v>
      </c>
      <c r="V87" s="273">
        <f>DSUM($B$63:$Y$71,V$63,$B$78:$C87)</f>
        <v>1.2171217874015474</v>
      </c>
      <c r="W87" s="273">
        <f>DSUM($B$63:$Y$71,W$63,$B$78:$C87)</f>
        <v>1.1938365886382056</v>
      </c>
      <c r="X87" s="273">
        <f>DSUM($B$63:$Y$71,X$63,$B$78:$C87)</f>
        <v>1.2084821311273819</v>
      </c>
      <c r="Y87" s="45">
        <f>DSUM($B$63:$Y$71,Y$63,$B$78:$C87)</f>
        <v>18.695722892998404</v>
      </c>
      <c r="AA87" s="24"/>
      <c r="AB87" s="24"/>
      <c r="AC87" s="24"/>
    </row>
    <row r="88" spans="1:29">
      <c r="A88" s="24" t="s">
        <v>650</v>
      </c>
      <c r="B88" s="272" t="s">
        <v>728</v>
      </c>
      <c r="C88" s="272" t="s">
        <v>729</v>
      </c>
      <c r="D88" s="272"/>
      <c r="E88" s="273">
        <f>DSUM($B$63:$Y$71,E$63,$B$78:$C88)</f>
        <v>0.32379920970643405</v>
      </c>
      <c r="F88" s="273">
        <f>DSUM($B$63:$Y$71,F$63,$B$78:$C88)</f>
        <v>0.47596868914967588</v>
      </c>
      <c r="G88" s="273">
        <f>DSUM($B$63:$Y$71,G$63,$B$78:$C88)</f>
        <v>0.53150237380438647</v>
      </c>
      <c r="H88" s="273">
        <f>DSUM($B$63:$Y$71,H$63,$B$78:$C88)</f>
        <v>0.62171880913797717</v>
      </c>
      <c r="I88" s="273">
        <f>DSUM($B$63:$Y$71,I$63,$B$78:$C88)</f>
        <v>0.6000623742555663</v>
      </c>
      <c r="J88" s="273">
        <f>DSUM($B$63:$Y$71,J$63,$B$78:$C88)</f>
        <v>0.60150488134342639</v>
      </c>
      <c r="K88" s="273">
        <f>DSUM($B$63:$Y$71,K$63,$B$78:$C88)</f>
        <v>0.70946319404714608</v>
      </c>
      <c r="L88" s="273">
        <f>DSUM($B$63:$Y$71,L$63,$B$78:$C88)</f>
        <v>0.74845390899766784</v>
      </c>
      <c r="M88" s="273">
        <f>DSUM($B$63:$Y$71,M$63,$B$78:$C88)</f>
        <v>0.84406208765836777</v>
      </c>
      <c r="N88" s="273">
        <f>DSUM($B$63:$Y$71,N$63,$B$78:$C88)</f>
        <v>0.93644862960670039</v>
      </c>
      <c r="O88" s="273">
        <f>DSUM($B$63:$Y$71,O$63,$B$78:$C88)</f>
        <v>1.0266026494737035</v>
      </c>
      <c r="P88" s="273">
        <f>DSUM($B$63:$Y$71,P$63,$B$78:$C88)</f>
        <v>1.182708319541083</v>
      </c>
      <c r="Q88" s="273">
        <f>DSUM($B$63:$Y$71,Q$63,$B$78:$C88)</f>
        <v>1.3009715034336236</v>
      </c>
      <c r="R88" s="273">
        <f>DSUM($B$63:$Y$71,R$63,$B$78:$C88)</f>
        <v>1.2589112238196418</v>
      </c>
      <c r="S88" s="273">
        <f>DSUM($B$63:$Y$71,S$63,$B$78:$C88)</f>
        <v>1.3351326299027253</v>
      </c>
      <c r="T88" s="273">
        <f>DSUM($B$63:$Y$71,T$63,$B$78:$C88)</f>
        <v>1.3003727759489527</v>
      </c>
      <c r="U88" s="273">
        <f>DSUM($B$63:$Y$71,U$63,$B$78:$C88)</f>
        <v>1.2785991260041911</v>
      </c>
      <c r="V88" s="273">
        <f>DSUM($B$63:$Y$71,V$63,$B$78:$C88)</f>
        <v>1.2171217874015474</v>
      </c>
      <c r="W88" s="273">
        <f>DSUM($B$63:$Y$71,W$63,$B$78:$C88)</f>
        <v>1.1938365886382056</v>
      </c>
      <c r="X88" s="273">
        <f>DSUM($B$63:$Y$71,X$63,$B$78:$C88)</f>
        <v>1.2084821311273819</v>
      </c>
      <c r="Y88" s="45">
        <f>DSUM($B$63:$Y$71,Y$63,$B$78:$C88)</f>
        <v>18.695722892998404</v>
      </c>
      <c r="AA88" s="24"/>
      <c r="AB88" s="24"/>
      <c r="AC88" s="24"/>
    </row>
    <row r="89" spans="1:29">
      <c r="A89" s="24" t="s">
        <v>651</v>
      </c>
      <c r="B89" s="272" t="s">
        <v>730</v>
      </c>
      <c r="C89" s="272" t="s">
        <v>731</v>
      </c>
      <c r="D89" s="272"/>
      <c r="E89" s="273">
        <f>DSUM($B$63:$Y$71,E$63,$B$78:$C89)</f>
        <v>0.32379920970643405</v>
      </c>
      <c r="F89" s="273">
        <f>DSUM($B$63:$Y$71,F$63,$B$78:$C89)</f>
        <v>0.47596868914967588</v>
      </c>
      <c r="G89" s="273">
        <f>DSUM($B$63:$Y$71,G$63,$B$78:$C89)</f>
        <v>0.53150237380438647</v>
      </c>
      <c r="H89" s="273">
        <f>DSUM($B$63:$Y$71,H$63,$B$78:$C89)</f>
        <v>0.62171880913797717</v>
      </c>
      <c r="I89" s="273">
        <f>DSUM($B$63:$Y$71,I$63,$B$78:$C89)</f>
        <v>0.6000623742555663</v>
      </c>
      <c r="J89" s="273">
        <f>DSUM($B$63:$Y$71,J$63,$B$78:$C89)</f>
        <v>0.60150488134342639</v>
      </c>
      <c r="K89" s="273">
        <f>DSUM($B$63:$Y$71,K$63,$B$78:$C89)</f>
        <v>0.70946319404714608</v>
      </c>
      <c r="L89" s="273">
        <f>DSUM($B$63:$Y$71,L$63,$B$78:$C89)</f>
        <v>0.74845390899766784</v>
      </c>
      <c r="M89" s="273">
        <f>DSUM($B$63:$Y$71,M$63,$B$78:$C89)</f>
        <v>0.84406208765836777</v>
      </c>
      <c r="N89" s="273">
        <f>DSUM($B$63:$Y$71,N$63,$B$78:$C89)</f>
        <v>0.93644862960670039</v>
      </c>
      <c r="O89" s="273">
        <f>DSUM($B$63:$Y$71,O$63,$B$78:$C89)</f>
        <v>1.0266026494737035</v>
      </c>
      <c r="P89" s="273">
        <f>DSUM($B$63:$Y$71,P$63,$B$78:$C89)</f>
        <v>1.182708319541083</v>
      </c>
      <c r="Q89" s="273">
        <f>DSUM($B$63:$Y$71,Q$63,$B$78:$C89)</f>
        <v>1.3009715034336236</v>
      </c>
      <c r="R89" s="273">
        <f>DSUM($B$63:$Y$71,R$63,$B$78:$C89)</f>
        <v>1.2589112238196418</v>
      </c>
      <c r="S89" s="273">
        <f>DSUM($B$63:$Y$71,S$63,$B$78:$C89)</f>
        <v>1.3351326299027253</v>
      </c>
      <c r="T89" s="273">
        <f>DSUM($B$63:$Y$71,T$63,$B$78:$C89)</f>
        <v>1.3003727759489527</v>
      </c>
      <c r="U89" s="273">
        <f>DSUM($B$63:$Y$71,U$63,$B$78:$C89)</f>
        <v>1.2785991260041911</v>
      </c>
      <c r="V89" s="273">
        <f>DSUM($B$63:$Y$71,V$63,$B$78:$C89)</f>
        <v>1.2171217874015474</v>
      </c>
      <c r="W89" s="273">
        <f>DSUM($B$63:$Y$71,W$63,$B$78:$C89)</f>
        <v>1.1938365886382056</v>
      </c>
      <c r="X89" s="273">
        <f>DSUM($B$63:$Y$71,X$63,$B$78:$C89)</f>
        <v>1.2084821311273819</v>
      </c>
      <c r="Y89" s="45">
        <f>DSUM($B$63:$Y$71,Y$63,$B$78:$C89)</f>
        <v>18.695722892998404</v>
      </c>
      <c r="AA89" s="24"/>
      <c r="AB89" s="24"/>
      <c r="AC89" s="24"/>
    </row>
    <row r="90" spans="1:29">
      <c r="A90" s="24" t="s">
        <v>652</v>
      </c>
      <c r="B90" s="272" t="s">
        <v>732</v>
      </c>
      <c r="C90" s="272" t="s">
        <v>733</v>
      </c>
      <c r="D90" s="272"/>
      <c r="E90" s="273">
        <f>DSUM($B$63:$Y$71,E$63,$B$78:$C90)</f>
        <v>0.32379920970643405</v>
      </c>
      <c r="F90" s="273">
        <f>DSUM($B$63:$Y$71,F$63,$B$78:$C90)</f>
        <v>0.47596868914967588</v>
      </c>
      <c r="G90" s="273">
        <f>DSUM($B$63:$Y$71,G$63,$B$78:$C90)</f>
        <v>0.53150237380438647</v>
      </c>
      <c r="H90" s="273">
        <f>DSUM($B$63:$Y$71,H$63,$B$78:$C90)</f>
        <v>0.62171880913797717</v>
      </c>
      <c r="I90" s="273">
        <f>DSUM($B$63:$Y$71,I$63,$B$78:$C90)</f>
        <v>0.6000623742555663</v>
      </c>
      <c r="J90" s="273">
        <f>DSUM($B$63:$Y$71,J$63,$B$78:$C90)</f>
        <v>0.60150488134342639</v>
      </c>
      <c r="K90" s="273">
        <f>DSUM($B$63:$Y$71,K$63,$B$78:$C90)</f>
        <v>0.70946319404714608</v>
      </c>
      <c r="L90" s="273">
        <f>DSUM($B$63:$Y$71,L$63,$B$78:$C90)</f>
        <v>0.74845390899766784</v>
      </c>
      <c r="M90" s="273">
        <f>DSUM($B$63:$Y$71,M$63,$B$78:$C90)</f>
        <v>0.84406208765836777</v>
      </c>
      <c r="N90" s="273">
        <f>DSUM($B$63:$Y$71,N$63,$B$78:$C90)</f>
        <v>0.93644862960670039</v>
      </c>
      <c r="O90" s="273">
        <f>DSUM($B$63:$Y$71,O$63,$B$78:$C90)</f>
        <v>1.0266026494737035</v>
      </c>
      <c r="P90" s="273">
        <f>DSUM($B$63:$Y$71,P$63,$B$78:$C90)</f>
        <v>1.182708319541083</v>
      </c>
      <c r="Q90" s="273">
        <f>DSUM($B$63:$Y$71,Q$63,$B$78:$C90)</f>
        <v>1.3009715034336236</v>
      </c>
      <c r="R90" s="273">
        <f>DSUM($B$63:$Y$71,R$63,$B$78:$C90)</f>
        <v>1.2589112238196418</v>
      </c>
      <c r="S90" s="273">
        <f>DSUM($B$63:$Y$71,S$63,$B$78:$C90)</f>
        <v>1.3351326299027253</v>
      </c>
      <c r="T90" s="273">
        <f>DSUM($B$63:$Y$71,T$63,$B$78:$C90)</f>
        <v>1.3003727759489527</v>
      </c>
      <c r="U90" s="273">
        <f>DSUM($B$63:$Y$71,U$63,$B$78:$C90)</f>
        <v>1.2785991260041911</v>
      </c>
      <c r="V90" s="273">
        <f>DSUM($B$63:$Y$71,V$63,$B$78:$C90)</f>
        <v>1.2171217874015474</v>
      </c>
      <c r="W90" s="273">
        <f>DSUM($B$63:$Y$71,W$63,$B$78:$C90)</f>
        <v>1.1938365886382056</v>
      </c>
      <c r="X90" s="273">
        <f>DSUM($B$63:$Y$71,X$63,$B$78:$C90)</f>
        <v>1.2084821311273819</v>
      </c>
      <c r="Y90" s="45">
        <f>DSUM($B$63:$Y$71,Y$63,$B$78:$C90)</f>
        <v>18.695722892998404</v>
      </c>
      <c r="AA90" s="24"/>
      <c r="AB90" s="24"/>
      <c r="AC90" s="24"/>
    </row>
    <row r="91" spans="1:29">
      <c r="A91" s="24" t="s">
        <v>653</v>
      </c>
      <c r="B91" s="272" t="s">
        <v>734</v>
      </c>
      <c r="C91" s="272" t="s">
        <v>735</v>
      </c>
      <c r="D91" s="272"/>
      <c r="E91" s="273">
        <f>DSUM($B$63:$Y$71,E$63,$B$78:$C91)</f>
        <v>0.32379920970643405</v>
      </c>
      <c r="F91" s="273">
        <f>DSUM($B$63:$Y$71,F$63,$B$78:$C91)</f>
        <v>0.47596868914967588</v>
      </c>
      <c r="G91" s="273">
        <f>DSUM($B$63:$Y$71,G$63,$B$78:$C91)</f>
        <v>0.53150237380438647</v>
      </c>
      <c r="H91" s="273">
        <f>DSUM($B$63:$Y$71,H$63,$B$78:$C91)</f>
        <v>0.62171880913797717</v>
      </c>
      <c r="I91" s="273">
        <f>DSUM($B$63:$Y$71,I$63,$B$78:$C91)</f>
        <v>0.6000623742555663</v>
      </c>
      <c r="J91" s="273">
        <f>DSUM($B$63:$Y$71,J$63,$B$78:$C91)</f>
        <v>0.60150488134342639</v>
      </c>
      <c r="K91" s="273">
        <f>DSUM($B$63:$Y$71,K$63,$B$78:$C91)</f>
        <v>0.70946319404714608</v>
      </c>
      <c r="L91" s="273">
        <f>DSUM($B$63:$Y$71,L$63,$B$78:$C91)</f>
        <v>0.74845390899766784</v>
      </c>
      <c r="M91" s="273">
        <f>DSUM($B$63:$Y$71,M$63,$B$78:$C91)</f>
        <v>0.84406208765836777</v>
      </c>
      <c r="N91" s="273">
        <f>DSUM($B$63:$Y$71,N$63,$B$78:$C91)</f>
        <v>0.93644862960670039</v>
      </c>
      <c r="O91" s="273">
        <f>DSUM($B$63:$Y$71,O$63,$B$78:$C91)</f>
        <v>1.0266026494737035</v>
      </c>
      <c r="P91" s="273">
        <f>DSUM($B$63:$Y$71,P$63,$B$78:$C91)</f>
        <v>1.182708319541083</v>
      </c>
      <c r="Q91" s="273">
        <f>DSUM($B$63:$Y$71,Q$63,$B$78:$C91)</f>
        <v>1.3009715034336236</v>
      </c>
      <c r="R91" s="273">
        <f>DSUM($B$63:$Y$71,R$63,$B$78:$C91)</f>
        <v>1.2589112238196418</v>
      </c>
      <c r="S91" s="273">
        <f>DSUM($B$63:$Y$71,S$63,$B$78:$C91)</f>
        <v>1.3351326299027253</v>
      </c>
      <c r="T91" s="273">
        <f>DSUM($B$63:$Y$71,T$63,$B$78:$C91)</f>
        <v>1.3003727759489527</v>
      </c>
      <c r="U91" s="273">
        <f>DSUM($B$63:$Y$71,U$63,$B$78:$C91)</f>
        <v>1.2785991260041911</v>
      </c>
      <c r="V91" s="273">
        <f>DSUM($B$63:$Y$71,V$63,$B$78:$C91)</f>
        <v>1.2171217874015474</v>
      </c>
      <c r="W91" s="273">
        <f>DSUM($B$63:$Y$71,W$63,$B$78:$C91)</f>
        <v>1.1938365886382056</v>
      </c>
      <c r="X91" s="273">
        <f>DSUM($B$63:$Y$71,X$63,$B$78:$C91)</f>
        <v>1.2084821311273819</v>
      </c>
      <c r="Y91" s="45">
        <f>DSUM($B$63:$Y$71,Y$63,$B$78:$C91)</f>
        <v>18.695722892998404</v>
      </c>
      <c r="AA91" s="24"/>
      <c r="AB91" s="24"/>
      <c r="AC91" s="24"/>
    </row>
    <row r="92" spans="1:29">
      <c r="A92" s="24" t="s">
        <v>654</v>
      </c>
      <c r="B92" s="272" t="s">
        <v>736</v>
      </c>
      <c r="C92" s="272" t="s">
        <v>737</v>
      </c>
      <c r="D92" s="272"/>
      <c r="E92" s="273">
        <f>DSUM($B$63:$Y$71,E$63,$B$78:$C92)</f>
        <v>0.32379920970643405</v>
      </c>
      <c r="F92" s="273">
        <f>DSUM($B$63:$Y$71,F$63,$B$78:$C92)</f>
        <v>0.47596868914967588</v>
      </c>
      <c r="G92" s="273">
        <f>DSUM($B$63:$Y$71,G$63,$B$78:$C92)</f>
        <v>0.53150237380438647</v>
      </c>
      <c r="H92" s="273">
        <f>DSUM($B$63:$Y$71,H$63,$B$78:$C92)</f>
        <v>0.62171880913797717</v>
      </c>
      <c r="I92" s="273">
        <f>DSUM($B$63:$Y$71,I$63,$B$78:$C92)</f>
        <v>0.6000623742555663</v>
      </c>
      <c r="J92" s="273">
        <f>DSUM($B$63:$Y$71,J$63,$B$78:$C92)</f>
        <v>0.60150488134342639</v>
      </c>
      <c r="K92" s="273">
        <f>DSUM($B$63:$Y$71,K$63,$B$78:$C92)</f>
        <v>0.70946319404714608</v>
      </c>
      <c r="L92" s="273">
        <f>DSUM($B$63:$Y$71,L$63,$B$78:$C92)</f>
        <v>0.74845390899766784</v>
      </c>
      <c r="M92" s="273">
        <f>DSUM($B$63:$Y$71,M$63,$B$78:$C92)</f>
        <v>0.84406208765836777</v>
      </c>
      <c r="N92" s="273">
        <f>DSUM($B$63:$Y$71,N$63,$B$78:$C92)</f>
        <v>0.93644862960670039</v>
      </c>
      <c r="O92" s="273">
        <f>DSUM($B$63:$Y$71,O$63,$B$78:$C92)</f>
        <v>1.0266026494737035</v>
      </c>
      <c r="P92" s="273">
        <f>DSUM($B$63:$Y$71,P$63,$B$78:$C92)</f>
        <v>1.182708319541083</v>
      </c>
      <c r="Q92" s="273">
        <f>DSUM($B$63:$Y$71,Q$63,$B$78:$C92)</f>
        <v>1.3009715034336236</v>
      </c>
      <c r="R92" s="273">
        <f>DSUM($B$63:$Y$71,R$63,$B$78:$C92)</f>
        <v>1.2589112238196418</v>
      </c>
      <c r="S92" s="273">
        <f>DSUM($B$63:$Y$71,S$63,$B$78:$C92)</f>
        <v>1.3351326299027253</v>
      </c>
      <c r="T92" s="273">
        <f>DSUM($B$63:$Y$71,T$63,$B$78:$C92)</f>
        <v>1.3003727759489527</v>
      </c>
      <c r="U92" s="273">
        <f>DSUM($B$63:$Y$71,U$63,$B$78:$C92)</f>
        <v>1.2785991260041911</v>
      </c>
      <c r="V92" s="273">
        <f>DSUM($B$63:$Y$71,V$63,$B$78:$C92)</f>
        <v>1.2171217874015474</v>
      </c>
      <c r="W92" s="273">
        <f>DSUM($B$63:$Y$71,W$63,$B$78:$C92)</f>
        <v>1.1938365886382056</v>
      </c>
      <c r="X92" s="273">
        <f>DSUM($B$63:$Y$71,X$63,$B$78:$C92)</f>
        <v>1.2084821311273819</v>
      </c>
      <c r="Y92" s="45">
        <f>DSUM($B$63:$Y$71,Y$63,$B$78:$C92)</f>
        <v>18.695722892998404</v>
      </c>
      <c r="AA92" s="24"/>
      <c r="AB92" s="24"/>
      <c r="AC92" s="24"/>
    </row>
    <row r="93" spans="1:29">
      <c r="A93" s="24" t="s">
        <v>655</v>
      </c>
      <c r="B93" s="272" t="s">
        <v>738</v>
      </c>
      <c r="C93" s="272" t="s">
        <v>739</v>
      </c>
      <c r="D93" s="272"/>
      <c r="E93" s="273">
        <f>DSUM($B$63:$Y$71,E$63,$B$78:$C93)</f>
        <v>0.32379920970643405</v>
      </c>
      <c r="F93" s="273">
        <f>DSUM($B$63:$Y$71,F$63,$B$78:$C93)</f>
        <v>0.47596868914967588</v>
      </c>
      <c r="G93" s="273">
        <f>DSUM($B$63:$Y$71,G$63,$B$78:$C93)</f>
        <v>0.53150237380438647</v>
      </c>
      <c r="H93" s="273">
        <f>DSUM($B$63:$Y$71,H$63,$B$78:$C93)</f>
        <v>0.62171880913797717</v>
      </c>
      <c r="I93" s="273">
        <f>DSUM($B$63:$Y$71,I$63,$B$78:$C93)</f>
        <v>0.6000623742555663</v>
      </c>
      <c r="J93" s="273">
        <f>DSUM($B$63:$Y$71,J$63,$B$78:$C93)</f>
        <v>0.60150488134342639</v>
      </c>
      <c r="K93" s="273">
        <f>DSUM($B$63:$Y$71,K$63,$B$78:$C93)</f>
        <v>0.70946319404714608</v>
      </c>
      <c r="L93" s="273">
        <f>DSUM($B$63:$Y$71,L$63,$B$78:$C93)</f>
        <v>0.74845390899766784</v>
      </c>
      <c r="M93" s="273">
        <f>DSUM($B$63:$Y$71,M$63,$B$78:$C93)</f>
        <v>0.84406208765836777</v>
      </c>
      <c r="N93" s="273">
        <f>DSUM($B$63:$Y$71,N$63,$B$78:$C93)</f>
        <v>0.93644862960670039</v>
      </c>
      <c r="O93" s="273">
        <f>DSUM($B$63:$Y$71,O$63,$B$78:$C93)</f>
        <v>1.0266026494737035</v>
      </c>
      <c r="P93" s="273">
        <f>DSUM($B$63:$Y$71,P$63,$B$78:$C93)</f>
        <v>1.182708319541083</v>
      </c>
      <c r="Q93" s="273">
        <f>DSUM($B$63:$Y$71,Q$63,$B$78:$C93)</f>
        <v>1.3009715034336236</v>
      </c>
      <c r="R93" s="273">
        <f>DSUM($B$63:$Y$71,R$63,$B$78:$C93)</f>
        <v>1.2589112238196418</v>
      </c>
      <c r="S93" s="273">
        <f>DSUM($B$63:$Y$71,S$63,$B$78:$C93)</f>
        <v>1.3351326299027253</v>
      </c>
      <c r="T93" s="273">
        <f>DSUM($B$63:$Y$71,T$63,$B$78:$C93)</f>
        <v>1.3003727759489527</v>
      </c>
      <c r="U93" s="273">
        <f>DSUM($B$63:$Y$71,U$63,$B$78:$C93)</f>
        <v>1.2785991260041911</v>
      </c>
      <c r="V93" s="273">
        <f>DSUM($B$63:$Y$71,V$63,$B$78:$C93)</f>
        <v>1.2171217874015474</v>
      </c>
      <c r="W93" s="273">
        <f>DSUM($B$63:$Y$71,W$63,$B$78:$C93)</f>
        <v>1.1938365886382056</v>
      </c>
      <c r="X93" s="273">
        <f>DSUM($B$63:$Y$71,X$63,$B$78:$C93)</f>
        <v>1.2084821311273819</v>
      </c>
      <c r="Y93" s="45">
        <f>DSUM($B$63:$Y$71,Y$63,$B$78:$C93)</f>
        <v>18.695722892998404</v>
      </c>
      <c r="AA93" s="24"/>
      <c r="AB93" s="24"/>
      <c r="AC93" s="24"/>
    </row>
    <row r="94" spans="1:29">
      <c r="A94" s="24" t="s">
        <v>656</v>
      </c>
      <c r="B94" s="272" t="s">
        <v>740</v>
      </c>
      <c r="C94" s="272" t="s">
        <v>741</v>
      </c>
      <c r="D94" s="272"/>
      <c r="E94" s="273">
        <f>DSUM($B$63:$Y$71,E$63,$B$78:$C94)</f>
        <v>0.32379920970643405</v>
      </c>
      <c r="F94" s="273">
        <f>DSUM($B$63:$Y$71,F$63,$B$78:$C94)</f>
        <v>0.47596868914967588</v>
      </c>
      <c r="G94" s="273">
        <f>DSUM($B$63:$Y$71,G$63,$B$78:$C94)</f>
        <v>0.53150237380438647</v>
      </c>
      <c r="H94" s="273">
        <f>DSUM($B$63:$Y$71,H$63,$B$78:$C94)</f>
        <v>0.62171880913797717</v>
      </c>
      <c r="I94" s="273">
        <f>DSUM($B$63:$Y$71,I$63,$B$78:$C94)</f>
        <v>0.6000623742555663</v>
      </c>
      <c r="J94" s="273">
        <f>DSUM($B$63:$Y$71,J$63,$B$78:$C94)</f>
        <v>0.60150488134342639</v>
      </c>
      <c r="K94" s="273">
        <f>DSUM($B$63:$Y$71,K$63,$B$78:$C94)</f>
        <v>0.70946319404714608</v>
      </c>
      <c r="L94" s="273">
        <f>DSUM($B$63:$Y$71,L$63,$B$78:$C94)</f>
        <v>0.74845390899766784</v>
      </c>
      <c r="M94" s="273">
        <f>DSUM($B$63:$Y$71,M$63,$B$78:$C94)</f>
        <v>0.84406208765836777</v>
      </c>
      <c r="N94" s="273">
        <f>DSUM($B$63:$Y$71,N$63,$B$78:$C94)</f>
        <v>0.93644862960670039</v>
      </c>
      <c r="O94" s="273">
        <f>DSUM($B$63:$Y$71,O$63,$B$78:$C94)</f>
        <v>1.0266026494737035</v>
      </c>
      <c r="P94" s="273">
        <f>DSUM($B$63:$Y$71,P$63,$B$78:$C94)</f>
        <v>1.182708319541083</v>
      </c>
      <c r="Q94" s="273">
        <f>DSUM($B$63:$Y$71,Q$63,$B$78:$C94)</f>
        <v>1.3009715034336236</v>
      </c>
      <c r="R94" s="273">
        <f>DSUM($B$63:$Y$71,R$63,$B$78:$C94)</f>
        <v>1.2589112238196418</v>
      </c>
      <c r="S94" s="273">
        <f>DSUM($B$63:$Y$71,S$63,$B$78:$C94)</f>
        <v>1.3351326299027253</v>
      </c>
      <c r="T94" s="273">
        <f>DSUM($B$63:$Y$71,T$63,$B$78:$C94)</f>
        <v>1.3003727759489527</v>
      </c>
      <c r="U94" s="273">
        <f>DSUM($B$63:$Y$71,U$63,$B$78:$C94)</f>
        <v>1.2785991260041911</v>
      </c>
      <c r="V94" s="273">
        <f>DSUM($B$63:$Y$71,V$63,$B$78:$C94)</f>
        <v>1.2171217874015474</v>
      </c>
      <c r="W94" s="273">
        <f>DSUM($B$63:$Y$71,W$63,$B$78:$C94)</f>
        <v>1.1938365886382056</v>
      </c>
      <c r="X94" s="273">
        <f>DSUM($B$63:$Y$71,X$63,$B$78:$C94)</f>
        <v>1.2084821311273819</v>
      </c>
      <c r="Y94" s="45">
        <f>DSUM($B$63:$Y$71,Y$63,$B$78:$C94)</f>
        <v>18.695722892998404</v>
      </c>
      <c r="AA94" s="24"/>
      <c r="AB94" s="24"/>
      <c r="AC94" s="24"/>
    </row>
    <row r="95" spans="1:29">
      <c r="A95" s="24" t="s">
        <v>657</v>
      </c>
      <c r="B95" s="272" t="s">
        <v>742</v>
      </c>
      <c r="C95" s="272" t="s">
        <v>743</v>
      </c>
      <c r="D95" s="272"/>
      <c r="E95" s="273">
        <f>DSUM($B$63:$Y$71,E$63,$B$78:$C95)</f>
        <v>0.32379920970643405</v>
      </c>
      <c r="F95" s="273">
        <f>DSUM($B$63:$Y$71,F$63,$B$78:$C95)</f>
        <v>0.47596868914967588</v>
      </c>
      <c r="G95" s="273">
        <f>DSUM($B$63:$Y$71,G$63,$B$78:$C95)</f>
        <v>0.53150237380438647</v>
      </c>
      <c r="H95" s="273">
        <f>DSUM($B$63:$Y$71,H$63,$B$78:$C95)</f>
        <v>0.62171880913797717</v>
      </c>
      <c r="I95" s="273">
        <f>DSUM($B$63:$Y$71,I$63,$B$78:$C95)</f>
        <v>0.6000623742555663</v>
      </c>
      <c r="J95" s="273">
        <f>DSUM($B$63:$Y$71,J$63,$B$78:$C95)</f>
        <v>0.60150488134342639</v>
      </c>
      <c r="K95" s="273">
        <f>DSUM($B$63:$Y$71,K$63,$B$78:$C95)</f>
        <v>0.70946319404714608</v>
      </c>
      <c r="L95" s="273">
        <f>DSUM($B$63:$Y$71,L$63,$B$78:$C95)</f>
        <v>0.74845390899766784</v>
      </c>
      <c r="M95" s="273">
        <f>DSUM($B$63:$Y$71,M$63,$B$78:$C95)</f>
        <v>0.84406208765836777</v>
      </c>
      <c r="N95" s="273">
        <f>DSUM($B$63:$Y$71,N$63,$B$78:$C95)</f>
        <v>0.93644862960670039</v>
      </c>
      <c r="O95" s="273">
        <f>DSUM($B$63:$Y$71,O$63,$B$78:$C95)</f>
        <v>1.0266026494737035</v>
      </c>
      <c r="P95" s="273">
        <f>DSUM($B$63:$Y$71,P$63,$B$78:$C95)</f>
        <v>1.182708319541083</v>
      </c>
      <c r="Q95" s="273">
        <f>DSUM($B$63:$Y$71,Q$63,$B$78:$C95)</f>
        <v>1.3009715034336236</v>
      </c>
      <c r="R95" s="273">
        <f>DSUM($B$63:$Y$71,R$63,$B$78:$C95)</f>
        <v>1.2589112238196418</v>
      </c>
      <c r="S95" s="273">
        <f>DSUM($B$63:$Y$71,S$63,$B$78:$C95)</f>
        <v>1.3351326299027253</v>
      </c>
      <c r="T95" s="273">
        <f>DSUM($B$63:$Y$71,T$63,$B$78:$C95)</f>
        <v>1.3003727759489527</v>
      </c>
      <c r="U95" s="273">
        <f>DSUM($B$63:$Y$71,U$63,$B$78:$C95)</f>
        <v>1.2785991260041911</v>
      </c>
      <c r="V95" s="273">
        <f>DSUM($B$63:$Y$71,V$63,$B$78:$C95)</f>
        <v>1.2171217874015474</v>
      </c>
      <c r="W95" s="273">
        <f>DSUM($B$63:$Y$71,W$63,$B$78:$C95)</f>
        <v>1.1938365886382056</v>
      </c>
      <c r="X95" s="273">
        <f>DSUM($B$63:$Y$71,X$63,$B$78:$C95)</f>
        <v>1.2084821311273819</v>
      </c>
      <c r="Y95" s="45">
        <f>DSUM($B$63:$Y$71,Y$63,$B$78:$C95)</f>
        <v>18.695722892998404</v>
      </c>
      <c r="AA95" s="24"/>
      <c r="AB95" s="24"/>
      <c r="AC95" s="24"/>
    </row>
    <row r="96" spans="1:29">
      <c r="A96" s="24" t="s">
        <v>658</v>
      </c>
      <c r="B96" s="272" t="s">
        <v>744</v>
      </c>
      <c r="C96" s="272" t="s">
        <v>745</v>
      </c>
      <c r="D96" s="272"/>
      <c r="E96" s="273">
        <f>DSUM($B$63:$Y$71,E$63,$B$78:$C96)</f>
        <v>0.32379920970643405</v>
      </c>
      <c r="F96" s="273">
        <f>DSUM($B$63:$Y$71,F$63,$B$78:$C96)</f>
        <v>0.47596868914967588</v>
      </c>
      <c r="G96" s="273">
        <f>DSUM($B$63:$Y$71,G$63,$B$78:$C96)</f>
        <v>0.53150237380438647</v>
      </c>
      <c r="H96" s="273">
        <f>DSUM($B$63:$Y$71,H$63,$B$78:$C96)</f>
        <v>0.62171880913797717</v>
      </c>
      <c r="I96" s="273">
        <f>DSUM($B$63:$Y$71,I$63,$B$78:$C96)</f>
        <v>0.6000623742555663</v>
      </c>
      <c r="J96" s="273">
        <f>DSUM($B$63:$Y$71,J$63,$B$78:$C96)</f>
        <v>0.60150488134342639</v>
      </c>
      <c r="K96" s="273">
        <f>DSUM($B$63:$Y$71,K$63,$B$78:$C96)</f>
        <v>0.70946319404714608</v>
      </c>
      <c r="L96" s="273">
        <f>DSUM($B$63:$Y$71,L$63,$B$78:$C96)</f>
        <v>0.74845390899766784</v>
      </c>
      <c r="M96" s="273">
        <f>DSUM($B$63:$Y$71,M$63,$B$78:$C96)</f>
        <v>0.84406208765836777</v>
      </c>
      <c r="N96" s="273">
        <f>DSUM($B$63:$Y$71,N$63,$B$78:$C96)</f>
        <v>0.93644862960670039</v>
      </c>
      <c r="O96" s="273">
        <f>DSUM($B$63:$Y$71,O$63,$B$78:$C96)</f>
        <v>1.0266026494737035</v>
      </c>
      <c r="P96" s="273">
        <f>DSUM($B$63:$Y$71,P$63,$B$78:$C96)</f>
        <v>1.182708319541083</v>
      </c>
      <c r="Q96" s="273">
        <f>DSUM($B$63:$Y$71,Q$63,$B$78:$C96)</f>
        <v>1.3009715034336236</v>
      </c>
      <c r="R96" s="273">
        <f>DSUM($B$63:$Y$71,R$63,$B$78:$C96)</f>
        <v>1.2589112238196418</v>
      </c>
      <c r="S96" s="273">
        <f>DSUM($B$63:$Y$71,S$63,$B$78:$C96)</f>
        <v>1.3351326299027253</v>
      </c>
      <c r="T96" s="273">
        <f>DSUM($B$63:$Y$71,T$63,$B$78:$C96)</f>
        <v>1.3003727759489527</v>
      </c>
      <c r="U96" s="273">
        <f>DSUM($B$63:$Y$71,U$63,$B$78:$C96)</f>
        <v>1.2785991260041911</v>
      </c>
      <c r="V96" s="273">
        <f>DSUM($B$63:$Y$71,V$63,$B$78:$C96)</f>
        <v>1.2171217874015474</v>
      </c>
      <c r="W96" s="273">
        <f>DSUM($B$63:$Y$71,W$63,$B$78:$C96)</f>
        <v>1.1938365886382056</v>
      </c>
      <c r="X96" s="273">
        <f>DSUM($B$63:$Y$71,X$63,$B$78:$C96)</f>
        <v>1.2084821311273819</v>
      </c>
      <c r="Y96" s="45">
        <f>DSUM($B$63:$Y$71,Y$63,$B$78:$C96)</f>
        <v>18.695722892998404</v>
      </c>
      <c r="AA96" s="24"/>
      <c r="AB96" s="24"/>
      <c r="AC96" s="24"/>
    </row>
    <row r="97" spans="1:29">
      <c r="A97" s="24" t="s">
        <v>659</v>
      </c>
      <c r="B97" s="272" t="s">
        <v>746</v>
      </c>
      <c r="C97" s="272" t="s">
        <v>747</v>
      </c>
      <c r="D97" s="272"/>
      <c r="E97" s="273">
        <f>DSUM($B$63:$Y$71,E$63,$B$78:$C97)</f>
        <v>0.32379920970643405</v>
      </c>
      <c r="F97" s="273">
        <f>DSUM($B$63:$Y$71,F$63,$B$78:$C97)</f>
        <v>0.47596868914967588</v>
      </c>
      <c r="G97" s="273">
        <f>DSUM($B$63:$Y$71,G$63,$B$78:$C97)</f>
        <v>0.53150237380438647</v>
      </c>
      <c r="H97" s="273">
        <f>DSUM($B$63:$Y$71,H$63,$B$78:$C97)</f>
        <v>0.62171880913797717</v>
      </c>
      <c r="I97" s="273">
        <f>DSUM($B$63:$Y$71,I$63,$B$78:$C97)</f>
        <v>0.6000623742555663</v>
      </c>
      <c r="J97" s="273">
        <f>DSUM($B$63:$Y$71,J$63,$B$78:$C97)</f>
        <v>0.60150488134342639</v>
      </c>
      <c r="K97" s="273">
        <f>DSUM($B$63:$Y$71,K$63,$B$78:$C97)</f>
        <v>0.70946319404714608</v>
      </c>
      <c r="L97" s="273">
        <f>DSUM($B$63:$Y$71,L$63,$B$78:$C97)</f>
        <v>0.74845390899766784</v>
      </c>
      <c r="M97" s="273">
        <f>DSUM($B$63:$Y$71,M$63,$B$78:$C97)</f>
        <v>0.84406208765836777</v>
      </c>
      <c r="N97" s="273">
        <f>DSUM($B$63:$Y$71,N$63,$B$78:$C97)</f>
        <v>0.93644862960670039</v>
      </c>
      <c r="O97" s="273">
        <f>DSUM($B$63:$Y$71,O$63,$B$78:$C97)</f>
        <v>1.0266026494737035</v>
      </c>
      <c r="P97" s="273">
        <f>DSUM($B$63:$Y$71,P$63,$B$78:$C97)</f>
        <v>1.182708319541083</v>
      </c>
      <c r="Q97" s="273">
        <f>DSUM($B$63:$Y$71,Q$63,$B$78:$C97)</f>
        <v>1.3009715034336236</v>
      </c>
      <c r="R97" s="273">
        <f>DSUM($B$63:$Y$71,R$63,$B$78:$C97)</f>
        <v>1.2589112238196418</v>
      </c>
      <c r="S97" s="273">
        <f>DSUM($B$63:$Y$71,S$63,$B$78:$C97)</f>
        <v>1.3351326299027253</v>
      </c>
      <c r="T97" s="273">
        <f>DSUM($B$63:$Y$71,T$63,$B$78:$C97)</f>
        <v>1.3003727759489527</v>
      </c>
      <c r="U97" s="273">
        <f>DSUM($B$63:$Y$71,U$63,$B$78:$C97)</f>
        <v>1.2785991260041911</v>
      </c>
      <c r="V97" s="273">
        <f>DSUM($B$63:$Y$71,V$63,$B$78:$C97)</f>
        <v>1.2171217874015474</v>
      </c>
      <c r="W97" s="273">
        <f>DSUM($B$63:$Y$71,W$63,$B$78:$C97)</f>
        <v>1.1938365886382056</v>
      </c>
      <c r="X97" s="273">
        <f>DSUM($B$63:$Y$71,X$63,$B$78:$C97)</f>
        <v>1.2084821311273819</v>
      </c>
      <c r="Y97" s="45">
        <f>DSUM($B$63:$Y$71,Y$63,$B$78:$C97)</f>
        <v>18.695722892998404</v>
      </c>
      <c r="AA97" s="24"/>
      <c r="AB97" s="24"/>
      <c r="AC97" s="24"/>
    </row>
    <row r="98" spans="1:29">
      <c r="A98" s="24" t="s">
        <v>660</v>
      </c>
      <c r="B98" s="272" t="s">
        <v>748</v>
      </c>
      <c r="C98" s="272" t="s">
        <v>749</v>
      </c>
      <c r="D98" s="272"/>
      <c r="E98" s="273">
        <f>DSUM($B$63:$Y$71,E$63,$B$78:$C98)</f>
        <v>0.32379920970643405</v>
      </c>
      <c r="F98" s="273">
        <f>DSUM($B$63:$Y$71,F$63,$B$78:$C98)</f>
        <v>0.47596868914967588</v>
      </c>
      <c r="G98" s="273">
        <f>DSUM($B$63:$Y$71,G$63,$B$78:$C98)</f>
        <v>0.53150237380438647</v>
      </c>
      <c r="H98" s="273">
        <f>DSUM($B$63:$Y$71,H$63,$B$78:$C98)</f>
        <v>0.62171880913797717</v>
      </c>
      <c r="I98" s="273">
        <f>DSUM($B$63:$Y$71,I$63,$B$78:$C98)</f>
        <v>0.6000623742555663</v>
      </c>
      <c r="J98" s="273">
        <f>DSUM($B$63:$Y$71,J$63,$B$78:$C98)</f>
        <v>0.60150488134342639</v>
      </c>
      <c r="K98" s="273">
        <f>DSUM($B$63:$Y$71,K$63,$B$78:$C98)</f>
        <v>0.70946319404714608</v>
      </c>
      <c r="L98" s="273">
        <f>DSUM($B$63:$Y$71,L$63,$B$78:$C98)</f>
        <v>0.74845390899766784</v>
      </c>
      <c r="M98" s="273">
        <f>DSUM($B$63:$Y$71,M$63,$B$78:$C98)</f>
        <v>0.84406208765836777</v>
      </c>
      <c r="N98" s="273">
        <f>DSUM($B$63:$Y$71,N$63,$B$78:$C98)</f>
        <v>0.93644862960670039</v>
      </c>
      <c r="O98" s="273">
        <f>DSUM($B$63:$Y$71,O$63,$B$78:$C98)</f>
        <v>1.0266026494737035</v>
      </c>
      <c r="P98" s="273">
        <f>DSUM($B$63:$Y$71,P$63,$B$78:$C98)</f>
        <v>1.182708319541083</v>
      </c>
      <c r="Q98" s="273">
        <f>DSUM($B$63:$Y$71,Q$63,$B$78:$C98)</f>
        <v>1.3009715034336236</v>
      </c>
      <c r="R98" s="273">
        <f>DSUM($B$63:$Y$71,R$63,$B$78:$C98)</f>
        <v>1.2589112238196418</v>
      </c>
      <c r="S98" s="273">
        <f>DSUM($B$63:$Y$71,S$63,$B$78:$C98)</f>
        <v>1.3351326299027253</v>
      </c>
      <c r="T98" s="273">
        <f>DSUM($B$63:$Y$71,T$63,$B$78:$C98)</f>
        <v>1.3003727759489527</v>
      </c>
      <c r="U98" s="273">
        <f>DSUM($B$63:$Y$71,U$63,$B$78:$C98)</f>
        <v>1.2785991260041911</v>
      </c>
      <c r="V98" s="273">
        <f>DSUM($B$63:$Y$71,V$63,$B$78:$C98)</f>
        <v>1.2171217874015474</v>
      </c>
      <c r="W98" s="273">
        <f>DSUM($B$63:$Y$71,W$63,$B$78:$C98)</f>
        <v>1.1938365886382056</v>
      </c>
      <c r="X98" s="273">
        <f>DSUM($B$63:$Y$71,X$63,$B$78:$C98)</f>
        <v>1.2084821311273819</v>
      </c>
      <c r="Y98" s="45">
        <f>DSUM($B$63:$Y$71,Y$63,$B$78:$C98)</f>
        <v>18.695722892998404</v>
      </c>
      <c r="AA98" s="24"/>
      <c r="AB98" s="24"/>
      <c r="AC98" s="24"/>
    </row>
    <row r="99" spans="1:29">
      <c r="A99" s="24" t="s">
        <v>661</v>
      </c>
      <c r="B99" s="272" t="s">
        <v>750</v>
      </c>
      <c r="C99" s="272" t="s">
        <v>751</v>
      </c>
      <c r="D99" s="272"/>
      <c r="E99" s="273">
        <f>DSUM($B$63:$Y$71,E$63,$B$78:$C99)</f>
        <v>0.32379920970643405</v>
      </c>
      <c r="F99" s="273">
        <f>DSUM($B$63:$Y$71,F$63,$B$78:$C99)</f>
        <v>0.47596868914967588</v>
      </c>
      <c r="G99" s="273">
        <f>DSUM($B$63:$Y$71,G$63,$B$78:$C99)</f>
        <v>0.53150237380438647</v>
      </c>
      <c r="H99" s="273">
        <f>DSUM($B$63:$Y$71,H$63,$B$78:$C99)</f>
        <v>0.62171880913797717</v>
      </c>
      <c r="I99" s="273">
        <f>DSUM($B$63:$Y$71,I$63,$B$78:$C99)</f>
        <v>0.6000623742555663</v>
      </c>
      <c r="J99" s="273">
        <f>DSUM($B$63:$Y$71,J$63,$B$78:$C99)</f>
        <v>0.60150488134342639</v>
      </c>
      <c r="K99" s="273">
        <f>DSUM($B$63:$Y$71,K$63,$B$78:$C99)</f>
        <v>0.70946319404714608</v>
      </c>
      <c r="L99" s="273">
        <f>DSUM($B$63:$Y$71,L$63,$B$78:$C99)</f>
        <v>0.74845390899766784</v>
      </c>
      <c r="M99" s="273">
        <f>DSUM($B$63:$Y$71,M$63,$B$78:$C99)</f>
        <v>0.84406208765836777</v>
      </c>
      <c r="N99" s="273">
        <f>DSUM($B$63:$Y$71,N$63,$B$78:$C99)</f>
        <v>0.93644862960670039</v>
      </c>
      <c r="O99" s="273">
        <f>DSUM($B$63:$Y$71,O$63,$B$78:$C99)</f>
        <v>1.0266026494737035</v>
      </c>
      <c r="P99" s="273">
        <f>DSUM($B$63:$Y$71,P$63,$B$78:$C99)</f>
        <v>1.182708319541083</v>
      </c>
      <c r="Q99" s="273">
        <f>DSUM($B$63:$Y$71,Q$63,$B$78:$C99)</f>
        <v>1.3009715034336236</v>
      </c>
      <c r="R99" s="273">
        <f>DSUM($B$63:$Y$71,R$63,$B$78:$C99)</f>
        <v>1.2589112238196418</v>
      </c>
      <c r="S99" s="273">
        <f>DSUM($B$63:$Y$71,S$63,$B$78:$C99)</f>
        <v>1.3351326299027253</v>
      </c>
      <c r="T99" s="273">
        <f>DSUM($B$63:$Y$71,T$63,$B$78:$C99)</f>
        <v>1.3003727759489527</v>
      </c>
      <c r="U99" s="273">
        <f>DSUM($B$63:$Y$71,U$63,$B$78:$C99)</f>
        <v>1.2785991260041911</v>
      </c>
      <c r="V99" s="273">
        <f>DSUM($B$63:$Y$71,V$63,$B$78:$C99)</f>
        <v>1.2171217874015474</v>
      </c>
      <c r="W99" s="273">
        <f>DSUM($B$63:$Y$71,W$63,$B$78:$C99)</f>
        <v>1.1938365886382056</v>
      </c>
      <c r="X99" s="273">
        <f>DSUM($B$63:$Y$71,X$63,$B$78:$C99)</f>
        <v>1.2084821311273819</v>
      </c>
      <c r="Y99" s="45">
        <f>DSUM($B$63:$Y$71,Y$63,$B$78:$C99)</f>
        <v>18.695722892998404</v>
      </c>
      <c r="AA99" s="24"/>
      <c r="AB99" s="24"/>
      <c r="AC99" s="24"/>
    </row>
    <row r="100" spans="1:29">
      <c r="A100" s="24" t="s">
        <v>752</v>
      </c>
      <c r="B100" s="272" t="s">
        <v>753</v>
      </c>
      <c r="C100" s="272" t="s">
        <v>754</v>
      </c>
      <c r="D100" s="272"/>
      <c r="E100" s="273">
        <f>DSUM($B$63:$Y$71,E$63,$B$78:$C100)</f>
        <v>0.32379920970643405</v>
      </c>
      <c r="F100" s="273">
        <f>DSUM($B$63:$Y$71,F$63,$B$78:$C100)</f>
        <v>0.47596868914967588</v>
      </c>
      <c r="G100" s="273">
        <f>DSUM($B$63:$Y$71,G$63,$B$78:$C100)</f>
        <v>0.53150237380438647</v>
      </c>
      <c r="H100" s="273">
        <f>DSUM($B$63:$Y$71,H$63,$B$78:$C100)</f>
        <v>0.62171880913797717</v>
      </c>
      <c r="I100" s="273">
        <f>DSUM($B$63:$Y$71,I$63,$B$78:$C100)</f>
        <v>0.6000623742555663</v>
      </c>
      <c r="J100" s="273">
        <f>DSUM($B$63:$Y$71,J$63,$B$78:$C100)</f>
        <v>0.60150488134342639</v>
      </c>
      <c r="K100" s="273">
        <f>DSUM($B$63:$Y$71,K$63,$B$78:$C100)</f>
        <v>0.70946319404714608</v>
      </c>
      <c r="L100" s="273">
        <f>DSUM($B$63:$Y$71,L$63,$B$78:$C100)</f>
        <v>0.74845390899766784</v>
      </c>
      <c r="M100" s="273">
        <f>DSUM($B$63:$Y$71,M$63,$B$78:$C100)</f>
        <v>0.84406208765836777</v>
      </c>
      <c r="N100" s="273">
        <f>DSUM($B$63:$Y$71,N$63,$B$78:$C100)</f>
        <v>0.93644862960670039</v>
      </c>
      <c r="O100" s="273">
        <f>DSUM($B$63:$Y$71,O$63,$B$78:$C100)</f>
        <v>1.0266026494737035</v>
      </c>
      <c r="P100" s="273">
        <f>DSUM($B$63:$Y$71,P$63,$B$78:$C100)</f>
        <v>1.182708319541083</v>
      </c>
      <c r="Q100" s="273">
        <f>DSUM($B$63:$Y$71,Q$63,$B$78:$C100)</f>
        <v>1.3009715034336236</v>
      </c>
      <c r="R100" s="273">
        <f>DSUM($B$63:$Y$71,R$63,$B$78:$C100)</f>
        <v>1.2589112238196418</v>
      </c>
      <c r="S100" s="273">
        <f>DSUM($B$63:$Y$71,S$63,$B$78:$C100)</f>
        <v>1.3351326299027253</v>
      </c>
      <c r="T100" s="273">
        <f>DSUM($B$63:$Y$71,T$63,$B$78:$C100)</f>
        <v>1.3003727759489527</v>
      </c>
      <c r="U100" s="273">
        <f>DSUM($B$63:$Y$71,U$63,$B$78:$C100)</f>
        <v>1.2785991260041911</v>
      </c>
      <c r="V100" s="273">
        <f>DSUM($B$63:$Y$71,V$63,$B$78:$C100)</f>
        <v>1.2171217874015474</v>
      </c>
      <c r="W100" s="273">
        <f>DSUM($B$63:$Y$71,W$63,$B$78:$C100)</f>
        <v>1.1938365886382056</v>
      </c>
      <c r="X100" s="273">
        <f>DSUM($B$63:$Y$71,X$63,$B$78:$C100)</f>
        <v>1.2084821311273819</v>
      </c>
      <c r="Y100" s="45">
        <f>DSUM($B$63:$Y$71,Y$63,$B$78:$C100)</f>
        <v>18.695722892998404</v>
      </c>
      <c r="AA100" s="24"/>
      <c r="AB100" s="24"/>
      <c r="AC100" s="24"/>
    </row>
    <row r="101" spans="1:29">
      <c r="A101" s="24" t="s">
        <v>755</v>
      </c>
      <c r="B101" s="272" t="s">
        <v>756</v>
      </c>
      <c r="C101" s="272" t="s">
        <v>757</v>
      </c>
      <c r="D101" s="272"/>
      <c r="E101" s="273">
        <f>DSUM($B$63:$Y$71,E$63,$B$78:$C101)</f>
        <v>0.32379920970643405</v>
      </c>
      <c r="F101" s="273">
        <f>DSUM($B$63:$Y$71,F$63,$B$78:$C101)</f>
        <v>0.47596868914967588</v>
      </c>
      <c r="G101" s="273">
        <f>DSUM($B$63:$Y$71,G$63,$B$78:$C101)</f>
        <v>0.53150237380438647</v>
      </c>
      <c r="H101" s="273">
        <f>DSUM($B$63:$Y$71,H$63,$B$78:$C101)</f>
        <v>0.62171880913797717</v>
      </c>
      <c r="I101" s="273">
        <f>DSUM($B$63:$Y$71,I$63,$B$78:$C101)</f>
        <v>0.6000623742555663</v>
      </c>
      <c r="J101" s="273">
        <f>DSUM($B$63:$Y$71,J$63,$B$78:$C101)</f>
        <v>0.60150488134342639</v>
      </c>
      <c r="K101" s="273">
        <f>DSUM($B$63:$Y$71,K$63,$B$78:$C101)</f>
        <v>0.70946319404714608</v>
      </c>
      <c r="L101" s="273">
        <f>DSUM($B$63:$Y$71,L$63,$B$78:$C101)</f>
        <v>0.74845390899766784</v>
      </c>
      <c r="M101" s="273">
        <f>DSUM($B$63:$Y$71,M$63,$B$78:$C101)</f>
        <v>0.84406208765836777</v>
      </c>
      <c r="N101" s="273">
        <f>DSUM($B$63:$Y$71,N$63,$B$78:$C101)</f>
        <v>0.93644862960670039</v>
      </c>
      <c r="O101" s="273">
        <f>DSUM($B$63:$Y$71,O$63,$B$78:$C101)</f>
        <v>1.0266026494737035</v>
      </c>
      <c r="P101" s="273">
        <f>DSUM($B$63:$Y$71,P$63,$B$78:$C101)</f>
        <v>1.182708319541083</v>
      </c>
      <c r="Q101" s="273">
        <f>DSUM($B$63:$Y$71,Q$63,$B$78:$C101)</f>
        <v>1.3009715034336236</v>
      </c>
      <c r="R101" s="273">
        <f>DSUM($B$63:$Y$71,R$63,$B$78:$C101)</f>
        <v>1.2589112238196418</v>
      </c>
      <c r="S101" s="273">
        <f>DSUM($B$63:$Y$71,S$63,$B$78:$C101)</f>
        <v>1.3351326299027253</v>
      </c>
      <c r="T101" s="273">
        <f>DSUM($B$63:$Y$71,T$63,$B$78:$C101)</f>
        <v>1.3003727759489527</v>
      </c>
      <c r="U101" s="273">
        <f>DSUM($B$63:$Y$71,U$63,$B$78:$C101)</f>
        <v>1.2785991260041911</v>
      </c>
      <c r="V101" s="273">
        <f>DSUM($B$63:$Y$71,V$63,$B$78:$C101)</f>
        <v>1.2171217874015474</v>
      </c>
      <c r="W101" s="273">
        <f>DSUM($B$63:$Y$71,W$63,$B$78:$C101)</f>
        <v>1.1938365886382056</v>
      </c>
      <c r="X101" s="273">
        <f>DSUM($B$63:$Y$71,X$63,$B$78:$C101)</f>
        <v>1.2084821311273819</v>
      </c>
      <c r="Y101" s="45">
        <f>DSUM($B$63:$Y$71,Y$63,$B$78:$C101)</f>
        <v>18.695722892998404</v>
      </c>
      <c r="AA101" s="24"/>
      <c r="AB101" s="24"/>
      <c r="AC101" s="24"/>
    </row>
    <row r="102" spans="1:29">
      <c r="A102" s="24" t="s">
        <v>758</v>
      </c>
      <c r="B102" s="272" t="s">
        <v>759</v>
      </c>
      <c r="C102" s="272" t="s">
        <v>760</v>
      </c>
      <c r="D102" s="272"/>
      <c r="E102" s="273">
        <f>DSUM($B$63:$Y$71,E$63,$B$78:$C102)</f>
        <v>0.32379920970643405</v>
      </c>
      <c r="F102" s="273">
        <f>DSUM($B$63:$Y$71,F$63,$B$78:$C102)</f>
        <v>0.47596868914967588</v>
      </c>
      <c r="G102" s="273">
        <f>DSUM($B$63:$Y$71,G$63,$B$78:$C102)</f>
        <v>0.53150237380438647</v>
      </c>
      <c r="H102" s="273">
        <f>DSUM($B$63:$Y$71,H$63,$B$78:$C102)</f>
        <v>0.62171880913797717</v>
      </c>
      <c r="I102" s="273">
        <f>DSUM($B$63:$Y$71,I$63,$B$78:$C102)</f>
        <v>0.6000623742555663</v>
      </c>
      <c r="J102" s="273">
        <f>DSUM($B$63:$Y$71,J$63,$B$78:$C102)</f>
        <v>0.60150488134342639</v>
      </c>
      <c r="K102" s="273">
        <f>DSUM($B$63:$Y$71,K$63,$B$78:$C102)</f>
        <v>0.70946319404714608</v>
      </c>
      <c r="L102" s="273">
        <f>DSUM($B$63:$Y$71,L$63,$B$78:$C102)</f>
        <v>0.74845390899766784</v>
      </c>
      <c r="M102" s="273">
        <f>DSUM($B$63:$Y$71,M$63,$B$78:$C102)</f>
        <v>0.84406208765836777</v>
      </c>
      <c r="N102" s="273">
        <f>DSUM($B$63:$Y$71,N$63,$B$78:$C102)</f>
        <v>0.93644862960670039</v>
      </c>
      <c r="O102" s="273">
        <f>DSUM($B$63:$Y$71,O$63,$B$78:$C102)</f>
        <v>1.0266026494737035</v>
      </c>
      <c r="P102" s="273">
        <f>DSUM($B$63:$Y$71,P$63,$B$78:$C102)</f>
        <v>1.182708319541083</v>
      </c>
      <c r="Q102" s="273">
        <f>DSUM($B$63:$Y$71,Q$63,$B$78:$C102)</f>
        <v>1.3009715034336236</v>
      </c>
      <c r="R102" s="273">
        <f>DSUM($B$63:$Y$71,R$63,$B$78:$C102)</f>
        <v>1.2589112238196418</v>
      </c>
      <c r="S102" s="273">
        <f>DSUM($B$63:$Y$71,S$63,$B$78:$C102)</f>
        <v>1.3351326299027253</v>
      </c>
      <c r="T102" s="273">
        <f>DSUM($B$63:$Y$71,T$63,$B$78:$C102)</f>
        <v>1.3003727759489527</v>
      </c>
      <c r="U102" s="273">
        <f>DSUM($B$63:$Y$71,U$63,$B$78:$C102)</f>
        <v>1.2785991260041911</v>
      </c>
      <c r="V102" s="273">
        <f>DSUM($B$63:$Y$71,V$63,$B$78:$C102)</f>
        <v>1.2171217874015474</v>
      </c>
      <c r="W102" s="273">
        <f>DSUM($B$63:$Y$71,W$63,$B$78:$C102)</f>
        <v>1.1938365886382056</v>
      </c>
      <c r="X102" s="273">
        <f>DSUM($B$63:$Y$71,X$63,$B$78:$C102)</f>
        <v>1.2084821311273819</v>
      </c>
      <c r="Y102" s="45">
        <f>DSUM($B$63:$Y$71,Y$63,$B$78:$C102)</f>
        <v>18.695722892998404</v>
      </c>
      <c r="AA102" s="24"/>
      <c r="AB102" s="24"/>
      <c r="AC102" s="24"/>
    </row>
    <row r="103" spans="1:29">
      <c r="A103" s="24" t="s">
        <v>761</v>
      </c>
      <c r="B103" s="272" t="s">
        <v>762</v>
      </c>
      <c r="C103" s="272" t="s">
        <v>763</v>
      </c>
      <c r="D103" s="272"/>
      <c r="E103" s="273">
        <f>DSUM($B$63:$Y$71,E$63,$B$78:$C103)</f>
        <v>0.32379920970643405</v>
      </c>
      <c r="F103" s="273">
        <f>DSUM($B$63:$Y$71,F$63,$B$78:$C103)</f>
        <v>0.47596868914967588</v>
      </c>
      <c r="G103" s="273">
        <f>DSUM($B$63:$Y$71,G$63,$B$78:$C103)</f>
        <v>0.53150237380438647</v>
      </c>
      <c r="H103" s="273">
        <f>DSUM($B$63:$Y$71,H$63,$B$78:$C103)</f>
        <v>0.62171880913797717</v>
      </c>
      <c r="I103" s="273">
        <f>DSUM($B$63:$Y$71,I$63,$B$78:$C103)</f>
        <v>0.6000623742555663</v>
      </c>
      <c r="J103" s="273">
        <f>DSUM($B$63:$Y$71,J$63,$B$78:$C103)</f>
        <v>0.60150488134342639</v>
      </c>
      <c r="K103" s="273">
        <f>DSUM($B$63:$Y$71,K$63,$B$78:$C103)</f>
        <v>0.70946319404714608</v>
      </c>
      <c r="L103" s="273">
        <f>DSUM($B$63:$Y$71,L$63,$B$78:$C103)</f>
        <v>0.74845390899766784</v>
      </c>
      <c r="M103" s="273">
        <f>DSUM($B$63:$Y$71,M$63,$B$78:$C103)</f>
        <v>0.84406208765836777</v>
      </c>
      <c r="N103" s="273">
        <f>DSUM($B$63:$Y$71,N$63,$B$78:$C103)</f>
        <v>0.93644862960670039</v>
      </c>
      <c r="O103" s="273">
        <f>DSUM($B$63:$Y$71,O$63,$B$78:$C103)</f>
        <v>1.0266026494737035</v>
      </c>
      <c r="P103" s="273">
        <f>DSUM($B$63:$Y$71,P$63,$B$78:$C103)</f>
        <v>1.182708319541083</v>
      </c>
      <c r="Q103" s="273">
        <f>DSUM($B$63:$Y$71,Q$63,$B$78:$C103)</f>
        <v>1.3009715034336236</v>
      </c>
      <c r="R103" s="273">
        <f>DSUM($B$63:$Y$71,R$63,$B$78:$C103)</f>
        <v>1.2589112238196418</v>
      </c>
      <c r="S103" s="273">
        <f>DSUM($B$63:$Y$71,S$63,$B$78:$C103)</f>
        <v>1.3351326299027253</v>
      </c>
      <c r="T103" s="273">
        <f>DSUM($B$63:$Y$71,T$63,$B$78:$C103)</f>
        <v>1.3003727759489527</v>
      </c>
      <c r="U103" s="273">
        <f>DSUM($B$63:$Y$71,U$63,$B$78:$C103)</f>
        <v>1.2785991260041911</v>
      </c>
      <c r="V103" s="273">
        <f>DSUM($B$63:$Y$71,V$63,$B$78:$C103)</f>
        <v>1.2171217874015474</v>
      </c>
      <c r="W103" s="273">
        <f>DSUM($B$63:$Y$71,W$63,$B$78:$C103)</f>
        <v>1.1938365886382056</v>
      </c>
      <c r="X103" s="273">
        <f>DSUM($B$63:$Y$71,X$63,$B$78:$C103)</f>
        <v>1.2084821311273819</v>
      </c>
      <c r="Y103" s="45">
        <f>DSUM($B$63:$Y$71,Y$63,$B$78:$C103)</f>
        <v>18.695722892998404</v>
      </c>
      <c r="AA103" s="24"/>
      <c r="AB103" s="24"/>
      <c r="AC103" s="24"/>
    </row>
    <row r="104" spans="1:29">
      <c r="A104" s="24" t="s">
        <v>764</v>
      </c>
      <c r="B104" s="272" t="s">
        <v>765</v>
      </c>
      <c r="C104" s="272" t="s">
        <v>766</v>
      </c>
      <c r="D104" s="272"/>
      <c r="E104" s="273">
        <f>DSUM($B$63:$Y$71,E$63,$B$78:$C104)</f>
        <v>0.32379920970643405</v>
      </c>
      <c r="F104" s="273">
        <f>DSUM($B$63:$Y$71,F$63,$B$78:$C104)</f>
        <v>0.47596868914967588</v>
      </c>
      <c r="G104" s="273">
        <f>DSUM($B$63:$Y$71,G$63,$B$78:$C104)</f>
        <v>0.53150237380438647</v>
      </c>
      <c r="H104" s="273">
        <f>DSUM($B$63:$Y$71,H$63,$B$78:$C104)</f>
        <v>0.62171880913797717</v>
      </c>
      <c r="I104" s="273">
        <f>DSUM($B$63:$Y$71,I$63,$B$78:$C104)</f>
        <v>0.6000623742555663</v>
      </c>
      <c r="J104" s="273">
        <f>DSUM($B$63:$Y$71,J$63,$B$78:$C104)</f>
        <v>0.60150488134342639</v>
      </c>
      <c r="K104" s="273">
        <f>DSUM($B$63:$Y$71,K$63,$B$78:$C104)</f>
        <v>0.70946319404714608</v>
      </c>
      <c r="L104" s="273">
        <f>DSUM($B$63:$Y$71,L$63,$B$78:$C104)</f>
        <v>0.74845390899766784</v>
      </c>
      <c r="M104" s="273">
        <f>DSUM($B$63:$Y$71,M$63,$B$78:$C104)</f>
        <v>0.84406208765836777</v>
      </c>
      <c r="N104" s="273">
        <f>DSUM($B$63:$Y$71,N$63,$B$78:$C104)</f>
        <v>0.93644862960670039</v>
      </c>
      <c r="O104" s="273">
        <f>DSUM($B$63:$Y$71,O$63,$B$78:$C104)</f>
        <v>1.0266026494737035</v>
      </c>
      <c r="P104" s="273">
        <f>DSUM($B$63:$Y$71,P$63,$B$78:$C104)</f>
        <v>1.182708319541083</v>
      </c>
      <c r="Q104" s="273">
        <f>DSUM($B$63:$Y$71,Q$63,$B$78:$C104)</f>
        <v>1.3009715034336236</v>
      </c>
      <c r="R104" s="273">
        <f>DSUM($B$63:$Y$71,R$63,$B$78:$C104)</f>
        <v>1.2589112238196418</v>
      </c>
      <c r="S104" s="273">
        <f>DSUM($B$63:$Y$71,S$63,$B$78:$C104)</f>
        <v>1.3351326299027253</v>
      </c>
      <c r="T104" s="273">
        <f>DSUM($B$63:$Y$71,T$63,$B$78:$C104)</f>
        <v>1.3003727759489527</v>
      </c>
      <c r="U104" s="273">
        <f>DSUM($B$63:$Y$71,U$63,$B$78:$C104)</f>
        <v>1.2785991260041911</v>
      </c>
      <c r="V104" s="273">
        <f>DSUM($B$63:$Y$71,V$63,$B$78:$C104)</f>
        <v>1.2171217874015474</v>
      </c>
      <c r="W104" s="273">
        <f>DSUM($B$63:$Y$71,W$63,$B$78:$C104)</f>
        <v>1.1938365886382056</v>
      </c>
      <c r="X104" s="273">
        <f>DSUM($B$63:$Y$71,X$63,$B$78:$C104)</f>
        <v>1.2084821311273819</v>
      </c>
      <c r="Y104" s="45">
        <f>DSUM($B$63:$Y$71,Y$63,$B$78:$C104)</f>
        <v>18.695722892998404</v>
      </c>
      <c r="AA104" s="24"/>
      <c r="AB104" s="24"/>
      <c r="AC104" s="24"/>
    </row>
    <row r="105" spans="1:29">
      <c r="A105" s="24" t="s">
        <v>767</v>
      </c>
      <c r="B105" s="272" t="s">
        <v>768</v>
      </c>
      <c r="C105" s="272" t="s">
        <v>769</v>
      </c>
      <c r="D105" s="272"/>
      <c r="E105" s="273">
        <f>DSUM($B$63:$Y$71,E$63,$B$78:$C105)</f>
        <v>0.32379920970643405</v>
      </c>
      <c r="F105" s="273">
        <f>DSUM($B$63:$Y$71,F$63,$B$78:$C105)</f>
        <v>0.47596868914967588</v>
      </c>
      <c r="G105" s="273">
        <f>DSUM($B$63:$Y$71,G$63,$B$78:$C105)</f>
        <v>0.53150237380438647</v>
      </c>
      <c r="H105" s="273">
        <f>DSUM($B$63:$Y$71,H$63,$B$78:$C105)</f>
        <v>0.62171880913797717</v>
      </c>
      <c r="I105" s="273">
        <f>DSUM($B$63:$Y$71,I$63,$B$78:$C105)</f>
        <v>0.6000623742555663</v>
      </c>
      <c r="J105" s="273">
        <f>DSUM($B$63:$Y$71,J$63,$B$78:$C105)</f>
        <v>0.60150488134342639</v>
      </c>
      <c r="K105" s="273">
        <f>DSUM($B$63:$Y$71,K$63,$B$78:$C105)</f>
        <v>0.70946319404714608</v>
      </c>
      <c r="L105" s="273">
        <f>DSUM($B$63:$Y$71,L$63,$B$78:$C105)</f>
        <v>0.74845390899766784</v>
      </c>
      <c r="M105" s="273">
        <f>DSUM($B$63:$Y$71,M$63,$B$78:$C105)</f>
        <v>0.84406208765836777</v>
      </c>
      <c r="N105" s="273">
        <f>DSUM($B$63:$Y$71,N$63,$B$78:$C105)</f>
        <v>0.93644862960670039</v>
      </c>
      <c r="O105" s="273">
        <f>DSUM($B$63:$Y$71,O$63,$B$78:$C105)</f>
        <v>1.0266026494737035</v>
      </c>
      <c r="P105" s="273">
        <f>DSUM($B$63:$Y$71,P$63,$B$78:$C105)</f>
        <v>1.182708319541083</v>
      </c>
      <c r="Q105" s="273">
        <f>DSUM($B$63:$Y$71,Q$63,$B$78:$C105)</f>
        <v>1.3009715034336236</v>
      </c>
      <c r="R105" s="273">
        <f>DSUM($B$63:$Y$71,R$63,$B$78:$C105)</f>
        <v>1.2589112238196418</v>
      </c>
      <c r="S105" s="273">
        <f>DSUM($B$63:$Y$71,S$63,$B$78:$C105)</f>
        <v>1.3351326299027253</v>
      </c>
      <c r="T105" s="273">
        <f>DSUM($B$63:$Y$71,T$63,$B$78:$C105)</f>
        <v>1.3003727759489527</v>
      </c>
      <c r="U105" s="273">
        <f>DSUM($B$63:$Y$71,U$63,$B$78:$C105)</f>
        <v>1.2785991260041911</v>
      </c>
      <c r="V105" s="273">
        <f>DSUM($B$63:$Y$71,V$63,$B$78:$C105)</f>
        <v>1.2171217874015474</v>
      </c>
      <c r="W105" s="273">
        <f>DSUM($B$63:$Y$71,W$63,$B$78:$C105)</f>
        <v>1.1938365886382056</v>
      </c>
      <c r="X105" s="273">
        <f>DSUM($B$63:$Y$71,X$63,$B$78:$C105)</f>
        <v>1.2084821311273819</v>
      </c>
      <c r="Y105" s="45">
        <f>DSUM($B$63:$Y$71,Y$63,$B$78:$C105)</f>
        <v>18.695722892998404</v>
      </c>
      <c r="AA105" s="24"/>
      <c r="AB105" s="24"/>
      <c r="AC105" s="24"/>
    </row>
    <row r="106" spans="1:29">
      <c r="A106" s="24" t="s">
        <v>770</v>
      </c>
      <c r="B106" s="272" t="s">
        <v>771</v>
      </c>
      <c r="C106" s="272" t="s">
        <v>772</v>
      </c>
      <c r="D106" s="272"/>
      <c r="E106" s="273">
        <f>DSUM($B$63:$Y$71,E$63,$B$78:$C106)</f>
        <v>0.32379920970643405</v>
      </c>
      <c r="F106" s="273">
        <f>DSUM($B$63:$Y$71,F$63,$B$78:$C106)</f>
        <v>0.47596868914967588</v>
      </c>
      <c r="G106" s="273">
        <f>DSUM($B$63:$Y$71,G$63,$B$78:$C106)</f>
        <v>0.53150237380438647</v>
      </c>
      <c r="H106" s="273">
        <f>DSUM($B$63:$Y$71,H$63,$B$78:$C106)</f>
        <v>0.62171880913797717</v>
      </c>
      <c r="I106" s="273">
        <f>DSUM($B$63:$Y$71,I$63,$B$78:$C106)</f>
        <v>0.6000623742555663</v>
      </c>
      <c r="J106" s="273">
        <f>DSUM($B$63:$Y$71,J$63,$B$78:$C106)</f>
        <v>0.60150488134342639</v>
      </c>
      <c r="K106" s="273">
        <f>DSUM($B$63:$Y$71,K$63,$B$78:$C106)</f>
        <v>0.70946319404714608</v>
      </c>
      <c r="L106" s="273">
        <f>DSUM($B$63:$Y$71,L$63,$B$78:$C106)</f>
        <v>0.74845390899766784</v>
      </c>
      <c r="M106" s="273">
        <f>DSUM($B$63:$Y$71,M$63,$B$78:$C106)</f>
        <v>0.84406208765836777</v>
      </c>
      <c r="N106" s="273">
        <f>DSUM($B$63:$Y$71,N$63,$B$78:$C106)</f>
        <v>0.93644862960670039</v>
      </c>
      <c r="O106" s="273">
        <f>DSUM($B$63:$Y$71,O$63,$B$78:$C106)</f>
        <v>1.0266026494737035</v>
      </c>
      <c r="P106" s="273">
        <f>DSUM($B$63:$Y$71,P$63,$B$78:$C106)</f>
        <v>1.182708319541083</v>
      </c>
      <c r="Q106" s="273">
        <f>DSUM($B$63:$Y$71,Q$63,$B$78:$C106)</f>
        <v>1.3009715034336236</v>
      </c>
      <c r="R106" s="273">
        <f>DSUM($B$63:$Y$71,R$63,$B$78:$C106)</f>
        <v>1.2589112238196418</v>
      </c>
      <c r="S106" s="273">
        <f>DSUM($B$63:$Y$71,S$63,$B$78:$C106)</f>
        <v>1.3351326299027253</v>
      </c>
      <c r="T106" s="273">
        <f>DSUM($B$63:$Y$71,T$63,$B$78:$C106)</f>
        <v>1.3003727759489527</v>
      </c>
      <c r="U106" s="273">
        <f>DSUM($B$63:$Y$71,U$63,$B$78:$C106)</f>
        <v>1.2785991260041911</v>
      </c>
      <c r="V106" s="273">
        <f>DSUM($B$63:$Y$71,V$63,$B$78:$C106)</f>
        <v>1.2171217874015474</v>
      </c>
      <c r="W106" s="273">
        <f>DSUM($B$63:$Y$71,W$63,$B$78:$C106)</f>
        <v>1.1938365886382056</v>
      </c>
      <c r="X106" s="273">
        <f>DSUM($B$63:$Y$71,X$63,$B$78:$C106)</f>
        <v>1.2084821311273819</v>
      </c>
      <c r="Y106" s="45">
        <f>DSUM($B$63:$Y$71,Y$63,$B$78:$C106)</f>
        <v>18.695722892998404</v>
      </c>
      <c r="AA106" s="24"/>
      <c r="AB106" s="24"/>
      <c r="AC106" s="24"/>
    </row>
    <row r="107" spans="1:29">
      <c r="A107" s="24" t="s">
        <v>773</v>
      </c>
      <c r="B107" s="272" t="s">
        <v>774</v>
      </c>
      <c r="C107" s="272" t="s">
        <v>775</v>
      </c>
      <c r="D107" s="272"/>
      <c r="E107" s="273">
        <f>DSUM($B$63:$Y$71,E$63,$B$78:$C107)</f>
        <v>0.32379920970643405</v>
      </c>
      <c r="F107" s="273">
        <f>DSUM($B$63:$Y$71,F$63,$B$78:$C107)</f>
        <v>0.47596868914967588</v>
      </c>
      <c r="G107" s="273">
        <f>DSUM($B$63:$Y$71,G$63,$B$78:$C107)</f>
        <v>0.53150237380438647</v>
      </c>
      <c r="H107" s="273">
        <f>DSUM($B$63:$Y$71,H$63,$B$78:$C107)</f>
        <v>0.62171880913797717</v>
      </c>
      <c r="I107" s="273">
        <f>DSUM($B$63:$Y$71,I$63,$B$78:$C107)</f>
        <v>0.6000623742555663</v>
      </c>
      <c r="J107" s="273">
        <f>DSUM($B$63:$Y$71,J$63,$B$78:$C107)</f>
        <v>0.60150488134342639</v>
      </c>
      <c r="K107" s="273">
        <f>DSUM($B$63:$Y$71,K$63,$B$78:$C107)</f>
        <v>0.70946319404714608</v>
      </c>
      <c r="L107" s="273">
        <f>DSUM($B$63:$Y$71,L$63,$B$78:$C107)</f>
        <v>0.74845390899766784</v>
      </c>
      <c r="M107" s="273">
        <f>DSUM($B$63:$Y$71,M$63,$B$78:$C107)</f>
        <v>0.84406208765836777</v>
      </c>
      <c r="N107" s="273">
        <f>DSUM($B$63:$Y$71,N$63,$B$78:$C107)</f>
        <v>0.93644862960670039</v>
      </c>
      <c r="O107" s="273">
        <f>DSUM($B$63:$Y$71,O$63,$B$78:$C107)</f>
        <v>1.0266026494737035</v>
      </c>
      <c r="P107" s="273">
        <f>DSUM($B$63:$Y$71,P$63,$B$78:$C107)</f>
        <v>1.182708319541083</v>
      </c>
      <c r="Q107" s="273">
        <f>DSUM($B$63:$Y$71,Q$63,$B$78:$C107)</f>
        <v>1.3009715034336236</v>
      </c>
      <c r="R107" s="273">
        <f>DSUM($B$63:$Y$71,R$63,$B$78:$C107)</f>
        <v>1.2589112238196418</v>
      </c>
      <c r="S107" s="273">
        <f>DSUM($B$63:$Y$71,S$63,$B$78:$C107)</f>
        <v>1.3351326299027253</v>
      </c>
      <c r="T107" s="273">
        <f>DSUM($B$63:$Y$71,T$63,$B$78:$C107)</f>
        <v>1.3003727759489527</v>
      </c>
      <c r="U107" s="273">
        <f>DSUM($B$63:$Y$71,U$63,$B$78:$C107)</f>
        <v>1.2785991260041911</v>
      </c>
      <c r="V107" s="273">
        <f>DSUM($B$63:$Y$71,V$63,$B$78:$C107)</f>
        <v>1.2171217874015474</v>
      </c>
      <c r="W107" s="273">
        <f>DSUM($B$63:$Y$71,W$63,$B$78:$C107)</f>
        <v>1.1938365886382056</v>
      </c>
      <c r="X107" s="273">
        <f>DSUM($B$63:$Y$71,X$63,$B$78:$C107)</f>
        <v>1.2084821311273819</v>
      </c>
      <c r="Y107" s="45">
        <f>DSUM($B$63:$Y$71,Y$63,$B$78:$C107)</f>
        <v>18.695722892998404</v>
      </c>
      <c r="AA107" s="24"/>
      <c r="AB107" s="24"/>
      <c r="AC107" s="24"/>
    </row>
    <row r="108" spans="1:29">
      <c r="A108" s="24" t="s">
        <v>776</v>
      </c>
      <c r="B108" s="272" t="s">
        <v>777</v>
      </c>
      <c r="C108" s="272" t="s">
        <v>778</v>
      </c>
      <c r="D108" s="272"/>
      <c r="E108" s="273">
        <f>DSUM($B$63:$Y$71,E$63,$B$78:$C108)</f>
        <v>0.32379920970643405</v>
      </c>
      <c r="F108" s="273">
        <f>DSUM($B$63:$Y$71,F$63,$B$78:$C108)</f>
        <v>0.47596868914967588</v>
      </c>
      <c r="G108" s="273">
        <f>DSUM($B$63:$Y$71,G$63,$B$78:$C108)</f>
        <v>0.53150237380438647</v>
      </c>
      <c r="H108" s="273">
        <f>DSUM($B$63:$Y$71,H$63,$B$78:$C108)</f>
        <v>0.62171880913797717</v>
      </c>
      <c r="I108" s="273">
        <f>DSUM($B$63:$Y$71,I$63,$B$78:$C108)</f>
        <v>0.6000623742555663</v>
      </c>
      <c r="J108" s="273">
        <f>DSUM($B$63:$Y$71,J$63,$B$78:$C108)</f>
        <v>0.60150488134342639</v>
      </c>
      <c r="K108" s="273">
        <f>DSUM($B$63:$Y$71,K$63,$B$78:$C108)</f>
        <v>0.70946319404714608</v>
      </c>
      <c r="L108" s="273">
        <f>DSUM($B$63:$Y$71,L$63,$B$78:$C108)</f>
        <v>0.74845390899766784</v>
      </c>
      <c r="M108" s="273">
        <f>DSUM($B$63:$Y$71,M$63,$B$78:$C108)</f>
        <v>0.84406208765836777</v>
      </c>
      <c r="N108" s="273">
        <f>DSUM($B$63:$Y$71,N$63,$B$78:$C108)</f>
        <v>0.93644862960670039</v>
      </c>
      <c r="O108" s="273">
        <f>DSUM($B$63:$Y$71,O$63,$B$78:$C108)</f>
        <v>1.0266026494737035</v>
      </c>
      <c r="P108" s="273">
        <f>DSUM($B$63:$Y$71,P$63,$B$78:$C108)</f>
        <v>1.182708319541083</v>
      </c>
      <c r="Q108" s="273">
        <f>DSUM($B$63:$Y$71,Q$63,$B$78:$C108)</f>
        <v>1.3009715034336236</v>
      </c>
      <c r="R108" s="273">
        <f>DSUM($B$63:$Y$71,R$63,$B$78:$C108)</f>
        <v>1.2589112238196418</v>
      </c>
      <c r="S108" s="273">
        <f>DSUM($B$63:$Y$71,S$63,$B$78:$C108)</f>
        <v>1.3351326299027253</v>
      </c>
      <c r="T108" s="273">
        <f>DSUM($B$63:$Y$71,T$63,$B$78:$C108)</f>
        <v>1.3003727759489527</v>
      </c>
      <c r="U108" s="273">
        <f>DSUM($B$63:$Y$71,U$63,$B$78:$C108)</f>
        <v>1.2785991260041911</v>
      </c>
      <c r="V108" s="273">
        <f>DSUM($B$63:$Y$71,V$63,$B$78:$C108)</f>
        <v>1.2171217874015474</v>
      </c>
      <c r="W108" s="273">
        <f>DSUM($B$63:$Y$71,W$63,$B$78:$C108)</f>
        <v>1.1938365886382056</v>
      </c>
      <c r="X108" s="273">
        <f>DSUM($B$63:$Y$71,X$63,$B$78:$C108)</f>
        <v>1.2084821311273819</v>
      </c>
      <c r="Y108" s="45">
        <f>DSUM($B$63:$Y$71,Y$63,$B$78:$C108)</f>
        <v>18.695722892998404</v>
      </c>
      <c r="AA108" s="24"/>
      <c r="AB108" s="24"/>
      <c r="AC108" s="24"/>
    </row>
    <row r="109" spans="1:29">
      <c r="A109" s="24" t="s">
        <v>779</v>
      </c>
      <c r="B109" s="272" t="s">
        <v>780</v>
      </c>
      <c r="C109" s="272" t="s">
        <v>781</v>
      </c>
      <c r="D109" s="272"/>
      <c r="E109" s="273">
        <f>DSUM($B$63:$Y$71,E$63,$B$78:$C109)</f>
        <v>0.32379920970643405</v>
      </c>
      <c r="F109" s="273">
        <f>DSUM($B$63:$Y$71,F$63,$B$78:$C109)</f>
        <v>0.47596868914967588</v>
      </c>
      <c r="G109" s="273">
        <f>DSUM($B$63:$Y$71,G$63,$B$78:$C109)</f>
        <v>0.53150237380438647</v>
      </c>
      <c r="H109" s="273">
        <f>DSUM($B$63:$Y$71,H$63,$B$78:$C109)</f>
        <v>0.62171880913797717</v>
      </c>
      <c r="I109" s="273">
        <f>DSUM($B$63:$Y$71,I$63,$B$78:$C109)</f>
        <v>0.6000623742555663</v>
      </c>
      <c r="J109" s="273">
        <f>DSUM($B$63:$Y$71,J$63,$B$78:$C109)</f>
        <v>0.60150488134342639</v>
      </c>
      <c r="K109" s="273">
        <f>DSUM($B$63:$Y$71,K$63,$B$78:$C109)</f>
        <v>0.70946319404714608</v>
      </c>
      <c r="L109" s="273">
        <f>DSUM($B$63:$Y$71,L$63,$B$78:$C109)</f>
        <v>0.74845390899766784</v>
      </c>
      <c r="M109" s="273">
        <f>DSUM($B$63:$Y$71,M$63,$B$78:$C109)</f>
        <v>0.84406208765836777</v>
      </c>
      <c r="N109" s="273">
        <f>DSUM($B$63:$Y$71,N$63,$B$78:$C109)</f>
        <v>0.93644862960670039</v>
      </c>
      <c r="O109" s="273">
        <f>DSUM($B$63:$Y$71,O$63,$B$78:$C109)</f>
        <v>1.0266026494737035</v>
      </c>
      <c r="P109" s="273">
        <f>DSUM($B$63:$Y$71,P$63,$B$78:$C109)</f>
        <v>1.182708319541083</v>
      </c>
      <c r="Q109" s="273">
        <f>DSUM($B$63:$Y$71,Q$63,$B$78:$C109)</f>
        <v>1.3009715034336236</v>
      </c>
      <c r="R109" s="273">
        <f>DSUM($B$63:$Y$71,R$63,$B$78:$C109)</f>
        <v>1.2589112238196418</v>
      </c>
      <c r="S109" s="273">
        <f>DSUM($B$63:$Y$71,S$63,$B$78:$C109)</f>
        <v>1.3351326299027253</v>
      </c>
      <c r="T109" s="273">
        <f>DSUM($B$63:$Y$71,T$63,$B$78:$C109)</f>
        <v>1.3003727759489527</v>
      </c>
      <c r="U109" s="273">
        <f>DSUM($B$63:$Y$71,U$63,$B$78:$C109)</f>
        <v>1.2785991260041911</v>
      </c>
      <c r="V109" s="273">
        <f>DSUM($B$63:$Y$71,V$63,$B$78:$C109)</f>
        <v>1.2171217874015474</v>
      </c>
      <c r="W109" s="273">
        <f>DSUM($B$63:$Y$71,W$63,$B$78:$C109)</f>
        <v>1.1938365886382056</v>
      </c>
      <c r="X109" s="273">
        <f>DSUM($B$63:$Y$71,X$63,$B$78:$C109)</f>
        <v>1.2084821311273819</v>
      </c>
      <c r="Y109" s="45">
        <f>DSUM($B$63:$Y$71,Y$63,$B$78:$C109)</f>
        <v>18.695722892998404</v>
      </c>
      <c r="AA109" s="24"/>
      <c r="AB109" s="24"/>
      <c r="AC109" s="24"/>
    </row>
    <row r="110" spans="1:29">
      <c r="A110" s="24" t="s">
        <v>782</v>
      </c>
      <c r="B110" s="272" t="s">
        <v>783</v>
      </c>
      <c r="C110" s="272" t="s">
        <v>784</v>
      </c>
      <c r="D110" s="272"/>
      <c r="E110" s="273">
        <f>DSUM($B$63:$Y$71,E$63,$B$78:$C110)</f>
        <v>0.32379920970643405</v>
      </c>
      <c r="F110" s="273">
        <f>DSUM($B$63:$Y$71,F$63,$B$78:$C110)</f>
        <v>0.47596868914967588</v>
      </c>
      <c r="G110" s="273">
        <f>DSUM($B$63:$Y$71,G$63,$B$78:$C110)</f>
        <v>0.53150237380438647</v>
      </c>
      <c r="H110" s="273">
        <f>DSUM($B$63:$Y$71,H$63,$B$78:$C110)</f>
        <v>0.62171880913797717</v>
      </c>
      <c r="I110" s="273">
        <f>DSUM($B$63:$Y$71,I$63,$B$78:$C110)</f>
        <v>0.6000623742555663</v>
      </c>
      <c r="J110" s="273">
        <f>DSUM($B$63:$Y$71,J$63,$B$78:$C110)</f>
        <v>0.60150488134342639</v>
      </c>
      <c r="K110" s="273">
        <f>DSUM($B$63:$Y$71,K$63,$B$78:$C110)</f>
        <v>0.70946319404714608</v>
      </c>
      <c r="L110" s="273">
        <f>DSUM($B$63:$Y$71,L$63,$B$78:$C110)</f>
        <v>0.74845390899766784</v>
      </c>
      <c r="M110" s="273">
        <f>DSUM($B$63:$Y$71,M$63,$B$78:$C110)</f>
        <v>0.84406208765836777</v>
      </c>
      <c r="N110" s="273">
        <f>DSUM($B$63:$Y$71,N$63,$B$78:$C110)</f>
        <v>0.93644862960670039</v>
      </c>
      <c r="O110" s="273">
        <f>DSUM($B$63:$Y$71,O$63,$B$78:$C110)</f>
        <v>1.0266026494737035</v>
      </c>
      <c r="P110" s="273">
        <f>DSUM($B$63:$Y$71,P$63,$B$78:$C110)</f>
        <v>1.182708319541083</v>
      </c>
      <c r="Q110" s="273">
        <f>DSUM($B$63:$Y$71,Q$63,$B$78:$C110)</f>
        <v>1.3009715034336236</v>
      </c>
      <c r="R110" s="273">
        <f>DSUM($B$63:$Y$71,R$63,$B$78:$C110)</f>
        <v>1.2589112238196418</v>
      </c>
      <c r="S110" s="273">
        <f>DSUM($B$63:$Y$71,S$63,$B$78:$C110)</f>
        <v>1.3351326299027253</v>
      </c>
      <c r="T110" s="273">
        <f>DSUM($B$63:$Y$71,T$63,$B$78:$C110)</f>
        <v>1.3003727759489527</v>
      </c>
      <c r="U110" s="273">
        <f>DSUM($B$63:$Y$71,U$63,$B$78:$C110)</f>
        <v>1.2785991260041911</v>
      </c>
      <c r="V110" s="273">
        <f>DSUM($B$63:$Y$71,V$63,$B$78:$C110)</f>
        <v>1.2171217874015474</v>
      </c>
      <c r="W110" s="273">
        <f>DSUM($B$63:$Y$71,W$63,$B$78:$C110)</f>
        <v>1.1938365886382056</v>
      </c>
      <c r="X110" s="273">
        <f>DSUM($B$63:$Y$71,X$63,$B$78:$C110)</f>
        <v>1.2084821311273819</v>
      </c>
      <c r="Y110" s="45">
        <f>DSUM($B$63:$Y$71,Y$63,$B$78:$C110)</f>
        <v>18.695722892998404</v>
      </c>
      <c r="AA110" s="24"/>
      <c r="AB110" s="24"/>
      <c r="AC110" s="24"/>
    </row>
    <row r="111" spans="1:29">
      <c r="A111" s="24"/>
      <c r="B111" s="24"/>
      <c r="C111" s="24"/>
      <c r="D111" s="24"/>
      <c r="E111" s="24"/>
      <c r="F111" s="24"/>
      <c r="G111" s="24"/>
      <c r="H111" s="24"/>
      <c r="I111" s="24"/>
      <c r="J111" s="24"/>
      <c r="K111" s="24"/>
      <c r="L111" s="24"/>
      <c r="M111" s="24"/>
      <c r="N111" s="24"/>
      <c r="O111" s="24"/>
      <c r="P111" s="24"/>
      <c r="Q111" s="24"/>
      <c r="R111" s="24"/>
      <c r="S111" s="24"/>
      <c r="T111" s="24"/>
      <c r="U111" s="24"/>
      <c r="V111" s="24"/>
      <c r="W111" s="24"/>
      <c r="X111" s="24"/>
      <c r="Y111" s="24"/>
      <c r="Z111" s="24"/>
      <c r="AA111" s="24"/>
      <c r="AB111" s="24"/>
      <c r="AC111" s="24"/>
    </row>
    <row r="112" spans="1:29">
      <c r="A112" s="24"/>
      <c r="B112" s="24"/>
      <c r="C112" s="24"/>
      <c r="D112" s="24"/>
      <c r="E112" s="24"/>
      <c r="F112" s="24"/>
      <c r="G112" s="24"/>
      <c r="H112" s="24"/>
      <c r="I112" s="24"/>
      <c r="J112" s="24"/>
      <c r="K112" s="24"/>
      <c r="L112" s="24"/>
      <c r="M112" s="24"/>
      <c r="N112" s="24"/>
      <c r="O112" s="24"/>
      <c r="P112" s="24"/>
      <c r="Q112" s="24"/>
      <c r="R112" s="24"/>
      <c r="S112" s="24"/>
      <c r="T112" s="24"/>
      <c r="U112" s="24"/>
      <c r="V112" s="24"/>
      <c r="W112" s="24"/>
      <c r="X112" s="24"/>
      <c r="Y112" s="24"/>
      <c r="Z112" s="24"/>
      <c r="AA112" s="24"/>
      <c r="AB112" s="24"/>
      <c r="AC112" s="24"/>
    </row>
    <row r="113" spans="1:29" ht="15">
      <c r="A113" s="246" t="s">
        <v>785</v>
      </c>
      <c r="B113" s="247"/>
      <c r="C113" s="24"/>
      <c r="D113" s="24"/>
      <c r="E113" s="24"/>
      <c r="F113" s="24"/>
      <c r="G113" s="24"/>
      <c r="H113" s="24"/>
      <c r="I113" s="24"/>
      <c r="J113" s="24"/>
      <c r="K113" s="24"/>
      <c r="L113" s="24"/>
      <c r="M113" s="24"/>
      <c r="N113" s="24"/>
      <c r="O113" s="24"/>
      <c r="P113" s="24"/>
      <c r="Q113" s="24"/>
      <c r="R113" s="24"/>
      <c r="S113" s="24"/>
      <c r="T113" s="24"/>
      <c r="U113" s="24"/>
      <c r="V113" s="24"/>
      <c r="W113" s="24"/>
      <c r="X113" s="24"/>
      <c r="Y113" s="24"/>
      <c r="Z113" s="24"/>
      <c r="AA113" s="24"/>
      <c r="AB113" s="24"/>
      <c r="AC113" s="24"/>
    </row>
    <row r="114" spans="1:29" ht="15">
      <c r="A114" s="24"/>
      <c r="B114" s="24"/>
      <c r="C114" s="243" t="s">
        <v>786</v>
      </c>
      <c r="D114" s="243"/>
      <c r="E114" s="263">
        <f>E77</f>
        <v>2016</v>
      </c>
      <c r="F114" s="263">
        <f t="shared" ref="F114:X115" si="29">F77</f>
        <v>2017</v>
      </c>
      <c r="G114" s="263">
        <f t="shared" si="29"/>
        <v>2018</v>
      </c>
      <c r="H114" s="263">
        <f t="shared" si="29"/>
        <v>2019</v>
      </c>
      <c r="I114" s="263">
        <f t="shared" si="29"/>
        <v>2020</v>
      </c>
      <c r="J114" s="263">
        <f t="shared" si="29"/>
        <v>2021</v>
      </c>
      <c r="K114" s="263">
        <f t="shared" si="29"/>
        <v>2022</v>
      </c>
      <c r="L114" s="263">
        <f t="shared" si="29"/>
        <v>2023</v>
      </c>
      <c r="M114" s="263">
        <f t="shared" si="29"/>
        <v>2024</v>
      </c>
      <c r="N114" s="263">
        <f t="shared" si="29"/>
        <v>2025</v>
      </c>
      <c r="O114" s="263">
        <f t="shared" si="29"/>
        <v>2026</v>
      </c>
      <c r="P114" s="263">
        <f t="shared" si="29"/>
        <v>2027</v>
      </c>
      <c r="Q114" s="263">
        <f t="shared" si="29"/>
        <v>2028</v>
      </c>
      <c r="R114" s="263">
        <f t="shared" si="29"/>
        <v>2029</v>
      </c>
      <c r="S114" s="263">
        <f t="shared" si="29"/>
        <v>2030</v>
      </c>
      <c r="T114" s="263">
        <f t="shared" si="29"/>
        <v>2031</v>
      </c>
      <c r="U114" s="263">
        <f t="shared" si="29"/>
        <v>2032</v>
      </c>
      <c r="V114" s="263">
        <f t="shared" si="29"/>
        <v>2033</v>
      </c>
      <c r="W114" s="263">
        <f t="shared" si="29"/>
        <v>2034</v>
      </c>
      <c r="X114" s="263">
        <f t="shared" si="29"/>
        <v>2035</v>
      </c>
      <c r="Y114" s="248" t="s">
        <v>695</v>
      </c>
      <c r="AA114" s="24"/>
      <c r="AB114" s="24"/>
      <c r="AC114" s="24"/>
    </row>
    <row r="115" spans="1:29" ht="15">
      <c r="A115" s="24"/>
      <c r="B115" s="24"/>
      <c r="C115" s="243">
        <f>C9</f>
        <v>2035</v>
      </c>
      <c r="D115" s="243"/>
      <c r="E115" s="265" t="str">
        <f>E78</f>
        <v>aMW_2016</v>
      </c>
      <c r="F115" s="265" t="str">
        <f t="shared" si="29"/>
        <v>aMW_2017</v>
      </c>
      <c r="G115" s="265" t="str">
        <f t="shared" si="29"/>
        <v>aMW_2018</v>
      </c>
      <c r="H115" s="265" t="str">
        <f t="shared" si="29"/>
        <v>aMW_2019</v>
      </c>
      <c r="I115" s="265" t="str">
        <f t="shared" si="29"/>
        <v>aMW_2020</v>
      </c>
      <c r="J115" s="265" t="str">
        <f t="shared" si="29"/>
        <v>aMW_2021</v>
      </c>
      <c r="K115" s="265" t="str">
        <f t="shared" si="29"/>
        <v>aMW_2022</v>
      </c>
      <c r="L115" s="265" t="str">
        <f t="shared" si="29"/>
        <v>aMW_2023</v>
      </c>
      <c r="M115" s="265" t="str">
        <f t="shared" si="29"/>
        <v>aMW_2024</v>
      </c>
      <c r="N115" s="265" t="str">
        <f t="shared" si="29"/>
        <v>aMW_2025</v>
      </c>
      <c r="O115" s="265" t="str">
        <f t="shared" si="29"/>
        <v>aMW_2026</v>
      </c>
      <c r="P115" s="265" t="str">
        <f t="shared" si="29"/>
        <v>aMW_2027</v>
      </c>
      <c r="Q115" s="265" t="str">
        <f t="shared" si="29"/>
        <v>aMW_2028</v>
      </c>
      <c r="R115" s="265" t="str">
        <f t="shared" si="29"/>
        <v>aMW_2029</v>
      </c>
      <c r="S115" s="265" t="str">
        <f t="shared" si="29"/>
        <v>aMW_2030</v>
      </c>
      <c r="T115" s="265" t="str">
        <f t="shared" si="29"/>
        <v>aMW_2031</v>
      </c>
      <c r="U115" s="265" t="str">
        <f t="shared" si="29"/>
        <v>aMW_2032</v>
      </c>
      <c r="V115" s="265" t="str">
        <f t="shared" si="29"/>
        <v>aMW_2033</v>
      </c>
      <c r="W115" s="265" t="str">
        <f t="shared" si="29"/>
        <v>aMW_2034</v>
      </c>
      <c r="X115" s="265" t="str">
        <f t="shared" si="29"/>
        <v>aMW_2035</v>
      </c>
      <c r="Y115" s="248" t="s">
        <v>695</v>
      </c>
      <c r="AA115" s="24"/>
      <c r="AB115" s="24"/>
      <c r="AC115" s="24"/>
    </row>
    <row r="116" spans="1:29">
      <c r="A116" s="24"/>
      <c r="B116" s="24"/>
      <c r="C116" s="24" t="s">
        <v>641</v>
      </c>
      <c r="D116" s="24"/>
      <c r="E116" s="274">
        <f t="shared" ref="E116:X116" si="30">E79</f>
        <v>0.31780116404684872</v>
      </c>
      <c r="F116" s="274">
        <f t="shared" si="30"/>
        <v>0.46715186117581808</v>
      </c>
      <c r="G116" s="274">
        <f t="shared" si="30"/>
        <v>0.52165684172558058</v>
      </c>
      <c r="H116" s="274">
        <f t="shared" si="30"/>
        <v>0.61020211084827625</v>
      </c>
      <c r="I116" s="274">
        <f t="shared" si="30"/>
        <v>0.5889468390365421</v>
      </c>
      <c r="J116" s="274">
        <f t="shared" si="30"/>
        <v>0.59036262517167004</v>
      </c>
      <c r="K116" s="274">
        <f t="shared" si="30"/>
        <v>0.69632112172538807</v>
      </c>
      <c r="L116" s="274">
        <f t="shared" si="30"/>
        <v>0.73458957398482683</v>
      </c>
      <c r="M116" s="274">
        <f t="shared" si="30"/>
        <v>0.82842670996275869</v>
      </c>
      <c r="N116" s="274">
        <f t="shared" si="30"/>
        <v>0.9191018867183236</v>
      </c>
      <c r="O116" s="274">
        <f t="shared" si="30"/>
        <v>1.0075858965564335</v>
      </c>
      <c r="P116" s="274">
        <f t="shared" si="30"/>
        <v>1.1607998704469347</v>
      </c>
      <c r="Q116" s="274">
        <f t="shared" si="30"/>
        <v>1.2768723511024953</v>
      </c>
      <c r="R116" s="274">
        <f t="shared" si="30"/>
        <v>1.2355911946920826</v>
      </c>
      <c r="S116" s="274">
        <f t="shared" si="30"/>
        <v>1.3104006780149511</v>
      </c>
      <c r="T116" s="274">
        <f t="shared" si="30"/>
        <v>1.2762847144255938</v>
      </c>
      <c r="U116" s="274">
        <f t="shared" si="30"/>
        <v>1.2549143988393778</v>
      </c>
      <c r="V116" s="274">
        <f t="shared" si="30"/>
        <v>1.1945758643873148</v>
      </c>
      <c r="W116" s="274">
        <f t="shared" si="30"/>
        <v>1.1717219998619461</v>
      </c>
      <c r="X116" s="274">
        <f t="shared" si="30"/>
        <v>1.1860962488151094</v>
      </c>
      <c r="Y116" s="275">
        <f>Y79</f>
        <v>18.349403951538271</v>
      </c>
      <c r="AA116" s="24"/>
      <c r="AB116" s="24"/>
      <c r="AC116" s="24"/>
    </row>
    <row r="117" spans="1:29">
      <c r="A117" s="24"/>
      <c r="B117" s="24"/>
      <c r="C117" s="24" t="s">
        <v>642</v>
      </c>
      <c r="D117" s="24"/>
      <c r="E117" s="274">
        <f t="shared" ref="E117:X129" si="31">E80-E79</f>
        <v>5.9980456595853382E-3</v>
      </c>
      <c r="F117" s="274">
        <f t="shared" si="31"/>
        <v>8.8168279738577993E-3</v>
      </c>
      <c r="G117" s="274">
        <f t="shared" si="31"/>
        <v>9.8455320788058964E-3</v>
      </c>
      <c r="H117" s="274">
        <f t="shared" si="31"/>
        <v>1.1516698289700922E-2</v>
      </c>
      <c r="I117" s="274">
        <f t="shared" si="31"/>
        <v>1.1115535219024197E-2</v>
      </c>
      <c r="J117" s="274">
        <f t="shared" si="31"/>
        <v>1.1142256171756348E-2</v>
      </c>
      <c r="K117" s="274">
        <f t="shared" si="31"/>
        <v>1.3142072321758014E-2</v>
      </c>
      <c r="L117" s="274">
        <f t="shared" si="31"/>
        <v>1.3864335012841011E-2</v>
      </c>
      <c r="M117" s="274">
        <f t="shared" si="31"/>
        <v>1.5635377695609076E-2</v>
      </c>
      <c r="N117" s="274">
        <f t="shared" si="31"/>
        <v>1.7346742888376787E-2</v>
      </c>
      <c r="O117" s="274">
        <f t="shared" si="31"/>
        <v>1.9016752917270008E-2</v>
      </c>
      <c r="P117" s="274">
        <f t="shared" si="31"/>
        <v>2.1908449094148352E-2</v>
      </c>
      <c r="Q117" s="274">
        <f t="shared" si="31"/>
        <v>2.4099152331128249E-2</v>
      </c>
      <c r="R117" s="274">
        <f t="shared" si="31"/>
        <v>2.3320029127559261E-2</v>
      </c>
      <c r="S117" s="274">
        <f t="shared" si="31"/>
        <v>2.4731951887774217E-2</v>
      </c>
      <c r="T117" s="274">
        <f t="shared" si="31"/>
        <v>2.4088061523358961E-2</v>
      </c>
      <c r="U117" s="274">
        <f t="shared" si="31"/>
        <v>2.3684727164813291E-2</v>
      </c>
      <c r="V117" s="274">
        <f t="shared" si="31"/>
        <v>2.2545923014232638E-2</v>
      </c>
      <c r="W117" s="274">
        <f t="shared" si="31"/>
        <v>2.2114588776259492E-2</v>
      </c>
      <c r="X117" s="274">
        <f t="shared" si="31"/>
        <v>2.2385882312272454E-2</v>
      </c>
      <c r="Y117" s="275">
        <f t="shared" ref="Y117:Y147" si="32">Y80-Y79</f>
        <v>0.34631894146013309</v>
      </c>
      <c r="AA117" s="24"/>
      <c r="AB117" s="24"/>
      <c r="AC117" s="24"/>
    </row>
    <row r="118" spans="1:29">
      <c r="A118" s="24"/>
      <c r="B118" s="24"/>
      <c r="C118" s="24" t="s">
        <v>643</v>
      </c>
      <c r="D118" s="24"/>
      <c r="E118" s="274">
        <f t="shared" si="31"/>
        <v>0</v>
      </c>
      <c r="F118" s="274">
        <f t="shared" si="31"/>
        <v>0</v>
      </c>
      <c r="G118" s="274">
        <f t="shared" si="31"/>
        <v>0</v>
      </c>
      <c r="H118" s="274">
        <f t="shared" si="31"/>
        <v>0</v>
      </c>
      <c r="I118" s="274">
        <f t="shared" si="31"/>
        <v>0</v>
      </c>
      <c r="J118" s="274">
        <f t="shared" si="31"/>
        <v>0</v>
      </c>
      <c r="K118" s="274">
        <f t="shared" si="31"/>
        <v>0</v>
      </c>
      <c r="L118" s="274">
        <f t="shared" si="31"/>
        <v>0</v>
      </c>
      <c r="M118" s="274">
        <f t="shared" si="31"/>
        <v>0</v>
      </c>
      <c r="N118" s="274">
        <f t="shared" si="31"/>
        <v>0</v>
      </c>
      <c r="O118" s="274">
        <f t="shared" si="31"/>
        <v>0</v>
      </c>
      <c r="P118" s="274">
        <f t="shared" si="31"/>
        <v>0</v>
      </c>
      <c r="Q118" s="274">
        <f t="shared" si="31"/>
        <v>0</v>
      </c>
      <c r="R118" s="274">
        <f t="shared" si="31"/>
        <v>0</v>
      </c>
      <c r="S118" s="274">
        <f t="shared" si="31"/>
        <v>0</v>
      </c>
      <c r="T118" s="274">
        <f t="shared" si="31"/>
        <v>0</v>
      </c>
      <c r="U118" s="274">
        <f t="shared" si="31"/>
        <v>0</v>
      </c>
      <c r="V118" s="274">
        <f t="shared" si="31"/>
        <v>0</v>
      </c>
      <c r="W118" s="274">
        <f t="shared" si="31"/>
        <v>0</v>
      </c>
      <c r="X118" s="274">
        <f t="shared" si="31"/>
        <v>0</v>
      </c>
      <c r="Y118" s="275">
        <f t="shared" si="32"/>
        <v>0</v>
      </c>
      <c r="AA118" s="24"/>
      <c r="AB118" s="24"/>
      <c r="AC118" s="24"/>
    </row>
    <row r="119" spans="1:29">
      <c r="A119" s="24"/>
      <c r="B119" s="24"/>
      <c r="C119" s="24" t="s">
        <v>644</v>
      </c>
      <c r="D119" s="24"/>
      <c r="E119" s="274">
        <f t="shared" si="31"/>
        <v>0</v>
      </c>
      <c r="F119" s="274">
        <f t="shared" si="31"/>
        <v>0</v>
      </c>
      <c r="G119" s="274">
        <f t="shared" si="31"/>
        <v>0</v>
      </c>
      <c r="H119" s="274">
        <f t="shared" si="31"/>
        <v>0</v>
      </c>
      <c r="I119" s="274">
        <f t="shared" si="31"/>
        <v>0</v>
      </c>
      <c r="J119" s="274">
        <f t="shared" si="31"/>
        <v>0</v>
      </c>
      <c r="K119" s="274">
        <f t="shared" si="31"/>
        <v>0</v>
      </c>
      <c r="L119" s="274">
        <f t="shared" si="31"/>
        <v>0</v>
      </c>
      <c r="M119" s="274">
        <f t="shared" si="31"/>
        <v>0</v>
      </c>
      <c r="N119" s="274">
        <f t="shared" si="31"/>
        <v>0</v>
      </c>
      <c r="O119" s="274">
        <f t="shared" si="31"/>
        <v>0</v>
      </c>
      <c r="P119" s="274">
        <f t="shared" si="31"/>
        <v>0</v>
      </c>
      <c r="Q119" s="274">
        <f t="shared" si="31"/>
        <v>0</v>
      </c>
      <c r="R119" s="274">
        <f t="shared" si="31"/>
        <v>0</v>
      </c>
      <c r="S119" s="274">
        <f t="shared" si="31"/>
        <v>0</v>
      </c>
      <c r="T119" s="274">
        <f t="shared" si="31"/>
        <v>0</v>
      </c>
      <c r="U119" s="274">
        <f t="shared" si="31"/>
        <v>0</v>
      </c>
      <c r="V119" s="274">
        <f t="shared" si="31"/>
        <v>0</v>
      </c>
      <c r="W119" s="274">
        <f t="shared" si="31"/>
        <v>0</v>
      </c>
      <c r="X119" s="274">
        <f t="shared" si="31"/>
        <v>0</v>
      </c>
      <c r="Y119" s="275">
        <f t="shared" si="32"/>
        <v>0</v>
      </c>
      <c r="AA119" s="24"/>
      <c r="AB119" s="24"/>
      <c r="AC119" s="24"/>
    </row>
    <row r="120" spans="1:29">
      <c r="A120" s="24"/>
      <c r="B120" s="24"/>
      <c r="C120" s="24" t="s">
        <v>645</v>
      </c>
      <c r="D120" s="24"/>
      <c r="E120" s="274">
        <f t="shared" si="31"/>
        <v>0</v>
      </c>
      <c r="F120" s="274">
        <f t="shared" si="31"/>
        <v>0</v>
      </c>
      <c r="G120" s="274">
        <f t="shared" si="31"/>
        <v>0</v>
      </c>
      <c r="H120" s="274">
        <f t="shared" si="31"/>
        <v>0</v>
      </c>
      <c r="I120" s="274">
        <f t="shared" si="31"/>
        <v>0</v>
      </c>
      <c r="J120" s="274">
        <f t="shared" si="31"/>
        <v>0</v>
      </c>
      <c r="K120" s="274">
        <f t="shared" si="31"/>
        <v>0</v>
      </c>
      <c r="L120" s="274">
        <f t="shared" si="31"/>
        <v>0</v>
      </c>
      <c r="M120" s="274">
        <f t="shared" si="31"/>
        <v>0</v>
      </c>
      <c r="N120" s="274">
        <f t="shared" si="31"/>
        <v>0</v>
      </c>
      <c r="O120" s="274">
        <f t="shared" si="31"/>
        <v>0</v>
      </c>
      <c r="P120" s="274">
        <f t="shared" si="31"/>
        <v>0</v>
      </c>
      <c r="Q120" s="274">
        <f t="shared" si="31"/>
        <v>0</v>
      </c>
      <c r="R120" s="274">
        <f t="shared" si="31"/>
        <v>0</v>
      </c>
      <c r="S120" s="274">
        <f t="shared" si="31"/>
        <v>0</v>
      </c>
      <c r="T120" s="274">
        <f t="shared" si="31"/>
        <v>0</v>
      </c>
      <c r="U120" s="274">
        <f t="shared" si="31"/>
        <v>0</v>
      </c>
      <c r="V120" s="274">
        <f t="shared" si="31"/>
        <v>0</v>
      </c>
      <c r="W120" s="274">
        <f t="shared" si="31"/>
        <v>0</v>
      </c>
      <c r="X120" s="274">
        <f t="shared" si="31"/>
        <v>0</v>
      </c>
      <c r="Y120" s="275">
        <f t="shared" si="32"/>
        <v>0</v>
      </c>
      <c r="AA120" s="24"/>
      <c r="AB120" s="24"/>
      <c r="AC120" s="24"/>
    </row>
    <row r="121" spans="1:29">
      <c r="A121" s="24"/>
      <c r="B121" s="24"/>
      <c r="C121" s="24" t="s">
        <v>646</v>
      </c>
      <c r="D121" s="24"/>
      <c r="E121" s="274">
        <f t="shared" si="31"/>
        <v>0</v>
      </c>
      <c r="F121" s="274">
        <f t="shared" si="31"/>
        <v>0</v>
      </c>
      <c r="G121" s="274">
        <f t="shared" si="31"/>
        <v>0</v>
      </c>
      <c r="H121" s="274">
        <f t="shared" si="31"/>
        <v>0</v>
      </c>
      <c r="I121" s="274">
        <f t="shared" si="31"/>
        <v>0</v>
      </c>
      <c r="J121" s="274">
        <f t="shared" si="31"/>
        <v>0</v>
      </c>
      <c r="K121" s="274">
        <f t="shared" si="31"/>
        <v>0</v>
      </c>
      <c r="L121" s="274">
        <f t="shared" si="31"/>
        <v>0</v>
      </c>
      <c r="M121" s="274">
        <f t="shared" si="31"/>
        <v>0</v>
      </c>
      <c r="N121" s="274">
        <f t="shared" si="31"/>
        <v>0</v>
      </c>
      <c r="O121" s="274">
        <f t="shared" si="31"/>
        <v>0</v>
      </c>
      <c r="P121" s="274">
        <f t="shared" si="31"/>
        <v>0</v>
      </c>
      <c r="Q121" s="274">
        <f t="shared" si="31"/>
        <v>0</v>
      </c>
      <c r="R121" s="274">
        <f t="shared" si="31"/>
        <v>0</v>
      </c>
      <c r="S121" s="274">
        <f t="shared" si="31"/>
        <v>0</v>
      </c>
      <c r="T121" s="274">
        <f t="shared" si="31"/>
        <v>0</v>
      </c>
      <c r="U121" s="274">
        <f t="shared" si="31"/>
        <v>0</v>
      </c>
      <c r="V121" s="274">
        <f t="shared" si="31"/>
        <v>0</v>
      </c>
      <c r="W121" s="274">
        <f t="shared" si="31"/>
        <v>0</v>
      </c>
      <c r="X121" s="274">
        <f t="shared" si="31"/>
        <v>0</v>
      </c>
      <c r="Y121" s="275">
        <f t="shared" si="32"/>
        <v>0</v>
      </c>
      <c r="AA121" s="24"/>
      <c r="AB121" s="24"/>
      <c r="AC121" s="24"/>
    </row>
    <row r="122" spans="1:29">
      <c r="A122" s="24"/>
      <c r="B122" s="24"/>
      <c r="C122" s="24" t="s">
        <v>647</v>
      </c>
      <c r="D122" s="24"/>
      <c r="E122" s="274">
        <f t="shared" si="31"/>
        <v>0</v>
      </c>
      <c r="F122" s="274">
        <f t="shared" si="31"/>
        <v>0</v>
      </c>
      <c r="G122" s="274">
        <f t="shared" si="31"/>
        <v>0</v>
      </c>
      <c r="H122" s="274">
        <f t="shared" si="31"/>
        <v>0</v>
      </c>
      <c r="I122" s="274">
        <f t="shared" si="31"/>
        <v>0</v>
      </c>
      <c r="J122" s="274">
        <f t="shared" si="31"/>
        <v>0</v>
      </c>
      <c r="K122" s="274">
        <f t="shared" si="31"/>
        <v>0</v>
      </c>
      <c r="L122" s="274">
        <f t="shared" si="31"/>
        <v>0</v>
      </c>
      <c r="M122" s="274">
        <f t="shared" si="31"/>
        <v>0</v>
      </c>
      <c r="N122" s="274">
        <f t="shared" si="31"/>
        <v>0</v>
      </c>
      <c r="O122" s="274">
        <f t="shared" si="31"/>
        <v>0</v>
      </c>
      <c r="P122" s="274">
        <f t="shared" si="31"/>
        <v>0</v>
      </c>
      <c r="Q122" s="274">
        <f t="shared" si="31"/>
        <v>0</v>
      </c>
      <c r="R122" s="274">
        <f t="shared" si="31"/>
        <v>0</v>
      </c>
      <c r="S122" s="274">
        <f t="shared" si="31"/>
        <v>0</v>
      </c>
      <c r="T122" s="274">
        <f t="shared" si="31"/>
        <v>0</v>
      </c>
      <c r="U122" s="274">
        <f t="shared" si="31"/>
        <v>0</v>
      </c>
      <c r="V122" s="274">
        <f t="shared" si="31"/>
        <v>0</v>
      </c>
      <c r="W122" s="274">
        <f t="shared" si="31"/>
        <v>0</v>
      </c>
      <c r="X122" s="274">
        <f t="shared" si="31"/>
        <v>0</v>
      </c>
      <c r="Y122" s="275">
        <f t="shared" si="32"/>
        <v>0</v>
      </c>
      <c r="AA122" s="24"/>
      <c r="AB122" s="24"/>
      <c r="AC122" s="24"/>
    </row>
    <row r="123" spans="1:29">
      <c r="A123" s="24"/>
      <c r="B123" s="24"/>
      <c r="C123" s="24" t="s">
        <v>648</v>
      </c>
      <c r="D123" s="24"/>
      <c r="E123" s="274">
        <f t="shared" si="31"/>
        <v>0</v>
      </c>
      <c r="F123" s="274">
        <f t="shared" si="31"/>
        <v>0</v>
      </c>
      <c r="G123" s="274">
        <f t="shared" si="31"/>
        <v>0</v>
      </c>
      <c r="H123" s="274">
        <f t="shared" si="31"/>
        <v>0</v>
      </c>
      <c r="I123" s="274">
        <f t="shared" si="31"/>
        <v>0</v>
      </c>
      <c r="J123" s="274">
        <f t="shared" si="31"/>
        <v>0</v>
      </c>
      <c r="K123" s="274">
        <f t="shared" si="31"/>
        <v>0</v>
      </c>
      <c r="L123" s="274">
        <f t="shared" si="31"/>
        <v>0</v>
      </c>
      <c r="M123" s="274">
        <f t="shared" si="31"/>
        <v>0</v>
      </c>
      <c r="N123" s="274">
        <f t="shared" si="31"/>
        <v>0</v>
      </c>
      <c r="O123" s="274">
        <f t="shared" si="31"/>
        <v>0</v>
      </c>
      <c r="P123" s="274">
        <f t="shared" si="31"/>
        <v>0</v>
      </c>
      <c r="Q123" s="274">
        <f t="shared" si="31"/>
        <v>0</v>
      </c>
      <c r="R123" s="274">
        <f t="shared" si="31"/>
        <v>0</v>
      </c>
      <c r="S123" s="274">
        <f t="shared" si="31"/>
        <v>0</v>
      </c>
      <c r="T123" s="274">
        <f t="shared" si="31"/>
        <v>0</v>
      </c>
      <c r="U123" s="274">
        <f t="shared" si="31"/>
        <v>0</v>
      </c>
      <c r="V123" s="274">
        <f t="shared" si="31"/>
        <v>0</v>
      </c>
      <c r="W123" s="274">
        <f t="shared" si="31"/>
        <v>0</v>
      </c>
      <c r="X123" s="274">
        <f t="shared" si="31"/>
        <v>0</v>
      </c>
      <c r="Y123" s="275">
        <f t="shared" si="32"/>
        <v>0</v>
      </c>
      <c r="AA123" s="24"/>
      <c r="AB123" s="24"/>
      <c r="AC123" s="24"/>
    </row>
    <row r="124" spans="1:29">
      <c r="A124" s="24"/>
      <c r="B124" s="24"/>
      <c r="C124" s="24" t="s">
        <v>649</v>
      </c>
      <c r="D124" s="24"/>
      <c r="E124" s="274">
        <f t="shared" si="31"/>
        <v>0</v>
      </c>
      <c r="F124" s="274">
        <f t="shared" si="31"/>
        <v>0</v>
      </c>
      <c r="G124" s="274">
        <f t="shared" si="31"/>
        <v>0</v>
      </c>
      <c r="H124" s="274">
        <f t="shared" si="31"/>
        <v>0</v>
      </c>
      <c r="I124" s="274">
        <f t="shared" si="31"/>
        <v>0</v>
      </c>
      <c r="J124" s="274">
        <f t="shared" si="31"/>
        <v>0</v>
      </c>
      <c r="K124" s="274">
        <f t="shared" si="31"/>
        <v>0</v>
      </c>
      <c r="L124" s="274">
        <f t="shared" si="31"/>
        <v>0</v>
      </c>
      <c r="M124" s="274">
        <f t="shared" si="31"/>
        <v>0</v>
      </c>
      <c r="N124" s="274">
        <f t="shared" si="31"/>
        <v>0</v>
      </c>
      <c r="O124" s="274">
        <f t="shared" si="31"/>
        <v>0</v>
      </c>
      <c r="P124" s="274">
        <f t="shared" si="31"/>
        <v>0</v>
      </c>
      <c r="Q124" s="274">
        <f t="shared" si="31"/>
        <v>0</v>
      </c>
      <c r="R124" s="274">
        <f t="shared" si="31"/>
        <v>0</v>
      </c>
      <c r="S124" s="274">
        <f t="shared" si="31"/>
        <v>0</v>
      </c>
      <c r="T124" s="274">
        <f t="shared" si="31"/>
        <v>0</v>
      </c>
      <c r="U124" s="274">
        <f t="shared" si="31"/>
        <v>0</v>
      </c>
      <c r="V124" s="274">
        <f t="shared" si="31"/>
        <v>0</v>
      </c>
      <c r="W124" s="274">
        <f t="shared" si="31"/>
        <v>0</v>
      </c>
      <c r="X124" s="274">
        <f t="shared" si="31"/>
        <v>0</v>
      </c>
      <c r="Y124" s="275">
        <f t="shared" si="32"/>
        <v>0</v>
      </c>
      <c r="AA124" s="24"/>
      <c r="AB124" s="24"/>
      <c r="AC124" s="24"/>
    </row>
    <row r="125" spans="1:29">
      <c r="A125" s="24"/>
      <c r="B125" s="24"/>
      <c r="C125" s="24" t="s">
        <v>650</v>
      </c>
      <c r="D125" s="24"/>
      <c r="E125" s="274">
        <f t="shared" si="31"/>
        <v>0</v>
      </c>
      <c r="F125" s="274">
        <f t="shared" si="31"/>
        <v>0</v>
      </c>
      <c r="G125" s="274">
        <f t="shared" si="31"/>
        <v>0</v>
      </c>
      <c r="H125" s="274">
        <f t="shared" si="31"/>
        <v>0</v>
      </c>
      <c r="I125" s="274">
        <f t="shared" si="31"/>
        <v>0</v>
      </c>
      <c r="J125" s="274">
        <f t="shared" si="31"/>
        <v>0</v>
      </c>
      <c r="K125" s="274">
        <f t="shared" si="31"/>
        <v>0</v>
      </c>
      <c r="L125" s="274">
        <f t="shared" si="31"/>
        <v>0</v>
      </c>
      <c r="M125" s="274">
        <f t="shared" si="31"/>
        <v>0</v>
      </c>
      <c r="N125" s="274">
        <f t="shared" si="31"/>
        <v>0</v>
      </c>
      <c r="O125" s="274">
        <f t="shared" si="31"/>
        <v>0</v>
      </c>
      <c r="P125" s="274">
        <f t="shared" si="31"/>
        <v>0</v>
      </c>
      <c r="Q125" s="274">
        <f t="shared" si="31"/>
        <v>0</v>
      </c>
      <c r="R125" s="274">
        <f t="shared" si="31"/>
        <v>0</v>
      </c>
      <c r="S125" s="274">
        <f t="shared" si="31"/>
        <v>0</v>
      </c>
      <c r="T125" s="274">
        <f t="shared" si="31"/>
        <v>0</v>
      </c>
      <c r="U125" s="274">
        <f t="shared" si="31"/>
        <v>0</v>
      </c>
      <c r="V125" s="274">
        <f t="shared" si="31"/>
        <v>0</v>
      </c>
      <c r="W125" s="274">
        <f t="shared" si="31"/>
        <v>0</v>
      </c>
      <c r="X125" s="274">
        <f t="shared" si="31"/>
        <v>0</v>
      </c>
      <c r="Y125" s="275">
        <f t="shared" si="32"/>
        <v>0</v>
      </c>
      <c r="AA125" s="24"/>
      <c r="AB125" s="24"/>
      <c r="AC125" s="24"/>
    </row>
    <row r="126" spans="1:29">
      <c r="A126" s="24"/>
      <c r="B126" s="24"/>
      <c r="C126" s="24" t="s">
        <v>651</v>
      </c>
      <c r="D126" s="24"/>
      <c r="E126" s="274">
        <f t="shared" si="31"/>
        <v>0</v>
      </c>
      <c r="F126" s="274">
        <f t="shared" si="31"/>
        <v>0</v>
      </c>
      <c r="G126" s="274">
        <f t="shared" si="31"/>
        <v>0</v>
      </c>
      <c r="H126" s="274">
        <f t="shared" si="31"/>
        <v>0</v>
      </c>
      <c r="I126" s="274">
        <f t="shared" si="31"/>
        <v>0</v>
      </c>
      <c r="J126" s="274">
        <f t="shared" si="31"/>
        <v>0</v>
      </c>
      <c r="K126" s="274">
        <f t="shared" si="31"/>
        <v>0</v>
      </c>
      <c r="L126" s="274">
        <f t="shared" si="31"/>
        <v>0</v>
      </c>
      <c r="M126" s="274">
        <f t="shared" si="31"/>
        <v>0</v>
      </c>
      <c r="N126" s="274">
        <f t="shared" si="31"/>
        <v>0</v>
      </c>
      <c r="O126" s="274">
        <f t="shared" si="31"/>
        <v>0</v>
      </c>
      <c r="P126" s="274">
        <f t="shared" si="31"/>
        <v>0</v>
      </c>
      <c r="Q126" s="274">
        <f t="shared" si="31"/>
        <v>0</v>
      </c>
      <c r="R126" s="274">
        <f t="shared" si="31"/>
        <v>0</v>
      </c>
      <c r="S126" s="274">
        <f t="shared" si="31"/>
        <v>0</v>
      </c>
      <c r="T126" s="274">
        <f t="shared" si="31"/>
        <v>0</v>
      </c>
      <c r="U126" s="274">
        <f t="shared" si="31"/>
        <v>0</v>
      </c>
      <c r="V126" s="274">
        <f t="shared" si="31"/>
        <v>0</v>
      </c>
      <c r="W126" s="274">
        <f t="shared" si="31"/>
        <v>0</v>
      </c>
      <c r="X126" s="274">
        <f t="shared" si="31"/>
        <v>0</v>
      </c>
      <c r="Y126" s="275">
        <f t="shared" si="32"/>
        <v>0</v>
      </c>
      <c r="AA126" s="24"/>
      <c r="AB126" s="24"/>
      <c r="AC126" s="24"/>
    </row>
    <row r="127" spans="1:29">
      <c r="A127" s="24"/>
      <c r="B127" s="24"/>
      <c r="C127" s="24" t="s">
        <v>652</v>
      </c>
      <c r="D127" s="24"/>
      <c r="E127" s="274">
        <f t="shared" si="31"/>
        <v>0</v>
      </c>
      <c r="F127" s="274">
        <f t="shared" si="31"/>
        <v>0</v>
      </c>
      <c r="G127" s="274">
        <f t="shared" si="31"/>
        <v>0</v>
      </c>
      <c r="H127" s="274">
        <f t="shared" si="31"/>
        <v>0</v>
      </c>
      <c r="I127" s="274">
        <f t="shared" si="31"/>
        <v>0</v>
      </c>
      <c r="J127" s="274">
        <f t="shared" si="31"/>
        <v>0</v>
      </c>
      <c r="K127" s="274">
        <f t="shared" si="31"/>
        <v>0</v>
      </c>
      <c r="L127" s="274">
        <f t="shared" si="31"/>
        <v>0</v>
      </c>
      <c r="M127" s="274">
        <f t="shared" si="31"/>
        <v>0</v>
      </c>
      <c r="N127" s="274">
        <f t="shared" si="31"/>
        <v>0</v>
      </c>
      <c r="O127" s="274">
        <f t="shared" si="31"/>
        <v>0</v>
      </c>
      <c r="P127" s="274">
        <f t="shared" si="31"/>
        <v>0</v>
      </c>
      <c r="Q127" s="274">
        <f t="shared" si="31"/>
        <v>0</v>
      </c>
      <c r="R127" s="274">
        <f t="shared" si="31"/>
        <v>0</v>
      </c>
      <c r="S127" s="274">
        <f t="shared" si="31"/>
        <v>0</v>
      </c>
      <c r="T127" s="274">
        <f t="shared" si="31"/>
        <v>0</v>
      </c>
      <c r="U127" s="274">
        <f t="shared" si="31"/>
        <v>0</v>
      </c>
      <c r="V127" s="274">
        <f t="shared" si="31"/>
        <v>0</v>
      </c>
      <c r="W127" s="274">
        <f t="shared" si="31"/>
        <v>0</v>
      </c>
      <c r="X127" s="274">
        <f t="shared" si="31"/>
        <v>0</v>
      </c>
      <c r="Y127" s="275">
        <f t="shared" si="32"/>
        <v>0</v>
      </c>
      <c r="AA127" s="24"/>
      <c r="AB127" s="24"/>
      <c r="AC127" s="24"/>
    </row>
    <row r="128" spans="1:29">
      <c r="A128" s="24"/>
      <c r="B128" s="24"/>
      <c r="C128" s="24" t="s">
        <v>653</v>
      </c>
      <c r="D128" s="24"/>
      <c r="E128" s="274">
        <f t="shared" si="31"/>
        <v>0</v>
      </c>
      <c r="F128" s="274">
        <f t="shared" si="31"/>
        <v>0</v>
      </c>
      <c r="G128" s="274">
        <f t="shared" si="31"/>
        <v>0</v>
      </c>
      <c r="H128" s="274">
        <f t="shared" si="31"/>
        <v>0</v>
      </c>
      <c r="I128" s="274">
        <f t="shared" si="31"/>
        <v>0</v>
      </c>
      <c r="J128" s="274">
        <f t="shared" si="31"/>
        <v>0</v>
      </c>
      <c r="K128" s="274">
        <f t="shared" si="31"/>
        <v>0</v>
      </c>
      <c r="L128" s="274">
        <f t="shared" si="31"/>
        <v>0</v>
      </c>
      <c r="M128" s="274">
        <f t="shared" si="31"/>
        <v>0</v>
      </c>
      <c r="N128" s="274">
        <f t="shared" si="31"/>
        <v>0</v>
      </c>
      <c r="O128" s="274">
        <f t="shared" si="31"/>
        <v>0</v>
      </c>
      <c r="P128" s="274">
        <f t="shared" si="31"/>
        <v>0</v>
      </c>
      <c r="Q128" s="274">
        <f t="shared" si="31"/>
        <v>0</v>
      </c>
      <c r="R128" s="274">
        <f t="shared" si="31"/>
        <v>0</v>
      </c>
      <c r="S128" s="274">
        <f t="shared" si="31"/>
        <v>0</v>
      </c>
      <c r="T128" s="274">
        <f t="shared" si="31"/>
        <v>0</v>
      </c>
      <c r="U128" s="274">
        <f t="shared" si="31"/>
        <v>0</v>
      </c>
      <c r="V128" s="274">
        <f t="shared" si="31"/>
        <v>0</v>
      </c>
      <c r="W128" s="274">
        <f t="shared" si="31"/>
        <v>0</v>
      </c>
      <c r="X128" s="274">
        <f t="shared" si="31"/>
        <v>0</v>
      </c>
      <c r="Y128" s="275">
        <f t="shared" si="32"/>
        <v>0</v>
      </c>
      <c r="AA128" s="24"/>
      <c r="AB128" s="24"/>
      <c r="AC128" s="24"/>
    </row>
    <row r="129" spans="1:29">
      <c r="A129" s="24"/>
      <c r="B129" s="24"/>
      <c r="C129" s="24" t="s">
        <v>654</v>
      </c>
      <c r="D129" s="24"/>
      <c r="E129" s="274">
        <f t="shared" si="31"/>
        <v>0</v>
      </c>
      <c r="F129" s="274">
        <f t="shared" si="31"/>
        <v>0</v>
      </c>
      <c r="G129" s="274">
        <f t="shared" si="31"/>
        <v>0</v>
      </c>
      <c r="H129" s="274">
        <f t="shared" ref="H129:X129" si="33">H92-H91</f>
        <v>0</v>
      </c>
      <c r="I129" s="274">
        <f t="shared" si="33"/>
        <v>0</v>
      </c>
      <c r="J129" s="274">
        <f t="shared" si="33"/>
        <v>0</v>
      </c>
      <c r="K129" s="274">
        <f t="shared" si="33"/>
        <v>0</v>
      </c>
      <c r="L129" s="274">
        <f t="shared" si="33"/>
        <v>0</v>
      </c>
      <c r="M129" s="274">
        <f t="shared" si="33"/>
        <v>0</v>
      </c>
      <c r="N129" s="274">
        <f t="shared" si="33"/>
        <v>0</v>
      </c>
      <c r="O129" s="274">
        <f t="shared" si="33"/>
        <v>0</v>
      </c>
      <c r="P129" s="274">
        <f t="shared" si="33"/>
        <v>0</v>
      </c>
      <c r="Q129" s="274">
        <f t="shared" si="33"/>
        <v>0</v>
      </c>
      <c r="R129" s="274">
        <f t="shared" si="33"/>
        <v>0</v>
      </c>
      <c r="S129" s="274">
        <f t="shared" si="33"/>
        <v>0</v>
      </c>
      <c r="T129" s="274">
        <f t="shared" si="33"/>
        <v>0</v>
      </c>
      <c r="U129" s="274">
        <f t="shared" si="33"/>
        <v>0</v>
      </c>
      <c r="V129" s="274">
        <f t="shared" si="33"/>
        <v>0</v>
      </c>
      <c r="W129" s="274">
        <f t="shared" si="33"/>
        <v>0</v>
      </c>
      <c r="X129" s="274">
        <f t="shared" si="33"/>
        <v>0</v>
      </c>
      <c r="Y129" s="275">
        <f t="shared" si="32"/>
        <v>0</v>
      </c>
      <c r="AA129" s="24"/>
      <c r="AB129" s="24"/>
      <c r="AC129" s="24"/>
    </row>
    <row r="130" spans="1:29">
      <c r="A130" s="24"/>
      <c r="B130" s="24"/>
      <c r="C130" s="24" t="s">
        <v>655</v>
      </c>
      <c r="D130" s="24"/>
      <c r="E130" s="274">
        <f t="shared" ref="E130:X142" si="34">E93-E92</f>
        <v>0</v>
      </c>
      <c r="F130" s="274">
        <f t="shared" si="34"/>
        <v>0</v>
      </c>
      <c r="G130" s="274">
        <f t="shared" si="34"/>
        <v>0</v>
      </c>
      <c r="H130" s="274">
        <f t="shared" si="34"/>
        <v>0</v>
      </c>
      <c r="I130" s="274">
        <f t="shared" si="34"/>
        <v>0</v>
      </c>
      <c r="J130" s="274">
        <f t="shared" si="34"/>
        <v>0</v>
      </c>
      <c r="K130" s="274">
        <f t="shared" si="34"/>
        <v>0</v>
      </c>
      <c r="L130" s="274">
        <f t="shared" si="34"/>
        <v>0</v>
      </c>
      <c r="M130" s="274">
        <f t="shared" si="34"/>
        <v>0</v>
      </c>
      <c r="N130" s="274">
        <f t="shared" si="34"/>
        <v>0</v>
      </c>
      <c r="O130" s="274">
        <f t="shared" si="34"/>
        <v>0</v>
      </c>
      <c r="P130" s="274">
        <f t="shared" si="34"/>
        <v>0</v>
      </c>
      <c r="Q130" s="274">
        <f t="shared" si="34"/>
        <v>0</v>
      </c>
      <c r="R130" s="274">
        <f t="shared" si="34"/>
        <v>0</v>
      </c>
      <c r="S130" s="274">
        <f t="shared" si="34"/>
        <v>0</v>
      </c>
      <c r="T130" s="274">
        <f t="shared" si="34"/>
        <v>0</v>
      </c>
      <c r="U130" s="274">
        <f t="shared" si="34"/>
        <v>0</v>
      </c>
      <c r="V130" s="274">
        <f t="shared" si="34"/>
        <v>0</v>
      </c>
      <c r="W130" s="274">
        <f t="shared" si="34"/>
        <v>0</v>
      </c>
      <c r="X130" s="274">
        <f t="shared" si="34"/>
        <v>0</v>
      </c>
      <c r="Y130" s="275">
        <f t="shared" si="32"/>
        <v>0</v>
      </c>
      <c r="AA130" s="24"/>
      <c r="AB130" s="24"/>
      <c r="AC130" s="24"/>
    </row>
    <row r="131" spans="1:29">
      <c r="A131" s="24"/>
      <c r="B131" s="24"/>
      <c r="C131" s="24" t="s">
        <v>656</v>
      </c>
      <c r="D131" s="24"/>
      <c r="E131" s="274">
        <f t="shared" si="34"/>
        <v>0</v>
      </c>
      <c r="F131" s="274">
        <f t="shared" si="34"/>
        <v>0</v>
      </c>
      <c r="G131" s="274">
        <f t="shared" si="34"/>
        <v>0</v>
      </c>
      <c r="H131" s="274">
        <f t="shared" si="34"/>
        <v>0</v>
      </c>
      <c r="I131" s="274">
        <f t="shared" si="34"/>
        <v>0</v>
      </c>
      <c r="J131" s="274">
        <f t="shared" si="34"/>
        <v>0</v>
      </c>
      <c r="K131" s="274">
        <f t="shared" si="34"/>
        <v>0</v>
      </c>
      <c r="L131" s="274">
        <f t="shared" si="34"/>
        <v>0</v>
      </c>
      <c r="M131" s="274">
        <f t="shared" si="34"/>
        <v>0</v>
      </c>
      <c r="N131" s="274">
        <f t="shared" si="34"/>
        <v>0</v>
      </c>
      <c r="O131" s="274">
        <f t="shared" si="34"/>
        <v>0</v>
      </c>
      <c r="P131" s="274">
        <f t="shared" si="34"/>
        <v>0</v>
      </c>
      <c r="Q131" s="274">
        <f t="shared" si="34"/>
        <v>0</v>
      </c>
      <c r="R131" s="274">
        <f t="shared" si="34"/>
        <v>0</v>
      </c>
      <c r="S131" s="274">
        <f t="shared" si="34"/>
        <v>0</v>
      </c>
      <c r="T131" s="274">
        <f t="shared" si="34"/>
        <v>0</v>
      </c>
      <c r="U131" s="274">
        <f t="shared" si="34"/>
        <v>0</v>
      </c>
      <c r="V131" s="274">
        <f t="shared" si="34"/>
        <v>0</v>
      </c>
      <c r="W131" s="274">
        <f t="shared" si="34"/>
        <v>0</v>
      </c>
      <c r="X131" s="274">
        <f t="shared" si="34"/>
        <v>0</v>
      </c>
      <c r="Y131" s="275">
        <f t="shared" si="32"/>
        <v>0</v>
      </c>
      <c r="AA131" s="24"/>
      <c r="AB131" s="24"/>
      <c r="AC131" s="24"/>
    </row>
    <row r="132" spans="1:29">
      <c r="A132" s="24"/>
      <c r="B132" s="24"/>
      <c r="C132" s="24" t="s">
        <v>657</v>
      </c>
      <c r="D132" s="24"/>
      <c r="E132" s="274">
        <f t="shared" si="34"/>
        <v>0</v>
      </c>
      <c r="F132" s="274">
        <f t="shared" si="34"/>
        <v>0</v>
      </c>
      <c r="G132" s="274">
        <f t="shared" si="34"/>
        <v>0</v>
      </c>
      <c r="H132" s="274">
        <f t="shared" si="34"/>
        <v>0</v>
      </c>
      <c r="I132" s="274">
        <f t="shared" si="34"/>
        <v>0</v>
      </c>
      <c r="J132" s="274">
        <f t="shared" si="34"/>
        <v>0</v>
      </c>
      <c r="K132" s="274">
        <f t="shared" si="34"/>
        <v>0</v>
      </c>
      <c r="L132" s="274">
        <f t="shared" si="34"/>
        <v>0</v>
      </c>
      <c r="M132" s="274">
        <f t="shared" si="34"/>
        <v>0</v>
      </c>
      <c r="N132" s="274">
        <f t="shared" si="34"/>
        <v>0</v>
      </c>
      <c r="O132" s="274">
        <f t="shared" si="34"/>
        <v>0</v>
      </c>
      <c r="P132" s="274">
        <f t="shared" si="34"/>
        <v>0</v>
      </c>
      <c r="Q132" s="274">
        <f t="shared" si="34"/>
        <v>0</v>
      </c>
      <c r="R132" s="274">
        <f t="shared" si="34"/>
        <v>0</v>
      </c>
      <c r="S132" s="274">
        <f t="shared" si="34"/>
        <v>0</v>
      </c>
      <c r="T132" s="274">
        <f t="shared" si="34"/>
        <v>0</v>
      </c>
      <c r="U132" s="274">
        <f t="shared" si="34"/>
        <v>0</v>
      </c>
      <c r="V132" s="274">
        <f t="shared" si="34"/>
        <v>0</v>
      </c>
      <c r="W132" s="274">
        <f t="shared" si="34"/>
        <v>0</v>
      </c>
      <c r="X132" s="274">
        <f t="shared" si="34"/>
        <v>0</v>
      </c>
      <c r="Y132" s="275">
        <f t="shared" si="32"/>
        <v>0</v>
      </c>
      <c r="AA132" s="24"/>
      <c r="AB132" s="24"/>
      <c r="AC132" s="24"/>
    </row>
    <row r="133" spans="1:29">
      <c r="A133" s="24"/>
      <c r="B133" s="24"/>
      <c r="C133" s="24" t="s">
        <v>658</v>
      </c>
      <c r="D133" s="24"/>
      <c r="E133" s="274">
        <f t="shared" si="34"/>
        <v>0</v>
      </c>
      <c r="F133" s="274">
        <f t="shared" si="34"/>
        <v>0</v>
      </c>
      <c r="G133" s="274">
        <f t="shared" si="34"/>
        <v>0</v>
      </c>
      <c r="H133" s="274">
        <f t="shared" si="34"/>
        <v>0</v>
      </c>
      <c r="I133" s="274">
        <f t="shared" si="34"/>
        <v>0</v>
      </c>
      <c r="J133" s="274">
        <f t="shared" si="34"/>
        <v>0</v>
      </c>
      <c r="K133" s="274">
        <f t="shared" si="34"/>
        <v>0</v>
      </c>
      <c r="L133" s="274">
        <f t="shared" si="34"/>
        <v>0</v>
      </c>
      <c r="M133" s="274">
        <f t="shared" si="34"/>
        <v>0</v>
      </c>
      <c r="N133" s="274">
        <f t="shared" si="34"/>
        <v>0</v>
      </c>
      <c r="O133" s="274">
        <f t="shared" si="34"/>
        <v>0</v>
      </c>
      <c r="P133" s="274">
        <f t="shared" si="34"/>
        <v>0</v>
      </c>
      <c r="Q133" s="274">
        <f t="shared" si="34"/>
        <v>0</v>
      </c>
      <c r="R133" s="274">
        <f t="shared" si="34"/>
        <v>0</v>
      </c>
      <c r="S133" s="274">
        <f t="shared" si="34"/>
        <v>0</v>
      </c>
      <c r="T133" s="274">
        <f t="shared" si="34"/>
        <v>0</v>
      </c>
      <c r="U133" s="274">
        <f t="shared" si="34"/>
        <v>0</v>
      </c>
      <c r="V133" s="274">
        <f t="shared" si="34"/>
        <v>0</v>
      </c>
      <c r="W133" s="274">
        <f t="shared" si="34"/>
        <v>0</v>
      </c>
      <c r="X133" s="274">
        <f t="shared" si="34"/>
        <v>0</v>
      </c>
      <c r="Y133" s="275">
        <f t="shared" si="32"/>
        <v>0</v>
      </c>
      <c r="AA133" s="24"/>
      <c r="AB133" s="24"/>
      <c r="AC133" s="24"/>
    </row>
    <row r="134" spans="1:29">
      <c r="A134" s="24"/>
      <c r="B134" s="24"/>
      <c r="C134" s="24" t="s">
        <v>659</v>
      </c>
      <c r="D134" s="24"/>
      <c r="E134" s="274">
        <f t="shared" si="34"/>
        <v>0</v>
      </c>
      <c r="F134" s="274">
        <f t="shared" si="34"/>
        <v>0</v>
      </c>
      <c r="G134" s="274">
        <f t="shared" si="34"/>
        <v>0</v>
      </c>
      <c r="H134" s="274">
        <f t="shared" si="34"/>
        <v>0</v>
      </c>
      <c r="I134" s="274">
        <f t="shared" si="34"/>
        <v>0</v>
      </c>
      <c r="J134" s="274">
        <f t="shared" si="34"/>
        <v>0</v>
      </c>
      <c r="K134" s="274">
        <f t="shared" si="34"/>
        <v>0</v>
      </c>
      <c r="L134" s="274">
        <f t="shared" si="34"/>
        <v>0</v>
      </c>
      <c r="M134" s="274">
        <f t="shared" si="34"/>
        <v>0</v>
      </c>
      <c r="N134" s="274">
        <f t="shared" si="34"/>
        <v>0</v>
      </c>
      <c r="O134" s="274">
        <f t="shared" si="34"/>
        <v>0</v>
      </c>
      <c r="P134" s="274">
        <f t="shared" si="34"/>
        <v>0</v>
      </c>
      <c r="Q134" s="274">
        <f t="shared" si="34"/>
        <v>0</v>
      </c>
      <c r="R134" s="274">
        <f t="shared" si="34"/>
        <v>0</v>
      </c>
      <c r="S134" s="274">
        <f t="shared" si="34"/>
        <v>0</v>
      </c>
      <c r="T134" s="274">
        <f t="shared" si="34"/>
        <v>0</v>
      </c>
      <c r="U134" s="274">
        <f t="shared" si="34"/>
        <v>0</v>
      </c>
      <c r="V134" s="274">
        <f t="shared" si="34"/>
        <v>0</v>
      </c>
      <c r="W134" s="274">
        <f t="shared" si="34"/>
        <v>0</v>
      </c>
      <c r="X134" s="274">
        <f t="shared" si="34"/>
        <v>0</v>
      </c>
      <c r="Y134" s="275">
        <f t="shared" si="32"/>
        <v>0</v>
      </c>
      <c r="AA134" s="24"/>
      <c r="AB134" s="24"/>
      <c r="AC134" s="24"/>
    </row>
    <row r="135" spans="1:29">
      <c r="A135" s="24"/>
      <c r="B135" s="24"/>
      <c r="C135" s="24" t="s">
        <v>660</v>
      </c>
      <c r="D135" s="24"/>
      <c r="E135" s="274">
        <f t="shared" si="34"/>
        <v>0</v>
      </c>
      <c r="F135" s="274">
        <f t="shared" si="34"/>
        <v>0</v>
      </c>
      <c r="G135" s="274">
        <f t="shared" si="34"/>
        <v>0</v>
      </c>
      <c r="H135" s="274">
        <f t="shared" si="34"/>
        <v>0</v>
      </c>
      <c r="I135" s="274">
        <f t="shared" si="34"/>
        <v>0</v>
      </c>
      <c r="J135" s="274">
        <f t="shared" si="34"/>
        <v>0</v>
      </c>
      <c r="K135" s="274">
        <f t="shared" si="34"/>
        <v>0</v>
      </c>
      <c r="L135" s="274">
        <f t="shared" si="34"/>
        <v>0</v>
      </c>
      <c r="M135" s="274">
        <f t="shared" si="34"/>
        <v>0</v>
      </c>
      <c r="N135" s="274">
        <f t="shared" si="34"/>
        <v>0</v>
      </c>
      <c r="O135" s="274">
        <f t="shared" si="34"/>
        <v>0</v>
      </c>
      <c r="P135" s="274">
        <f t="shared" si="34"/>
        <v>0</v>
      </c>
      <c r="Q135" s="274">
        <f t="shared" si="34"/>
        <v>0</v>
      </c>
      <c r="R135" s="274">
        <f t="shared" si="34"/>
        <v>0</v>
      </c>
      <c r="S135" s="274">
        <f t="shared" si="34"/>
        <v>0</v>
      </c>
      <c r="T135" s="274">
        <f t="shared" si="34"/>
        <v>0</v>
      </c>
      <c r="U135" s="274">
        <f t="shared" si="34"/>
        <v>0</v>
      </c>
      <c r="V135" s="274">
        <f t="shared" si="34"/>
        <v>0</v>
      </c>
      <c r="W135" s="274">
        <f t="shared" si="34"/>
        <v>0</v>
      </c>
      <c r="X135" s="274">
        <f t="shared" si="34"/>
        <v>0</v>
      </c>
      <c r="Y135" s="275">
        <f t="shared" si="32"/>
        <v>0</v>
      </c>
      <c r="AA135" s="24"/>
      <c r="AB135" s="24"/>
      <c r="AC135" s="24"/>
    </row>
    <row r="136" spans="1:29">
      <c r="A136" s="24"/>
      <c r="B136" s="24"/>
      <c r="C136" s="24" t="s">
        <v>661</v>
      </c>
      <c r="D136" s="24"/>
      <c r="E136" s="274">
        <f t="shared" si="34"/>
        <v>0</v>
      </c>
      <c r="F136" s="274">
        <f t="shared" si="34"/>
        <v>0</v>
      </c>
      <c r="G136" s="274">
        <f t="shared" si="34"/>
        <v>0</v>
      </c>
      <c r="H136" s="274">
        <f t="shared" si="34"/>
        <v>0</v>
      </c>
      <c r="I136" s="274">
        <f t="shared" si="34"/>
        <v>0</v>
      </c>
      <c r="J136" s="274">
        <f t="shared" si="34"/>
        <v>0</v>
      </c>
      <c r="K136" s="274">
        <f t="shared" si="34"/>
        <v>0</v>
      </c>
      <c r="L136" s="274">
        <f t="shared" si="34"/>
        <v>0</v>
      </c>
      <c r="M136" s="274">
        <f t="shared" si="34"/>
        <v>0</v>
      </c>
      <c r="N136" s="274">
        <f t="shared" si="34"/>
        <v>0</v>
      </c>
      <c r="O136" s="274">
        <f t="shared" si="34"/>
        <v>0</v>
      </c>
      <c r="P136" s="274">
        <f t="shared" si="34"/>
        <v>0</v>
      </c>
      <c r="Q136" s="274">
        <f t="shared" si="34"/>
        <v>0</v>
      </c>
      <c r="R136" s="274">
        <f t="shared" si="34"/>
        <v>0</v>
      </c>
      <c r="S136" s="274">
        <f t="shared" si="34"/>
        <v>0</v>
      </c>
      <c r="T136" s="274">
        <f t="shared" si="34"/>
        <v>0</v>
      </c>
      <c r="U136" s="274">
        <f t="shared" si="34"/>
        <v>0</v>
      </c>
      <c r="V136" s="274">
        <f t="shared" si="34"/>
        <v>0</v>
      </c>
      <c r="W136" s="274">
        <f t="shared" si="34"/>
        <v>0</v>
      </c>
      <c r="X136" s="274">
        <f t="shared" si="34"/>
        <v>0</v>
      </c>
      <c r="Y136" s="275">
        <f t="shared" si="32"/>
        <v>0</v>
      </c>
      <c r="AA136" s="24"/>
      <c r="AB136" s="24"/>
      <c r="AC136" s="24"/>
    </row>
    <row r="137" spans="1:29">
      <c r="A137" s="24"/>
      <c r="B137" s="24"/>
      <c r="C137" s="24" t="s">
        <v>752</v>
      </c>
      <c r="D137" s="24"/>
      <c r="E137" s="274">
        <f t="shared" si="34"/>
        <v>0</v>
      </c>
      <c r="F137" s="274">
        <f t="shared" si="34"/>
        <v>0</v>
      </c>
      <c r="G137" s="274">
        <f t="shared" si="34"/>
        <v>0</v>
      </c>
      <c r="H137" s="274">
        <f t="shared" si="34"/>
        <v>0</v>
      </c>
      <c r="I137" s="274">
        <f t="shared" si="34"/>
        <v>0</v>
      </c>
      <c r="J137" s="274">
        <f t="shared" si="34"/>
        <v>0</v>
      </c>
      <c r="K137" s="274">
        <f t="shared" si="34"/>
        <v>0</v>
      </c>
      <c r="L137" s="274">
        <f t="shared" si="34"/>
        <v>0</v>
      </c>
      <c r="M137" s="274">
        <f t="shared" si="34"/>
        <v>0</v>
      </c>
      <c r="N137" s="274">
        <f t="shared" si="34"/>
        <v>0</v>
      </c>
      <c r="O137" s="274">
        <f t="shared" si="34"/>
        <v>0</v>
      </c>
      <c r="P137" s="274">
        <f t="shared" si="34"/>
        <v>0</v>
      </c>
      <c r="Q137" s="274">
        <f t="shared" si="34"/>
        <v>0</v>
      </c>
      <c r="R137" s="274">
        <f t="shared" si="34"/>
        <v>0</v>
      </c>
      <c r="S137" s="274">
        <f t="shared" si="34"/>
        <v>0</v>
      </c>
      <c r="T137" s="274">
        <f t="shared" si="34"/>
        <v>0</v>
      </c>
      <c r="U137" s="274">
        <f t="shared" si="34"/>
        <v>0</v>
      </c>
      <c r="V137" s="274">
        <f t="shared" si="34"/>
        <v>0</v>
      </c>
      <c r="W137" s="274">
        <f t="shared" si="34"/>
        <v>0</v>
      </c>
      <c r="X137" s="274">
        <f t="shared" si="34"/>
        <v>0</v>
      </c>
      <c r="Y137" s="275">
        <f t="shared" si="32"/>
        <v>0</v>
      </c>
      <c r="AA137" s="24"/>
      <c r="AB137" s="24"/>
      <c r="AC137" s="24"/>
    </row>
    <row r="138" spans="1:29">
      <c r="A138" s="24"/>
      <c r="B138" s="24"/>
      <c r="C138" s="24" t="s">
        <v>755</v>
      </c>
      <c r="D138" s="24"/>
      <c r="E138" s="274">
        <f t="shared" si="34"/>
        <v>0</v>
      </c>
      <c r="F138" s="274">
        <f t="shared" si="34"/>
        <v>0</v>
      </c>
      <c r="G138" s="274">
        <f t="shared" si="34"/>
        <v>0</v>
      </c>
      <c r="H138" s="274">
        <f t="shared" si="34"/>
        <v>0</v>
      </c>
      <c r="I138" s="274">
        <f t="shared" si="34"/>
        <v>0</v>
      </c>
      <c r="J138" s="274">
        <f t="shared" si="34"/>
        <v>0</v>
      </c>
      <c r="K138" s="274">
        <f t="shared" si="34"/>
        <v>0</v>
      </c>
      <c r="L138" s="274">
        <f t="shared" si="34"/>
        <v>0</v>
      </c>
      <c r="M138" s="274">
        <f t="shared" si="34"/>
        <v>0</v>
      </c>
      <c r="N138" s="274">
        <f t="shared" si="34"/>
        <v>0</v>
      </c>
      <c r="O138" s="274">
        <f t="shared" si="34"/>
        <v>0</v>
      </c>
      <c r="P138" s="274">
        <f t="shared" si="34"/>
        <v>0</v>
      </c>
      <c r="Q138" s="274">
        <f t="shared" si="34"/>
        <v>0</v>
      </c>
      <c r="R138" s="274">
        <f t="shared" si="34"/>
        <v>0</v>
      </c>
      <c r="S138" s="274">
        <f t="shared" si="34"/>
        <v>0</v>
      </c>
      <c r="T138" s="274">
        <f t="shared" si="34"/>
        <v>0</v>
      </c>
      <c r="U138" s="274">
        <f t="shared" si="34"/>
        <v>0</v>
      </c>
      <c r="V138" s="274">
        <f t="shared" si="34"/>
        <v>0</v>
      </c>
      <c r="W138" s="274">
        <f t="shared" si="34"/>
        <v>0</v>
      </c>
      <c r="X138" s="274">
        <f t="shared" si="34"/>
        <v>0</v>
      </c>
      <c r="Y138" s="275">
        <f t="shared" si="32"/>
        <v>0</v>
      </c>
      <c r="AA138" s="24"/>
      <c r="AB138" s="24"/>
      <c r="AC138" s="24"/>
    </row>
    <row r="139" spans="1:29">
      <c r="A139" s="24"/>
      <c r="B139" s="24"/>
      <c r="C139" s="24" t="s">
        <v>758</v>
      </c>
      <c r="D139" s="24"/>
      <c r="E139" s="274">
        <f t="shared" si="34"/>
        <v>0</v>
      </c>
      <c r="F139" s="274">
        <f t="shared" si="34"/>
        <v>0</v>
      </c>
      <c r="G139" s="274">
        <f t="shared" si="34"/>
        <v>0</v>
      </c>
      <c r="H139" s="274">
        <f t="shared" si="34"/>
        <v>0</v>
      </c>
      <c r="I139" s="274">
        <f t="shared" si="34"/>
        <v>0</v>
      </c>
      <c r="J139" s="274">
        <f t="shared" si="34"/>
        <v>0</v>
      </c>
      <c r="K139" s="274">
        <f t="shared" si="34"/>
        <v>0</v>
      </c>
      <c r="L139" s="274">
        <f t="shared" si="34"/>
        <v>0</v>
      </c>
      <c r="M139" s="274">
        <f t="shared" si="34"/>
        <v>0</v>
      </c>
      <c r="N139" s="274">
        <f t="shared" si="34"/>
        <v>0</v>
      </c>
      <c r="O139" s="274">
        <f t="shared" si="34"/>
        <v>0</v>
      </c>
      <c r="P139" s="274">
        <f t="shared" si="34"/>
        <v>0</v>
      </c>
      <c r="Q139" s="274">
        <f t="shared" si="34"/>
        <v>0</v>
      </c>
      <c r="R139" s="274">
        <f t="shared" si="34"/>
        <v>0</v>
      </c>
      <c r="S139" s="274">
        <f t="shared" si="34"/>
        <v>0</v>
      </c>
      <c r="T139" s="274">
        <f t="shared" si="34"/>
        <v>0</v>
      </c>
      <c r="U139" s="274">
        <f t="shared" si="34"/>
        <v>0</v>
      </c>
      <c r="V139" s="274">
        <f t="shared" si="34"/>
        <v>0</v>
      </c>
      <c r="W139" s="274">
        <f t="shared" si="34"/>
        <v>0</v>
      </c>
      <c r="X139" s="274">
        <f t="shared" si="34"/>
        <v>0</v>
      </c>
      <c r="Y139" s="275">
        <f t="shared" si="32"/>
        <v>0</v>
      </c>
      <c r="AA139" s="24"/>
      <c r="AB139" s="24"/>
      <c r="AC139" s="24"/>
    </row>
    <row r="140" spans="1:29">
      <c r="A140" s="24"/>
      <c r="B140" s="24"/>
      <c r="C140" s="24" t="s">
        <v>761</v>
      </c>
      <c r="D140" s="24"/>
      <c r="E140" s="274">
        <f t="shared" si="34"/>
        <v>0</v>
      </c>
      <c r="F140" s="274">
        <f t="shared" si="34"/>
        <v>0</v>
      </c>
      <c r="G140" s="274">
        <f t="shared" si="34"/>
        <v>0</v>
      </c>
      <c r="H140" s="274">
        <f t="shared" si="34"/>
        <v>0</v>
      </c>
      <c r="I140" s="274">
        <f t="shared" si="34"/>
        <v>0</v>
      </c>
      <c r="J140" s="274">
        <f t="shared" si="34"/>
        <v>0</v>
      </c>
      <c r="K140" s="274">
        <f t="shared" si="34"/>
        <v>0</v>
      </c>
      <c r="L140" s="274">
        <f t="shared" si="34"/>
        <v>0</v>
      </c>
      <c r="M140" s="274">
        <f t="shared" si="34"/>
        <v>0</v>
      </c>
      <c r="N140" s="274">
        <f t="shared" si="34"/>
        <v>0</v>
      </c>
      <c r="O140" s="274">
        <f t="shared" si="34"/>
        <v>0</v>
      </c>
      <c r="P140" s="274">
        <f t="shared" si="34"/>
        <v>0</v>
      </c>
      <c r="Q140" s="274">
        <f t="shared" si="34"/>
        <v>0</v>
      </c>
      <c r="R140" s="274">
        <f t="shared" si="34"/>
        <v>0</v>
      </c>
      <c r="S140" s="274">
        <f t="shared" si="34"/>
        <v>0</v>
      </c>
      <c r="T140" s="274">
        <f t="shared" si="34"/>
        <v>0</v>
      </c>
      <c r="U140" s="274">
        <f t="shared" si="34"/>
        <v>0</v>
      </c>
      <c r="V140" s="274">
        <f t="shared" si="34"/>
        <v>0</v>
      </c>
      <c r="W140" s="274">
        <f t="shared" si="34"/>
        <v>0</v>
      </c>
      <c r="X140" s="274">
        <f t="shared" si="34"/>
        <v>0</v>
      </c>
      <c r="Y140" s="275">
        <f t="shared" si="32"/>
        <v>0</v>
      </c>
      <c r="AA140" s="24"/>
      <c r="AB140" s="24"/>
      <c r="AC140" s="24"/>
    </row>
    <row r="141" spans="1:29">
      <c r="A141" s="24"/>
      <c r="B141" s="24"/>
      <c r="C141" s="24" t="s">
        <v>764</v>
      </c>
      <c r="D141" s="24"/>
      <c r="E141" s="274">
        <f t="shared" si="34"/>
        <v>0</v>
      </c>
      <c r="F141" s="274">
        <f t="shared" si="34"/>
        <v>0</v>
      </c>
      <c r="G141" s="274">
        <f t="shared" si="34"/>
        <v>0</v>
      </c>
      <c r="H141" s="274">
        <f t="shared" si="34"/>
        <v>0</v>
      </c>
      <c r="I141" s="274">
        <f t="shared" si="34"/>
        <v>0</v>
      </c>
      <c r="J141" s="274">
        <f t="shared" si="34"/>
        <v>0</v>
      </c>
      <c r="K141" s="274">
        <f t="shared" si="34"/>
        <v>0</v>
      </c>
      <c r="L141" s="274">
        <f t="shared" si="34"/>
        <v>0</v>
      </c>
      <c r="M141" s="274">
        <f t="shared" si="34"/>
        <v>0</v>
      </c>
      <c r="N141" s="274">
        <f t="shared" si="34"/>
        <v>0</v>
      </c>
      <c r="O141" s="274">
        <f t="shared" si="34"/>
        <v>0</v>
      </c>
      <c r="P141" s="274">
        <f t="shared" si="34"/>
        <v>0</v>
      </c>
      <c r="Q141" s="274">
        <f t="shared" si="34"/>
        <v>0</v>
      </c>
      <c r="R141" s="274">
        <f t="shared" si="34"/>
        <v>0</v>
      </c>
      <c r="S141" s="274">
        <f t="shared" si="34"/>
        <v>0</v>
      </c>
      <c r="T141" s="274">
        <f t="shared" si="34"/>
        <v>0</v>
      </c>
      <c r="U141" s="274">
        <f t="shared" si="34"/>
        <v>0</v>
      </c>
      <c r="V141" s="274">
        <f t="shared" si="34"/>
        <v>0</v>
      </c>
      <c r="W141" s="274">
        <f t="shared" si="34"/>
        <v>0</v>
      </c>
      <c r="X141" s="274">
        <f t="shared" si="34"/>
        <v>0</v>
      </c>
      <c r="Y141" s="275">
        <f t="shared" si="32"/>
        <v>0</v>
      </c>
      <c r="AA141" s="24"/>
      <c r="AB141" s="24"/>
      <c r="AC141" s="24"/>
    </row>
    <row r="142" spans="1:29">
      <c r="A142" s="24"/>
      <c r="B142" s="24"/>
      <c r="C142" s="24" t="s">
        <v>767</v>
      </c>
      <c r="D142" s="24"/>
      <c r="E142" s="274">
        <f t="shared" si="34"/>
        <v>0</v>
      </c>
      <c r="F142" s="274">
        <f t="shared" si="34"/>
        <v>0</v>
      </c>
      <c r="G142" s="274">
        <f t="shared" si="34"/>
        <v>0</v>
      </c>
      <c r="H142" s="274">
        <f t="shared" si="34"/>
        <v>0</v>
      </c>
      <c r="I142" s="274">
        <f t="shared" si="34"/>
        <v>0</v>
      </c>
      <c r="J142" s="274">
        <f t="shared" si="34"/>
        <v>0</v>
      </c>
      <c r="K142" s="274">
        <f t="shared" si="34"/>
        <v>0</v>
      </c>
      <c r="L142" s="274">
        <f t="shared" si="34"/>
        <v>0</v>
      </c>
      <c r="M142" s="274">
        <f t="shared" si="34"/>
        <v>0</v>
      </c>
      <c r="N142" s="274">
        <f t="shared" si="34"/>
        <v>0</v>
      </c>
      <c r="O142" s="274">
        <f t="shared" si="34"/>
        <v>0</v>
      </c>
      <c r="P142" s="274">
        <f t="shared" si="34"/>
        <v>0</v>
      </c>
      <c r="Q142" s="274">
        <f t="shared" si="34"/>
        <v>0</v>
      </c>
      <c r="R142" s="274">
        <f t="shared" si="34"/>
        <v>0</v>
      </c>
      <c r="S142" s="274">
        <f t="shared" si="34"/>
        <v>0</v>
      </c>
      <c r="T142" s="274">
        <f t="shared" ref="T142:X142" si="35">T105-T104</f>
        <v>0</v>
      </c>
      <c r="U142" s="274">
        <f t="shared" si="35"/>
        <v>0</v>
      </c>
      <c r="V142" s="274">
        <f t="shared" si="35"/>
        <v>0</v>
      </c>
      <c r="W142" s="274">
        <f t="shared" si="35"/>
        <v>0</v>
      </c>
      <c r="X142" s="274">
        <f t="shared" si="35"/>
        <v>0</v>
      </c>
      <c r="Y142" s="275">
        <f t="shared" si="32"/>
        <v>0</v>
      </c>
      <c r="AA142" s="24"/>
      <c r="AB142" s="24"/>
      <c r="AC142" s="24"/>
    </row>
    <row r="143" spans="1:29">
      <c r="A143" s="24"/>
      <c r="B143" s="24"/>
      <c r="C143" s="24" t="s">
        <v>770</v>
      </c>
      <c r="D143" s="24"/>
      <c r="E143" s="274">
        <f t="shared" ref="E143:X147" si="36">E106-E105</f>
        <v>0</v>
      </c>
      <c r="F143" s="274">
        <f t="shared" si="36"/>
        <v>0</v>
      </c>
      <c r="G143" s="274">
        <f t="shared" si="36"/>
        <v>0</v>
      </c>
      <c r="H143" s="274">
        <f t="shared" si="36"/>
        <v>0</v>
      </c>
      <c r="I143" s="274">
        <f t="shared" si="36"/>
        <v>0</v>
      </c>
      <c r="J143" s="274">
        <f t="shared" si="36"/>
        <v>0</v>
      </c>
      <c r="K143" s="274">
        <f t="shared" si="36"/>
        <v>0</v>
      </c>
      <c r="L143" s="274">
        <f t="shared" si="36"/>
        <v>0</v>
      </c>
      <c r="M143" s="274">
        <f t="shared" si="36"/>
        <v>0</v>
      </c>
      <c r="N143" s="274">
        <f t="shared" si="36"/>
        <v>0</v>
      </c>
      <c r="O143" s="274">
        <f t="shared" si="36"/>
        <v>0</v>
      </c>
      <c r="P143" s="274">
        <f t="shared" si="36"/>
        <v>0</v>
      </c>
      <c r="Q143" s="274">
        <f t="shared" si="36"/>
        <v>0</v>
      </c>
      <c r="R143" s="274">
        <f t="shared" si="36"/>
        <v>0</v>
      </c>
      <c r="S143" s="274">
        <f t="shared" si="36"/>
        <v>0</v>
      </c>
      <c r="T143" s="274">
        <f t="shared" si="36"/>
        <v>0</v>
      </c>
      <c r="U143" s="274">
        <f t="shared" si="36"/>
        <v>0</v>
      </c>
      <c r="V143" s="274">
        <f t="shared" si="36"/>
        <v>0</v>
      </c>
      <c r="W143" s="274">
        <f t="shared" si="36"/>
        <v>0</v>
      </c>
      <c r="X143" s="274">
        <f t="shared" si="36"/>
        <v>0</v>
      </c>
      <c r="Y143" s="275">
        <f t="shared" si="32"/>
        <v>0</v>
      </c>
      <c r="AA143" s="24"/>
      <c r="AB143" s="24"/>
      <c r="AC143" s="24"/>
    </row>
    <row r="144" spans="1:29">
      <c r="A144" s="24"/>
      <c r="B144" s="24"/>
      <c r="C144" s="24" t="s">
        <v>773</v>
      </c>
      <c r="D144" s="24"/>
      <c r="E144" s="274">
        <f t="shared" si="36"/>
        <v>0</v>
      </c>
      <c r="F144" s="274">
        <f t="shared" si="36"/>
        <v>0</v>
      </c>
      <c r="G144" s="274">
        <f t="shared" si="36"/>
        <v>0</v>
      </c>
      <c r="H144" s="274">
        <f t="shared" si="36"/>
        <v>0</v>
      </c>
      <c r="I144" s="274">
        <f t="shared" si="36"/>
        <v>0</v>
      </c>
      <c r="J144" s="274">
        <f t="shared" si="36"/>
        <v>0</v>
      </c>
      <c r="K144" s="274">
        <f t="shared" si="36"/>
        <v>0</v>
      </c>
      <c r="L144" s="274">
        <f t="shared" si="36"/>
        <v>0</v>
      </c>
      <c r="M144" s="274">
        <f t="shared" si="36"/>
        <v>0</v>
      </c>
      <c r="N144" s="274">
        <f t="shared" si="36"/>
        <v>0</v>
      </c>
      <c r="O144" s="274">
        <f t="shared" si="36"/>
        <v>0</v>
      </c>
      <c r="P144" s="274">
        <f t="shared" si="36"/>
        <v>0</v>
      </c>
      <c r="Q144" s="274">
        <f t="shared" si="36"/>
        <v>0</v>
      </c>
      <c r="R144" s="274">
        <f t="shared" si="36"/>
        <v>0</v>
      </c>
      <c r="S144" s="274">
        <f t="shared" si="36"/>
        <v>0</v>
      </c>
      <c r="T144" s="274">
        <f t="shared" si="36"/>
        <v>0</v>
      </c>
      <c r="U144" s="274">
        <f t="shared" si="36"/>
        <v>0</v>
      </c>
      <c r="V144" s="274">
        <f t="shared" si="36"/>
        <v>0</v>
      </c>
      <c r="W144" s="274">
        <f t="shared" si="36"/>
        <v>0</v>
      </c>
      <c r="X144" s="274">
        <f t="shared" si="36"/>
        <v>0</v>
      </c>
      <c r="Y144" s="275">
        <f t="shared" si="32"/>
        <v>0</v>
      </c>
      <c r="AA144" s="24"/>
      <c r="AB144" s="24"/>
      <c r="AC144" s="24"/>
    </row>
    <row r="145" spans="1:29">
      <c r="A145" s="24"/>
      <c r="B145" s="24"/>
      <c r="C145" s="24" t="s">
        <v>776</v>
      </c>
      <c r="D145" s="24"/>
      <c r="E145" s="274">
        <f t="shared" si="36"/>
        <v>0</v>
      </c>
      <c r="F145" s="274">
        <f t="shared" si="36"/>
        <v>0</v>
      </c>
      <c r="G145" s="274">
        <f t="shared" si="36"/>
        <v>0</v>
      </c>
      <c r="H145" s="274">
        <f t="shared" si="36"/>
        <v>0</v>
      </c>
      <c r="I145" s="274">
        <f t="shared" si="36"/>
        <v>0</v>
      </c>
      <c r="J145" s="274">
        <f t="shared" si="36"/>
        <v>0</v>
      </c>
      <c r="K145" s="274">
        <f t="shared" si="36"/>
        <v>0</v>
      </c>
      <c r="L145" s="274">
        <f t="shared" si="36"/>
        <v>0</v>
      </c>
      <c r="M145" s="274">
        <f t="shared" si="36"/>
        <v>0</v>
      </c>
      <c r="N145" s="274">
        <f t="shared" si="36"/>
        <v>0</v>
      </c>
      <c r="O145" s="274">
        <f t="shared" si="36"/>
        <v>0</v>
      </c>
      <c r="P145" s="274">
        <f t="shared" si="36"/>
        <v>0</v>
      </c>
      <c r="Q145" s="274">
        <f t="shared" si="36"/>
        <v>0</v>
      </c>
      <c r="R145" s="274">
        <f t="shared" si="36"/>
        <v>0</v>
      </c>
      <c r="S145" s="274">
        <f t="shared" si="36"/>
        <v>0</v>
      </c>
      <c r="T145" s="274">
        <f t="shared" si="36"/>
        <v>0</v>
      </c>
      <c r="U145" s="274">
        <f t="shared" si="36"/>
        <v>0</v>
      </c>
      <c r="V145" s="274">
        <f t="shared" si="36"/>
        <v>0</v>
      </c>
      <c r="W145" s="274">
        <f t="shared" si="36"/>
        <v>0</v>
      </c>
      <c r="X145" s="274">
        <f t="shared" si="36"/>
        <v>0</v>
      </c>
      <c r="Y145" s="275">
        <f t="shared" si="32"/>
        <v>0</v>
      </c>
      <c r="AA145" s="24"/>
      <c r="AB145" s="24"/>
      <c r="AC145" s="24"/>
    </row>
    <row r="146" spans="1:29">
      <c r="A146" s="24"/>
      <c r="B146" s="24"/>
      <c r="C146" s="24" t="s">
        <v>779</v>
      </c>
      <c r="D146" s="24"/>
      <c r="E146" s="274">
        <f t="shared" si="36"/>
        <v>0</v>
      </c>
      <c r="F146" s="274">
        <f t="shared" si="36"/>
        <v>0</v>
      </c>
      <c r="G146" s="274">
        <f t="shared" si="36"/>
        <v>0</v>
      </c>
      <c r="H146" s="274">
        <f t="shared" si="36"/>
        <v>0</v>
      </c>
      <c r="I146" s="274">
        <f t="shared" si="36"/>
        <v>0</v>
      </c>
      <c r="J146" s="274">
        <f t="shared" si="36"/>
        <v>0</v>
      </c>
      <c r="K146" s="274">
        <f t="shared" si="36"/>
        <v>0</v>
      </c>
      <c r="L146" s="274">
        <f t="shared" si="36"/>
        <v>0</v>
      </c>
      <c r="M146" s="274">
        <f t="shared" si="36"/>
        <v>0</v>
      </c>
      <c r="N146" s="274">
        <f t="shared" si="36"/>
        <v>0</v>
      </c>
      <c r="O146" s="274">
        <f t="shared" si="36"/>
        <v>0</v>
      </c>
      <c r="P146" s="274">
        <f t="shared" si="36"/>
        <v>0</v>
      </c>
      <c r="Q146" s="274">
        <f t="shared" si="36"/>
        <v>0</v>
      </c>
      <c r="R146" s="274">
        <f t="shared" si="36"/>
        <v>0</v>
      </c>
      <c r="S146" s="274">
        <f t="shared" si="36"/>
        <v>0</v>
      </c>
      <c r="T146" s="274">
        <f t="shared" si="36"/>
        <v>0</v>
      </c>
      <c r="U146" s="274">
        <f t="shared" si="36"/>
        <v>0</v>
      </c>
      <c r="V146" s="274">
        <f t="shared" si="36"/>
        <v>0</v>
      </c>
      <c r="W146" s="274">
        <f t="shared" si="36"/>
        <v>0</v>
      </c>
      <c r="X146" s="274">
        <f t="shared" si="36"/>
        <v>0</v>
      </c>
      <c r="Y146" s="275">
        <f t="shared" si="32"/>
        <v>0</v>
      </c>
      <c r="AA146" s="24"/>
      <c r="AB146" s="24"/>
      <c r="AC146" s="24"/>
    </row>
    <row r="147" spans="1:29">
      <c r="A147" s="24"/>
      <c r="B147" s="24"/>
      <c r="C147" s="24" t="s">
        <v>782</v>
      </c>
      <c r="D147" s="24"/>
      <c r="E147" s="274">
        <f t="shared" si="36"/>
        <v>0</v>
      </c>
      <c r="F147" s="274">
        <f t="shared" si="36"/>
        <v>0</v>
      </c>
      <c r="G147" s="274">
        <f t="shared" si="36"/>
        <v>0</v>
      </c>
      <c r="H147" s="274">
        <f t="shared" si="36"/>
        <v>0</v>
      </c>
      <c r="I147" s="274">
        <f t="shared" si="36"/>
        <v>0</v>
      </c>
      <c r="J147" s="274">
        <f t="shared" si="36"/>
        <v>0</v>
      </c>
      <c r="K147" s="274">
        <f t="shared" si="36"/>
        <v>0</v>
      </c>
      <c r="L147" s="274">
        <f t="shared" si="36"/>
        <v>0</v>
      </c>
      <c r="M147" s="274">
        <f t="shared" si="36"/>
        <v>0</v>
      </c>
      <c r="N147" s="274">
        <f t="shared" si="36"/>
        <v>0</v>
      </c>
      <c r="O147" s="274">
        <f t="shared" si="36"/>
        <v>0</v>
      </c>
      <c r="P147" s="274">
        <f t="shared" si="36"/>
        <v>0</v>
      </c>
      <c r="Q147" s="274">
        <f t="shared" si="36"/>
        <v>0</v>
      </c>
      <c r="R147" s="274">
        <f t="shared" si="36"/>
        <v>0</v>
      </c>
      <c r="S147" s="274">
        <f t="shared" si="36"/>
        <v>0</v>
      </c>
      <c r="T147" s="274">
        <f t="shared" si="36"/>
        <v>0</v>
      </c>
      <c r="U147" s="274">
        <f t="shared" si="36"/>
        <v>0</v>
      </c>
      <c r="V147" s="274">
        <f t="shared" si="36"/>
        <v>0</v>
      </c>
      <c r="W147" s="274">
        <f t="shared" si="36"/>
        <v>0</v>
      </c>
      <c r="X147" s="274">
        <f t="shared" si="36"/>
        <v>0</v>
      </c>
      <c r="Y147" s="275">
        <f t="shared" si="32"/>
        <v>0</v>
      </c>
      <c r="AA147" s="24"/>
      <c r="AB147" s="24"/>
      <c r="AC147" s="24"/>
    </row>
    <row r="148" spans="1:29">
      <c r="A148" s="24"/>
      <c r="B148" s="24"/>
      <c r="C148" s="24"/>
      <c r="D148" s="24"/>
      <c r="E148" s="269"/>
      <c r="F148" s="24"/>
      <c r="G148" s="24"/>
      <c r="H148" s="24"/>
      <c r="I148" s="24"/>
      <c r="J148" s="24"/>
      <c r="K148" s="24"/>
      <c r="L148" s="24"/>
      <c r="M148" s="24"/>
      <c r="N148" s="24"/>
      <c r="O148" s="24"/>
      <c r="P148" s="24"/>
      <c r="Q148" s="24"/>
      <c r="R148" s="24"/>
      <c r="S148" s="24"/>
      <c r="T148" s="24"/>
      <c r="U148" s="24"/>
      <c r="V148" s="24"/>
      <c r="W148" s="24"/>
      <c r="X148" s="24"/>
      <c r="Y148" s="24"/>
      <c r="AA148" s="24"/>
      <c r="AB148" s="24"/>
      <c r="AC148" s="24"/>
    </row>
    <row r="149" spans="1:29" ht="15">
      <c r="A149" s="24"/>
      <c r="B149" s="24"/>
      <c r="C149" s="276" t="s">
        <v>787</v>
      </c>
      <c r="D149" s="277">
        <f t="shared" ref="D149:X149" si="37">SUM(D116:D147)</f>
        <v>0</v>
      </c>
      <c r="E149" s="277">
        <f t="shared" si="37"/>
        <v>0.32379920970643405</v>
      </c>
      <c r="F149" s="277">
        <f t="shared" si="37"/>
        <v>0.47596868914967588</v>
      </c>
      <c r="G149" s="277">
        <f t="shared" si="37"/>
        <v>0.53150237380438647</v>
      </c>
      <c r="H149" s="277">
        <f t="shared" si="37"/>
        <v>0.62171880913797717</v>
      </c>
      <c r="I149" s="277">
        <f t="shared" si="37"/>
        <v>0.6000623742555663</v>
      </c>
      <c r="J149" s="277">
        <f t="shared" si="37"/>
        <v>0.60150488134342639</v>
      </c>
      <c r="K149" s="277">
        <f t="shared" si="37"/>
        <v>0.70946319404714608</v>
      </c>
      <c r="L149" s="277">
        <f t="shared" si="37"/>
        <v>0.74845390899766784</v>
      </c>
      <c r="M149" s="277">
        <f t="shared" si="37"/>
        <v>0.84406208765836777</v>
      </c>
      <c r="N149" s="277">
        <f t="shared" si="37"/>
        <v>0.93644862960670039</v>
      </c>
      <c r="O149" s="277">
        <f t="shared" si="37"/>
        <v>1.0266026494737035</v>
      </c>
      <c r="P149" s="277">
        <f t="shared" si="37"/>
        <v>1.182708319541083</v>
      </c>
      <c r="Q149" s="277">
        <f t="shared" si="37"/>
        <v>1.3009715034336236</v>
      </c>
      <c r="R149" s="277">
        <f t="shared" si="37"/>
        <v>1.2589112238196418</v>
      </c>
      <c r="S149" s="277">
        <f t="shared" si="37"/>
        <v>1.3351326299027253</v>
      </c>
      <c r="T149" s="277">
        <f t="shared" si="37"/>
        <v>1.3003727759489527</v>
      </c>
      <c r="U149" s="277">
        <f t="shared" si="37"/>
        <v>1.2785991260041911</v>
      </c>
      <c r="V149" s="277">
        <f t="shared" si="37"/>
        <v>1.2171217874015474</v>
      </c>
      <c r="W149" s="277">
        <f t="shared" si="37"/>
        <v>1.1938365886382056</v>
      </c>
      <c r="X149" s="277">
        <f t="shared" si="37"/>
        <v>1.2084821311273819</v>
      </c>
      <c r="Y149" s="277"/>
      <c r="AA149" s="24"/>
      <c r="AB149" s="24"/>
      <c r="AC149" s="24"/>
    </row>
    <row r="150" spans="1:29" ht="15">
      <c r="A150" s="24"/>
      <c r="B150" s="24"/>
      <c r="C150" s="276" t="s">
        <v>788</v>
      </c>
      <c r="D150" s="277">
        <f>D149</f>
        <v>0</v>
      </c>
      <c r="E150" s="277">
        <f t="shared" ref="E150:X150" si="38">D150+E149</f>
        <v>0.32379920970643405</v>
      </c>
      <c r="F150" s="277">
        <f t="shared" si="38"/>
        <v>0.79976789885610988</v>
      </c>
      <c r="G150" s="277">
        <f t="shared" si="38"/>
        <v>1.3312702726604964</v>
      </c>
      <c r="H150" s="277">
        <f t="shared" si="38"/>
        <v>1.9529890817984734</v>
      </c>
      <c r="I150" s="277">
        <f t="shared" si="38"/>
        <v>2.5530514560540398</v>
      </c>
      <c r="J150" s="277">
        <f t="shared" si="38"/>
        <v>3.1545563373974663</v>
      </c>
      <c r="K150" s="277">
        <f t="shared" si="38"/>
        <v>3.8640195314446126</v>
      </c>
      <c r="L150" s="277">
        <f t="shared" si="38"/>
        <v>4.6124734404422805</v>
      </c>
      <c r="M150" s="277">
        <f t="shared" si="38"/>
        <v>5.4565355281006482</v>
      </c>
      <c r="N150" s="277">
        <f t="shared" si="38"/>
        <v>6.3929841577073487</v>
      </c>
      <c r="O150" s="277">
        <f t="shared" si="38"/>
        <v>7.4195868071810525</v>
      </c>
      <c r="P150" s="277">
        <f t="shared" si="38"/>
        <v>8.6022951267221348</v>
      </c>
      <c r="Q150" s="277">
        <f t="shared" si="38"/>
        <v>9.903266630155759</v>
      </c>
      <c r="R150" s="277">
        <f t="shared" si="38"/>
        <v>11.1621778539754</v>
      </c>
      <c r="S150" s="277">
        <f t="shared" si="38"/>
        <v>12.497310483878126</v>
      </c>
      <c r="T150" s="277">
        <f t="shared" si="38"/>
        <v>13.797683259827078</v>
      </c>
      <c r="U150" s="277">
        <f t="shared" si="38"/>
        <v>15.07628238583127</v>
      </c>
      <c r="V150" s="277">
        <f t="shared" si="38"/>
        <v>16.293404173232819</v>
      </c>
      <c r="W150" s="277">
        <f t="shared" si="38"/>
        <v>17.487240761871025</v>
      </c>
      <c r="X150" s="277">
        <f t="shared" si="38"/>
        <v>18.695722892998408</v>
      </c>
      <c r="Y150" s="277">
        <f>SUM(Y116:Y147)</f>
        <v>18.695722892998404</v>
      </c>
      <c r="AA150" s="24"/>
      <c r="AB150" s="24"/>
      <c r="AC150" s="24"/>
    </row>
    <row r="151" spans="1:29">
      <c r="A151" s="24"/>
      <c r="B151" s="24"/>
      <c r="C151" s="235"/>
      <c r="D151" s="235"/>
      <c r="E151" s="278"/>
      <c r="F151" s="278"/>
      <c r="G151" s="278"/>
      <c r="H151" s="278"/>
      <c r="I151" s="278"/>
      <c r="J151" s="278"/>
      <c r="K151" s="278"/>
      <c r="L151" s="278"/>
      <c r="M151" s="278"/>
      <c r="N151" s="278"/>
      <c r="O151" s="278"/>
      <c r="P151" s="278"/>
      <c r="Q151" s="278"/>
      <c r="R151" s="278"/>
      <c r="S151" s="278"/>
      <c r="T151" s="278"/>
      <c r="U151" s="278"/>
      <c r="V151" s="278"/>
      <c r="W151" s="278"/>
      <c r="X151" s="278"/>
      <c r="Y151" s="24"/>
      <c r="AA151" s="24"/>
      <c r="AB151" s="24"/>
      <c r="AC151" s="24"/>
    </row>
    <row r="152" spans="1:29">
      <c r="A152" s="24"/>
      <c r="B152" s="24"/>
      <c r="C152" s="24"/>
      <c r="D152" s="24"/>
      <c r="E152" s="24"/>
      <c r="F152" s="24"/>
      <c r="G152" s="24"/>
      <c r="H152" s="24"/>
      <c r="I152" s="24"/>
      <c r="J152" s="24"/>
      <c r="K152" s="24"/>
      <c r="L152" s="24"/>
      <c r="M152" s="24"/>
      <c r="N152" s="24"/>
      <c r="O152" s="24"/>
      <c r="P152" s="24"/>
      <c r="Q152" s="24"/>
      <c r="R152" s="24"/>
      <c r="S152" s="24"/>
      <c r="T152" s="24"/>
      <c r="U152" s="24"/>
      <c r="V152" s="24"/>
      <c r="W152" s="24"/>
      <c r="X152" s="24"/>
      <c r="Y152" s="24"/>
      <c r="AA152" s="24"/>
      <c r="AB152" s="24"/>
      <c r="AC152" s="24"/>
    </row>
    <row r="153" spans="1:29">
      <c r="A153" s="24"/>
      <c r="B153" s="24"/>
      <c r="C153" s="24"/>
      <c r="D153" s="24"/>
      <c r="E153" s="24"/>
      <c r="F153" s="24"/>
      <c r="G153" s="24"/>
      <c r="H153" s="24"/>
      <c r="I153" s="24"/>
      <c r="J153" s="24"/>
      <c r="K153" s="24"/>
      <c r="L153" s="24"/>
      <c r="M153" s="24"/>
      <c r="N153" s="24"/>
      <c r="O153" s="24"/>
      <c r="P153" s="24"/>
      <c r="Q153" s="24"/>
      <c r="R153" s="24"/>
      <c r="S153" s="24"/>
      <c r="T153" s="24"/>
      <c r="U153" s="24"/>
      <c r="V153" s="24"/>
      <c r="W153" s="24"/>
      <c r="X153" s="24"/>
      <c r="Y153" s="24"/>
      <c r="AA153" s="24"/>
      <c r="AB153" s="24"/>
      <c r="AC153" s="24"/>
    </row>
    <row r="154" spans="1:29">
      <c r="A154" s="24"/>
      <c r="B154" s="24"/>
      <c r="C154" s="24"/>
      <c r="D154" s="24"/>
      <c r="E154" s="24"/>
      <c r="F154" s="24"/>
      <c r="G154" s="24"/>
      <c r="H154" s="24"/>
      <c r="I154" s="24"/>
      <c r="J154" s="24"/>
      <c r="K154" s="24"/>
      <c r="L154" s="24"/>
      <c r="M154" s="24"/>
      <c r="N154" s="24"/>
      <c r="O154" s="24"/>
      <c r="P154" s="24"/>
      <c r="Q154" s="24"/>
      <c r="R154" s="24"/>
      <c r="S154" s="24"/>
      <c r="T154" s="24"/>
      <c r="U154" s="24"/>
      <c r="V154" s="24"/>
      <c r="W154" s="24"/>
      <c r="X154" s="24"/>
      <c r="Y154" s="24"/>
      <c r="AA154" s="24"/>
      <c r="AB154" s="24"/>
      <c r="AC154" s="24"/>
    </row>
    <row r="155" spans="1:29" ht="15">
      <c r="A155" s="279" t="s">
        <v>789</v>
      </c>
      <c r="B155" s="247"/>
      <c r="C155" s="259" t="s">
        <v>790</v>
      </c>
      <c r="D155" s="24"/>
      <c r="E155" s="24"/>
      <c r="F155" s="24"/>
      <c r="G155" s="24"/>
      <c r="H155" s="280"/>
      <c r="I155" s="24"/>
      <c r="J155" s="24"/>
      <c r="K155" s="24"/>
      <c r="L155" s="280"/>
      <c r="M155" s="24"/>
      <c r="N155" s="24"/>
      <c r="O155" s="24"/>
      <c r="P155" s="280"/>
      <c r="Q155" s="24"/>
      <c r="R155" s="24"/>
      <c r="S155" s="24"/>
      <c r="T155" s="280"/>
      <c r="U155" s="24"/>
      <c r="V155" s="24"/>
      <c r="W155" s="24"/>
      <c r="X155" s="280"/>
      <c r="Y155" s="24"/>
      <c r="AA155" s="24"/>
      <c r="AB155" s="24"/>
      <c r="AC155" s="24"/>
    </row>
    <row r="156" spans="1:29">
      <c r="A156" s="281" t="s">
        <v>791</v>
      </c>
      <c r="B156" s="282">
        <f ca="1">1/VLOOKUP($C$11,[1]TURN!TURN,MATCH($C$12,[1]!BLDGTYPE,0),FALSE)</f>
        <v>5</v>
      </c>
      <c r="C156" s="24" t="s">
        <v>792</v>
      </c>
      <c r="D156" s="24"/>
      <c r="E156" s="243">
        <f>E11</f>
        <v>2016</v>
      </c>
      <c r="F156" s="243">
        <f t="shared" ref="F156:X156" si="39">F11</f>
        <v>2017</v>
      </c>
      <c r="G156" s="243">
        <f t="shared" si="39"/>
        <v>2018</v>
      </c>
      <c r="H156" s="243">
        <f t="shared" si="39"/>
        <v>2019</v>
      </c>
      <c r="I156" s="243">
        <f t="shared" si="39"/>
        <v>2020</v>
      </c>
      <c r="J156" s="243">
        <f t="shared" si="39"/>
        <v>2021</v>
      </c>
      <c r="K156" s="243">
        <f t="shared" si="39"/>
        <v>2022</v>
      </c>
      <c r="L156" s="243">
        <f t="shared" si="39"/>
        <v>2023</v>
      </c>
      <c r="M156" s="243">
        <f t="shared" si="39"/>
        <v>2024</v>
      </c>
      <c r="N156" s="243">
        <f t="shared" si="39"/>
        <v>2025</v>
      </c>
      <c r="O156" s="243">
        <f t="shared" si="39"/>
        <v>2026</v>
      </c>
      <c r="P156" s="243">
        <f t="shared" si="39"/>
        <v>2027</v>
      </c>
      <c r="Q156" s="243">
        <f t="shared" si="39"/>
        <v>2028</v>
      </c>
      <c r="R156" s="243">
        <f t="shared" si="39"/>
        <v>2029</v>
      </c>
      <c r="S156" s="243">
        <f t="shared" si="39"/>
        <v>2030</v>
      </c>
      <c r="T156" s="243">
        <f t="shared" si="39"/>
        <v>2031</v>
      </c>
      <c r="U156" s="243">
        <f t="shared" si="39"/>
        <v>2032</v>
      </c>
      <c r="V156" s="243">
        <f t="shared" si="39"/>
        <v>2033</v>
      </c>
      <c r="W156" s="243">
        <f t="shared" si="39"/>
        <v>2034</v>
      </c>
      <c r="X156" s="243">
        <f t="shared" si="39"/>
        <v>2035</v>
      </c>
      <c r="Y156" s="248" t="s">
        <v>695</v>
      </c>
      <c r="AA156" s="24"/>
      <c r="AB156" s="24"/>
      <c r="AC156" s="24"/>
    </row>
    <row r="157" spans="1:29">
      <c r="A157" s="24"/>
      <c r="B157" s="24"/>
      <c r="C157" s="24" t="s">
        <v>413</v>
      </c>
      <c r="D157" s="24"/>
      <c r="E157" s="343">
        <f>E$32-E50/$A38</f>
        <v>46.375704996402163</v>
      </c>
      <c r="F157" s="343">
        <f t="shared" ref="F157:X157" si="40">F$32-F50/$A38</f>
        <v>33.573466032801782</v>
      </c>
      <c r="G157" s="343">
        <f t="shared" si="40"/>
        <v>25.257062640913997</v>
      </c>
      <c r="H157" s="343">
        <f t="shared" si="40"/>
        <v>22.151024506593377</v>
      </c>
      <c r="I157" s="343">
        <f t="shared" si="40"/>
        <v>16.658576883025418</v>
      </c>
      <c r="J157" s="343">
        <f t="shared" si="40"/>
        <v>13.398563820718344</v>
      </c>
      <c r="K157" s="343">
        <f t="shared" si="40"/>
        <v>12.986415972707295</v>
      </c>
      <c r="L157" s="343">
        <f t="shared" si="40"/>
        <v>11.490597966961506</v>
      </c>
      <c r="M157" s="343">
        <f t="shared" si="40"/>
        <v>11.068163315383657</v>
      </c>
      <c r="N157" s="343">
        <f t="shared" si="40"/>
        <v>10.664445055387404</v>
      </c>
      <c r="O157" s="343">
        <f t="shared" si="40"/>
        <v>10.311600933758704</v>
      </c>
      <c r="P157" s="343">
        <f t="shared" si="40"/>
        <v>10.706717937838725</v>
      </c>
      <c r="Q157" s="343">
        <f t="shared" si="40"/>
        <v>10.812850847920458</v>
      </c>
      <c r="R157" s="343">
        <f t="shared" si="40"/>
        <v>9.7588243699127659</v>
      </c>
      <c r="S157" s="343">
        <f t="shared" si="40"/>
        <v>9.7816540022677216</v>
      </c>
      <c r="T157" s="343">
        <f t="shared" si="40"/>
        <v>9.1040363466501546</v>
      </c>
      <c r="U157" s="343">
        <f t="shared" si="40"/>
        <v>8.6323140959639417</v>
      </c>
      <c r="V157" s="343">
        <f t="shared" si="40"/>
        <v>7.9831602338084764</v>
      </c>
      <c r="W157" s="343">
        <f t="shared" si="40"/>
        <v>7.6531317552026294</v>
      </c>
      <c r="X157" s="343">
        <f t="shared" si="40"/>
        <v>7.6081692716609126</v>
      </c>
      <c r="Y157" s="251">
        <f>SUM(E157:X157)</f>
        <v>295.97648098587945</v>
      </c>
      <c r="AA157" s="24" t="s">
        <v>793</v>
      </c>
      <c r="AB157" s="24"/>
      <c r="AC157" s="24"/>
    </row>
    <row r="158" spans="1:29">
      <c r="A158" s="24"/>
      <c r="B158" s="24"/>
      <c r="C158" s="24" t="s">
        <v>414</v>
      </c>
      <c r="D158" s="24"/>
      <c r="E158" s="343">
        <f t="shared" ref="E158:E164" si="41">E$32-E51/$A39</f>
        <v>46.375704996402163</v>
      </c>
      <c r="F158" s="343">
        <f t="shared" ref="F158:X158" si="42">F$32-F51/$A39</f>
        <v>33.573466032801782</v>
      </c>
      <c r="G158" s="343">
        <f t="shared" si="42"/>
        <v>25.257062640913997</v>
      </c>
      <c r="H158" s="343">
        <f t="shared" si="42"/>
        <v>22.151024506593377</v>
      </c>
      <c r="I158" s="343">
        <f t="shared" si="42"/>
        <v>16.658576883025418</v>
      </c>
      <c r="J158" s="343">
        <f t="shared" si="42"/>
        <v>13.398563820718344</v>
      </c>
      <c r="K158" s="343">
        <f t="shared" si="42"/>
        <v>12.986415972707295</v>
      </c>
      <c r="L158" s="343">
        <f t="shared" si="42"/>
        <v>11.490597966961509</v>
      </c>
      <c r="M158" s="343">
        <f t="shared" si="42"/>
        <v>11.068163315383657</v>
      </c>
      <c r="N158" s="343">
        <f t="shared" si="42"/>
        <v>10.664445055387404</v>
      </c>
      <c r="O158" s="343">
        <f t="shared" si="42"/>
        <v>10.311600933758704</v>
      </c>
      <c r="P158" s="343">
        <f t="shared" si="42"/>
        <v>10.706717937838725</v>
      </c>
      <c r="Q158" s="343">
        <f t="shared" si="42"/>
        <v>10.812850847920465</v>
      </c>
      <c r="R158" s="343">
        <f t="shared" si="42"/>
        <v>9.7588243699127588</v>
      </c>
      <c r="S158" s="343">
        <f t="shared" si="42"/>
        <v>9.7816540022677216</v>
      </c>
      <c r="T158" s="343">
        <f t="shared" si="42"/>
        <v>9.1040363466501617</v>
      </c>
      <c r="U158" s="343">
        <f t="shared" si="42"/>
        <v>8.6323140959639417</v>
      </c>
      <c r="V158" s="343">
        <f t="shared" si="42"/>
        <v>7.9831602338084764</v>
      </c>
      <c r="W158" s="343">
        <f t="shared" si="42"/>
        <v>7.6531317552026294</v>
      </c>
      <c r="X158" s="343">
        <f t="shared" si="42"/>
        <v>7.6081692716609055</v>
      </c>
      <c r="Y158" s="251"/>
      <c r="AA158" s="24"/>
      <c r="AB158" s="24"/>
      <c r="AC158" s="24"/>
    </row>
    <row r="159" spans="1:29">
      <c r="A159" s="24"/>
      <c r="B159" s="24"/>
      <c r="C159" s="24" t="s">
        <v>415</v>
      </c>
      <c r="D159" s="24"/>
      <c r="E159" s="343">
        <f t="shared" si="41"/>
        <v>46.375704996402163</v>
      </c>
      <c r="F159" s="343">
        <f t="shared" ref="F159:X159" si="43">F$32-F52/$A40</f>
        <v>33.573466032801782</v>
      </c>
      <c r="G159" s="343">
        <f t="shared" si="43"/>
        <v>25.257062640913997</v>
      </c>
      <c r="H159" s="343">
        <f t="shared" si="43"/>
        <v>22.151024506593377</v>
      </c>
      <c r="I159" s="343">
        <f t="shared" si="43"/>
        <v>16.658576883025418</v>
      </c>
      <c r="J159" s="343">
        <f t="shared" si="43"/>
        <v>13.398563820718344</v>
      </c>
      <c r="K159" s="343">
        <f t="shared" si="43"/>
        <v>12.986415972707295</v>
      </c>
      <c r="L159" s="343">
        <f t="shared" si="43"/>
        <v>11.490597966961509</v>
      </c>
      <c r="M159" s="343">
        <f t="shared" si="43"/>
        <v>11.068163315383657</v>
      </c>
      <c r="N159" s="343">
        <f t="shared" si="43"/>
        <v>10.664445055387404</v>
      </c>
      <c r="O159" s="343">
        <f t="shared" si="43"/>
        <v>10.311600933758704</v>
      </c>
      <c r="P159" s="343">
        <f t="shared" si="43"/>
        <v>10.706717937838725</v>
      </c>
      <c r="Q159" s="343">
        <f t="shared" si="43"/>
        <v>10.812850847920465</v>
      </c>
      <c r="R159" s="343">
        <f t="shared" si="43"/>
        <v>9.7588243699127588</v>
      </c>
      <c r="S159" s="343">
        <f t="shared" si="43"/>
        <v>9.7816540022677216</v>
      </c>
      <c r="T159" s="343">
        <f t="shared" si="43"/>
        <v>9.1040363466501617</v>
      </c>
      <c r="U159" s="343">
        <f t="shared" si="43"/>
        <v>8.6323140959639417</v>
      </c>
      <c r="V159" s="343">
        <f t="shared" si="43"/>
        <v>7.9831602338084764</v>
      </c>
      <c r="W159" s="343">
        <f t="shared" si="43"/>
        <v>7.6531317552026294</v>
      </c>
      <c r="X159" s="343">
        <f t="shared" si="43"/>
        <v>7.6081692716609055</v>
      </c>
      <c r="Y159" s="251"/>
      <c r="AA159" s="24"/>
      <c r="AB159" s="24"/>
      <c r="AC159" s="24"/>
    </row>
    <row r="160" spans="1:29">
      <c r="A160" s="24"/>
      <c r="B160" s="24"/>
      <c r="C160" s="24" t="s">
        <v>416</v>
      </c>
      <c r="D160" s="24"/>
      <c r="E160" s="343">
        <f t="shared" si="41"/>
        <v>46.375704996402163</v>
      </c>
      <c r="F160" s="343">
        <f t="shared" ref="F160:X160" si="44">F$32-F53/$A41</f>
        <v>33.573466032801782</v>
      </c>
      <c r="G160" s="343">
        <f t="shared" si="44"/>
        <v>25.257062640913997</v>
      </c>
      <c r="H160" s="343">
        <f t="shared" si="44"/>
        <v>22.151024506593377</v>
      </c>
      <c r="I160" s="343">
        <f t="shared" si="44"/>
        <v>16.658576883025418</v>
      </c>
      <c r="J160" s="343">
        <f t="shared" si="44"/>
        <v>13.398563820718344</v>
      </c>
      <c r="K160" s="343">
        <f t="shared" si="44"/>
        <v>12.986415972707295</v>
      </c>
      <c r="L160" s="343">
        <f t="shared" si="44"/>
        <v>11.490597966961509</v>
      </c>
      <c r="M160" s="343">
        <f t="shared" si="44"/>
        <v>11.068163315383657</v>
      </c>
      <c r="N160" s="343">
        <f t="shared" si="44"/>
        <v>10.664445055387404</v>
      </c>
      <c r="O160" s="343">
        <f t="shared" si="44"/>
        <v>10.311600933758704</v>
      </c>
      <c r="P160" s="343">
        <f t="shared" si="44"/>
        <v>10.706717937838725</v>
      </c>
      <c r="Q160" s="343">
        <f t="shared" si="44"/>
        <v>10.812850847920465</v>
      </c>
      <c r="R160" s="343">
        <f t="shared" si="44"/>
        <v>9.7588243699127588</v>
      </c>
      <c r="S160" s="343">
        <f t="shared" si="44"/>
        <v>9.7816540022677216</v>
      </c>
      <c r="T160" s="343">
        <f t="shared" si="44"/>
        <v>9.1040363466501617</v>
      </c>
      <c r="U160" s="343">
        <f t="shared" si="44"/>
        <v>8.6323140959639417</v>
      </c>
      <c r="V160" s="343">
        <f t="shared" si="44"/>
        <v>7.9831602338084764</v>
      </c>
      <c r="W160" s="343">
        <f t="shared" si="44"/>
        <v>7.6531317552026294</v>
      </c>
      <c r="X160" s="343">
        <f t="shared" si="44"/>
        <v>7.6081692716609055</v>
      </c>
      <c r="Y160" s="251"/>
      <c r="AA160" s="24"/>
      <c r="AB160" s="24"/>
      <c r="AC160" s="24"/>
    </row>
    <row r="161" spans="1:29">
      <c r="A161" s="24"/>
      <c r="B161" s="24"/>
      <c r="C161" s="24" t="s">
        <v>418</v>
      </c>
      <c r="D161" s="24"/>
      <c r="E161" s="343">
        <f t="shared" si="41"/>
        <v>46.375704996402163</v>
      </c>
      <c r="F161" s="343">
        <f t="shared" ref="F161:X161" si="45">F$32-F54/$A42</f>
        <v>33.573466032801782</v>
      </c>
      <c r="G161" s="343">
        <f t="shared" si="45"/>
        <v>25.257062640913997</v>
      </c>
      <c r="H161" s="343">
        <f t="shared" si="45"/>
        <v>22.151024506593377</v>
      </c>
      <c r="I161" s="343">
        <f t="shared" si="45"/>
        <v>16.658576883025418</v>
      </c>
      <c r="J161" s="343">
        <f t="shared" si="45"/>
        <v>13.398563820718344</v>
      </c>
      <c r="K161" s="343">
        <f t="shared" si="45"/>
        <v>12.986415972707295</v>
      </c>
      <c r="L161" s="343">
        <f t="shared" si="45"/>
        <v>11.490597966961509</v>
      </c>
      <c r="M161" s="343">
        <f t="shared" si="45"/>
        <v>11.068163315383657</v>
      </c>
      <c r="N161" s="343">
        <f t="shared" si="45"/>
        <v>10.664445055387404</v>
      </c>
      <c r="O161" s="343">
        <f t="shared" si="45"/>
        <v>10.311600933758704</v>
      </c>
      <c r="P161" s="343">
        <f t="shared" si="45"/>
        <v>10.706717937838725</v>
      </c>
      <c r="Q161" s="343">
        <f t="shared" si="45"/>
        <v>10.812850847920465</v>
      </c>
      <c r="R161" s="343">
        <f t="shared" si="45"/>
        <v>9.7588243699127588</v>
      </c>
      <c r="S161" s="343">
        <f t="shared" si="45"/>
        <v>9.7816540022677216</v>
      </c>
      <c r="T161" s="343">
        <f t="shared" si="45"/>
        <v>9.1040363466501617</v>
      </c>
      <c r="U161" s="343">
        <f t="shared" si="45"/>
        <v>8.6323140959639417</v>
      </c>
      <c r="V161" s="343">
        <f t="shared" si="45"/>
        <v>7.9831602338084764</v>
      </c>
      <c r="W161" s="343">
        <f t="shared" si="45"/>
        <v>7.6531317552026294</v>
      </c>
      <c r="X161" s="343">
        <f t="shared" si="45"/>
        <v>7.6081692716609055</v>
      </c>
      <c r="Y161" s="251"/>
      <c r="AA161" s="24"/>
      <c r="AB161" s="24"/>
      <c r="AC161" s="24"/>
    </row>
    <row r="162" spans="1:29">
      <c r="A162" s="24"/>
      <c r="B162" s="24"/>
      <c r="C162" s="24" t="s">
        <v>420</v>
      </c>
      <c r="D162" s="24"/>
      <c r="E162" s="343">
        <f t="shared" si="41"/>
        <v>46.375704996402163</v>
      </c>
      <c r="F162" s="343">
        <f t="shared" ref="F162:X162" si="46">F$32-F55/$A43</f>
        <v>33.573466032801782</v>
      </c>
      <c r="G162" s="343">
        <f t="shared" si="46"/>
        <v>25.257062640913997</v>
      </c>
      <c r="H162" s="343">
        <f t="shared" si="46"/>
        <v>22.151024506593377</v>
      </c>
      <c r="I162" s="343">
        <f t="shared" si="46"/>
        <v>16.658576883025418</v>
      </c>
      <c r="J162" s="343">
        <f t="shared" si="46"/>
        <v>13.398563820718344</v>
      </c>
      <c r="K162" s="343">
        <f t="shared" si="46"/>
        <v>12.986415972707295</v>
      </c>
      <c r="L162" s="343">
        <f t="shared" si="46"/>
        <v>11.490597966961509</v>
      </c>
      <c r="M162" s="343">
        <f t="shared" si="46"/>
        <v>11.068163315383657</v>
      </c>
      <c r="N162" s="343">
        <f t="shared" si="46"/>
        <v>10.664445055387404</v>
      </c>
      <c r="O162" s="343">
        <f t="shared" si="46"/>
        <v>10.311600933758704</v>
      </c>
      <c r="P162" s="343">
        <f t="shared" si="46"/>
        <v>10.706717937838725</v>
      </c>
      <c r="Q162" s="343">
        <f t="shared" si="46"/>
        <v>10.812850847920465</v>
      </c>
      <c r="R162" s="343">
        <f t="shared" si="46"/>
        <v>9.7588243699127588</v>
      </c>
      <c r="S162" s="343">
        <f t="shared" si="46"/>
        <v>9.7816540022677216</v>
      </c>
      <c r="T162" s="343">
        <f t="shared" si="46"/>
        <v>9.1040363466501617</v>
      </c>
      <c r="U162" s="343">
        <f t="shared" si="46"/>
        <v>8.6323140959639417</v>
      </c>
      <c r="V162" s="343">
        <f t="shared" si="46"/>
        <v>7.9831602338084764</v>
      </c>
      <c r="W162" s="343">
        <f t="shared" si="46"/>
        <v>7.6531317552026294</v>
      </c>
      <c r="X162" s="343">
        <f t="shared" si="46"/>
        <v>7.6081692716609055</v>
      </c>
      <c r="Y162" s="251"/>
      <c r="AA162" s="24"/>
      <c r="AB162" s="24"/>
      <c r="AC162" s="24"/>
    </row>
    <row r="163" spans="1:29">
      <c r="A163" s="24"/>
      <c r="B163" s="24"/>
      <c r="C163" s="24" t="s">
        <v>423</v>
      </c>
      <c r="D163" s="24"/>
      <c r="E163" s="343">
        <f t="shared" si="41"/>
        <v>46.375704996402163</v>
      </c>
      <c r="F163" s="343">
        <f t="shared" ref="F163:X163" si="47">F$32-F56/$A44</f>
        <v>33.573466032801782</v>
      </c>
      <c r="G163" s="343">
        <f t="shared" si="47"/>
        <v>25.257062640913997</v>
      </c>
      <c r="H163" s="343">
        <f t="shared" si="47"/>
        <v>22.151024506593377</v>
      </c>
      <c r="I163" s="343">
        <f t="shared" si="47"/>
        <v>16.658576883025418</v>
      </c>
      <c r="J163" s="343">
        <f t="shared" si="47"/>
        <v>13.398563820718344</v>
      </c>
      <c r="K163" s="343">
        <f t="shared" si="47"/>
        <v>12.986415972707295</v>
      </c>
      <c r="L163" s="343">
        <f t="shared" si="47"/>
        <v>11.490597966961513</v>
      </c>
      <c r="M163" s="343">
        <f t="shared" si="47"/>
        <v>11.068163315383654</v>
      </c>
      <c r="N163" s="343">
        <f t="shared" si="47"/>
        <v>10.664445055387407</v>
      </c>
      <c r="O163" s="343">
        <f t="shared" si="47"/>
        <v>10.311600933758704</v>
      </c>
      <c r="P163" s="343">
        <f t="shared" si="47"/>
        <v>10.706717937838732</v>
      </c>
      <c r="Q163" s="343">
        <f t="shared" si="47"/>
        <v>10.812850847920458</v>
      </c>
      <c r="R163" s="343">
        <f t="shared" si="47"/>
        <v>9.7588243699127588</v>
      </c>
      <c r="S163" s="343">
        <f t="shared" si="47"/>
        <v>9.7816540022677287</v>
      </c>
      <c r="T163" s="343">
        <f t="shared" si="47"/>
        <v>9.1040363466501688</v>
      </c>
      <c r="U163" s="343">
        <f t="shared" si="47"/>
        <v>8.6323140959639346</v>
      </c>
      <c r="V163" s="343">
        <f t="shared" si="47"/>
        <v>7.9831602338084764</v>
      </c>
      <c r="W163" s="343">
        <f t="shared" si="47"/>
        <v>7.6531317552026366</v>
      </c>
      <c r="X163" s="343">
        <f t="shared" si="47"/>
        <v>7.6081692716609055</v>
      </c>
      <c r="Y163" s="251"/>
      <c r="AA163" s="24"/>
      <c r="AB163" s="24"/>
      <c r="AC163" s="24"/>
    </row>
    <row r="164" spans="1:29">
      <c r="A164" s="24"/>
      <c r="B164" s="24"/>
      <c r="C164" s="24" t="s">
        <v>424</v>
      </c>
      <c r="D164" s="24"/>
      <c r="E164" s="343">
        <f t="shared" si="41"/>
        <v>46.375704996402163</v>
      </c>
      <c r="F164" s="343">
        <f t="shared" ref="F164:X164" si="48">F$32-F57/$A45</f>
        <v>33.573466032801782</v>
      </c>
      <c r="G164" s="343">
        <f t="shared" si="48"/>
        <v>25.257062640913997</v>
      </c>
      <c r="H164" s="343">
        <f t="shared" si="48"/>
        <v>22.151024506593377</v>
      </c>
      <c r="I164" s="343">
        <f t="shared" si="48"/>
        <v>16.658576883025418</v>
      </c>
      <c r="J164" s="343">
        <f t="shared" si="48"/>
        <v>13.398563820718344</v>
      </c>
      <c r="K164" s="343">
        <f t="shared" si="48"/>
        <v>12.986415972707295</v>
      </c>
      <c r="L164" s="343">
        <f t="shared" si="48"/>
        <v>11.490597966961513</v>
      </c>
      <c r="M164" s="343">
        <f t="shared" si="48"/>
        <v>11.068163315383654</v>
      </c>
      <c r="N164" s="343">
        <f t="shared" si="48"/>
        <v>10.664445055387407</v>
      </c>
      <c r="O164" s="343">
        <f t="shared" si="48"/>
        <v>10.311600933758704</v>
      </c>
      <c r="P164" s="343">
        <f t="shared" si="48"/>
        <v>10.706717937838732</v>
      </c>
      <c r="Q164" s="343">
        <f t="shared" si="48"/>
        <v>10.812850847920458</v>
      </c>
      <c r="R164" s="343">
        <f t="shared" si="48"/>
        <v>9.7588243699127588</v>
      </c>
      <c r="S164" s="343">
        <f t="shared" si="48"/>
        <v>9.7816540022677287</v>
      </c>
      <c r="T164" s="343">
        <f t="shared" si="48"/>
        <v>9.1040363466501688</v>
      </c>
      <c r="U164" s="343">
        <f t="shared" si="48"/>
        <v>8.6323140959639346</v>
      </c>
      <c r="V164" s="343">
        <f t="shared" si="48"/>
        <v>7.9831602338084764</v>
      </c>
      <c r="W164" s="343">
        <f t="shared" si="48"/>
        <v>7.6531317552026366</v>
      </c>
      <c r="X164" s="343">
        <f t="shared" si="48"/>
        <v>7.6081692716609055</v>
      </c>
      <c r="Y164" s="251"/>
      <c r="AA164" s="24"/>
      <c r="AB164" s="24"/>
      <c r="AC164" s="24"/>
    </row>
    <row r="165" spans="1:29">
      <c r="A165" s="24"/>
      <c r="B165" s="24"/>
      <c r="C165" s="24"/>
      <c r="D165" s="24"/>
      <c r="E165" s="253"/>
      <c r="F165" s="253"/>
      <c r="G165" s="253"/>
      <c r="H165" s="253"/>
      <c r="I165" s="253"/>
      <c r="J165" s="253"/>
      <c r="K165" s="253"/>
      <c r="L165" s="253"/>
      <c r="M165" s="253"/>
      <c r="N165" s="253"/>
      <c r="O165" s="253"/>
      <c r="P165" s="253"/>
      <c r="Q165" s="253"/>
      <c r="R165" s="253"/>
      <c r="S165" s="253"/>
      <c r="T165" s="253"/>
      <c r="U165" s="253"/>
      <c r="V165" s="253"/>
      <c r="W165" s="253"/>
      <c r="X165" s="253"/>
      <c r="Y165" s="251"/>
      <c r="AA165" s="24"/>
      <c r="AB165" s="24"/>
      <c r="AC165" s="24"/>
    </row>
    <row r="166" spans="1:29">
      <c r="A166" s="24"/>
      <c r="B166" s="24"/>
      <c r="C166" s="24"/>
      <c r="D166" s="24"/>
      <c r="E166" s="253"/>
      <c r="F166" s="253"/>
      <c r="G166" s="253"/>
      <c r="H166" s="253"/>
      <c r="I166" s="253"/>
      <c r="J166" s="253"/>
      <c r="K166" s="253"/>
      <c r="L166" s="253"/>
      <c r="M166" s="253"/>
      <c r="N166" s="253"/>
      <c r="O166" s="253"/>
      <c r="P166" s="253"/>
      <c r="Q166" s="253"/>
      <c r="R166" s="253"/>
      <c r="S166" s="253"/>
      <c r="T166" s="253"/>
      <c r="U166" s="253"/>
      <c r="V166" s="253"/>
      <c r="W166" s="253"/>
      <c r="X166" s="253"/>
      <c r="Y166" s="251"/>
      <c r="AA166" s="24"/>
      <c r="AB166" s="24"/>
      <c r="AC166" s="24"/>
    </row>
    <row r="167" spans="1:29">
      <c r="A167" s="24"/>
      <c r="B167" s="24"/>
      <c r="C167" s="24" t="s">
        <v>794</v>
      </c>
      <c r="D167" s="24"/>
      <c r="E167" s="253">
        <f>E157</f>
        <v>46.375704996402163</v>
      </c>
      <c r="F167" s="253">
        <f t="shared" ref="F167:X167" si="49">F157</f>
        <v>33.573466032801782</v>
      </c>
      <c r="G167" s="253">
        <f t="shared" si="49"/>
        <v>25.257062640913997</v>
      </c>
      <c r="H167" s="253">
        <f t="shared" si="49"/>
        <v>22.151024506593377</v>
      </c>
      <c r="I167" s="253">
        <f t="shared" si="49"/>
        <v>16.658576883025418</v>
      </c>
      <c r="J167" s="253">
        <f t="shared" si="49"/>
        <v>13.398563820718344</v>
      </c>
      <c r="K167" s="253">
        <f t="shared" si="49"/>
        <v>12.986415972707295</v>
      </c>
      <c r="L167" s="253">
        <f t="shared" si="49"/>
        <v>11.490597966961506</v>
      </c>
      <c r="M167" s="253">
        <f t="shared" si="49"/>
        <v>11.068163315383657</v>
      </c>
      <c r="N167" s="253">
        <f t="shared" si="49"/>
        <v>10.664445055387404</v>
      </c>
      <c r="O167" s="253">
        <f t="shared" si="49"/>
        <v>10.311600933758704</v>
      </c>
      <c r="P167" s="253">
        <f t="shared" si="49"/>
        <v>10.706717937838725</v>
      </c>
      <c r="Q167" s="253">
        <f t="shared" si="49"/>
        <v>10.812850847920458</v>
      </c>
      <c r="R167" s="253">
        <f t="shared" si="49"/>
        <v>9.7588243699127659</v>
      </c>
      <c r="S167" s="253">
        <f t="shared" si="49"/>
        <v>9.7816540022677216</v>
      </c>
      <c r="T167" s="253">
        <f t="shared" si="49"/>
        <v>9.1040363466501546</v>
      </c>
      <c r="U167" s="253">
        <f t="shared" si="49"/>
        <v>8.6323140959639417</v>
      </c>
      <c r="V167" s="253">
        <f t="shared" si="49"/>
        <v>7.9831602338084764</v>
      </c>
      <c r="W167" s="253">
        <f t="shared" si="49"/>
        <v>7.6531317552026294</v>
      </c>
      <c r="X167" s="253">
        <f t="shared" si="49"/>
        <v>7.6081692716609126</v>
      </c>
      <c r="Y167" s="251">
        <f>SUM(E167:X167)</f>
        <v>295.97648098587945</v>
      </c>
      <c r="AA167" s="24"/>
      <c r="AB167" s="24"/>
      <c r="AC167" s="24"/>
    </row>
    <row r="168" spans="1:29">
      <c r="A168" s="24"/>
      <c r="B168" s="24"/>
      <c r="C168" s="24"/>
      <c r="D168" s="24"/>
      <c r="E168" s="24"/>
      <c r="F168" s="24"/>
      <c r="G168" s="24"/>
      <c r="H168" s="24"/>
      <c r="I168" s="24"/>
      <c r="J168" s="24"/>
      <c r="K168" s="24"/>
      <c r="L168" s="24"/>
      <c r="M168" s="24"/>
      <c r="N168" s="24"/>
      <c r="O168" s="24"/>
      <c r="P168" s="24"/>
      <c r="Q168" s="24"/>
      <c r="R168" s="24"/>
      <c r="S168" s="24"/>
      <c r="T168" s="24"/>
      <c r="U168" s="24"/>
      <c r="V168" s="24"/>
      <c r="W168" s="24"/>
      <c r="X168" s="24"/>
      <c r="Y168" s="24"/>
      <c r="AA168" s="24"/>
      <c r="AB168" s="24"/>
      <c r="AC168" s="24"/>
    </row>
    <row r="169" spans="1:29">
      <c r="A169" s="24"/>
      <c r="B169" s="24"/>
      <c r="C169" s="24"/>
      <c r="D169" s="24"/>
      <c r="E169" s="24"/>
      <c r="F169" s="24"/>
      <c r="G169" s="24"/>
      <c r="H169" s="24"/>
      <c r="I169" s="24"/>
      <c r="J169" s="24"/>
      <c r="K169" s="24"/>
      <c r="L169" s="24"/>
      <c r="M169" s="24"/>
      <c r="N169" s="24"/>
      <c r="O169" s="24"/>
      <c r="P169" s="24"/>
      <c r="Q169" s="24"/>
      <c r="R169" s="24"/>
      <c r="S169" s="24"/>
      <c r="T169" s="24"/>
      <c r="U169" s="24"/>
      <c r="V169" s="24"/>
      <c r="W169" s="24"/>
      <c r="X169" s="24"/>
      <c r="Y169" s="24"/>
      <c r="AA169" s="24"/>
      <c r="AB169" s="24"/>
      <c r="AC169" s="24"/>
    </row>
    <row r="170" spans="1:29">
      <c r="A170" s="24"/>
      <c r="B170" s="24"/>
      <c r="C170" s="24"/>
      <c r="D170" s="24"/>
      <c r="E170" s="24"/>
      <c r="F170" s="24"/>
      <c r="G170" s="24"/>
      <c r="H170" s="24"/>
      <c r="I170" s="24"/>
      <c r="J170" s="24"/>
      <c r="K170" s="24"/>
      <c r="L170" s="24"/>
      <c r="M170" s="24"/>
      <c r="N170" s="24"/>
      <c r="O170" s="24"/>
      <c r="P170" s="24"/>
      <c r="Q170" s="24"/>
      <c r="R170" s="24"/>
      <c r="S170" s="24"/>
      <c r="T170" s="24"/>
      <c r="U170" s="24"/>
      <c r="V170" s="24"/>
      <c r="W170" s="24"/>
      <c r="X170" s="24"/>
      <c r="Y170" s="24"/>
      <c r="AA170" s="24"/>
      <c r="AB170" s="24"/>
      <c r="AC170" s="24"/>
    </row>
    <row r="171" spans="1:29">
      <c r="A171" s="24"/>
      <c r="B171" s="24"/>
      <c r="C171" s="283" t="s">
        <v>795</v>
      </c>
      <c r="D171" s="283"/>
      <c r="E171" s="283"/>
      <c r="F171" s="283"/>
      <c r="G171" s="283"/>
      <c r="H171" s="283"/>
      <c r="I171" s="283"/>
      <c r="J171" s="283"/>
      <c r="K171" s="283"/>
      <c r="L171" s="283"/>
      <c r="M171" s="283"/>
      <c r="N171" s="283"/>
      <c r="O171" s="283"/>
      <c r="P171" s="283"/>
      <c r="Q171" s="283"/>
      <c r="R171" s="283"/>
      <c r="S171" s="283"/>
      <c r="T171" s="283"/>
      <c r="U171" s="283"/>
      <c r="V171" s="283"/>
      <c r="W171" s="283"/>
      <c r="X171" s="283"/>
      <c r="Y171" s="283"/>
      <c r="AA171" s="283"/>
      <c r="AB171" s="283"/>
      <c r="AC171" s="283"/>
    </row>
    <row r="172" spans="1:29">
      <c r="A172" s="24"/>
      <c r="B172" s="24"/>
      <c r="C172" s="283" t="s">
        <v>796</v>
      </c>
      <c r="D172" s="283"/>
      <c r="E172" s="284">
        <f>E157</f>
        <v>46.375704996402163</v>
      </c>
      <c r="F172" s="284">
        <f t="shared" ref="F172:X172" si="50">F157</f>
        <v>33.573466032801782</v>
      </c>
      <c r="G172" s="284">
        <f t="shared" si="50"/>
        <v>25.257062640913997</v>
      </c>
      <c r="H172" s="284">
        <f t="shared" si="50"/>
        <v>22.151024506593377</v>
      </c>
      <c r="I172" s="284">
        <f t="shared" si="50"/>
        <v>16.658576883025418</v>
      </c>
      <c r="J172" s="284">
        <f t="shared" si="50"/>
        <v>13.398563820718344</v>
      </c>
      <c r="K172" s="284">
        <f t="shared" si="50"/>
        <v>12.986415972707295</v>
      </c>
      <c r="L172" s="284">
        <f t="shared" si="50"/>
        <v>11.490597966961506</v>
      </c>
      <c r="M172" s="284">
        <f t="shared" si="50"/>
        <v>11.068163315383657</v>
      </c>
      <c r="N172" s="284">
        <f t="shared" si="50"/>
        <v>10.664445055387404</v>
      </c>
      <c r="O172" s="284">
        <f t="shared" si="50"/>
        <v>10.311600933758704</v>
      </c>
      <c r="P172" s="284">
        <f t="shared" si="50"/>
        <v>10.706717937838725</v>
      </c>
      <c r="Q172" s="284">
        <f t="shared" si="50"/>
        <v>10.812850847920458</v>
      </c>
      <c r="R172" s="284">
        <f t="shared" si="50"/>
        <v>9.7588243699127659</v>
      </c>
      <c r="S172" s="284">
        <f t="shared" si="50"/>
        <v>9.7816540022677216</v>
      </c>
      <c r="T172" s="284">
        <f t="shared" si="50"/>
        <v>9.1040363466501546</v>
      </c>
      <c r="U172" s="284">
        <f t="shared" si="50"/>
        <v>8.6323140959639417</v>
      </c>
      <c r="V172" s="284">
        <f t="shared" si="50"/>
        <v>7.9831602338084764</v>
      </c>
      <c r="W172" s="284">
        <f t="shared" si="50"/>
        <v>7.6531317552026294</v>
      </c>
      <c r="X172" s="284">
        <f t="shared" si="50"/>
        <v>7.6081692716609126</v>
      </c>
      <c r="Y172" s="285">
        <f>SUM(E172:X172)</f>
        <v>295.97648098587945</v>
      </c>
      <c r="AA172" s="283"/>
      <c r="AB172" s="283"/>
      <c r="AC172" s="283"/>
    </row>
    <row r="173" spans="1:29">
      <c r="A173" s="24"/>
      <c r="B173" s="24"/>
      <c r="C173" s="283" t="s">
        <v>797</v>
      </c>
      <c r="D173" s="283"/>
      <c r="E173" s="284">
        <f t="shared" ref="E173:X173" si="51">E57+E172</f>
        <v>54.214877251139598</v>
      </c>
      <c r="F173" s="284">
        <f t="shared" si="51"/>
        <v>45.096658277429867</v>
      </c>
      <c r="G173" s="284">
        <f t="shared" si="51"/>
        <v>38.124724256987548</v>
      </c>
      <c r="H173" s="284">
        <f t="shared" si="51"/>
        <v>37.202824179796792</v>
      </c>
      <c r="I173" s="284">
        <f t="shared" si="51"/>
        <v>31.186074709968491</v>
      </c>
      <c r="J173" s="284">
        <f t="shared" si="51"/>
        <v>27.960984714801288</v>
      </c>
      <c r="K173" s="284">
        <f t="shared" si="51"/>
        <v>30.162505412746704</v>
      </c>
      <c r="L173" s="284">
        <f t="shared" si="51"/>
        <v>29.610651819729469</v>
      </c>
      <c r="M173" s="284">
        <f t="shared" si="51"/>
        <v>31.502889221126825</v>
      </c>
      <c r="N173" s="284">
        <f t="shared" si="51"/>
        <v>33.335847255087913</v>
      </c>
      <c r="O173" s="284">
        <f t="shared" si="51"/>
        <v>35.165630113417578</v>
      </c>
      <c r="P173" s="284">
        <f t="shared" si="51"/>
        <v>39.34006220201826</v>
      </c>
      <c r="Q173" s="284">
        <f t="shared" si="51"/>
        <v>42.309344379103578</v>
      </c>
      <c r="R173" s="284">
        <f t="shared" si="51"/>
        <v>40.237039390548077</v>
      </c>
      <c r="S173" s="284">
        <f t="shared" si="51"/>
        <v>42.105187707668527</v>
      </c>
      <c r="T173" s="284">
        <f t="shared" si="51"/>
        <v>40.586034697655911</v>
      </c>
      <c r="U173" s="284">
        <f t="shared" si="51"/>
        <v>39.587172826443492</v>
      </c>
      <c r="V173" s="284">
        <f t="shared" si="51"/>
        <v>37.449653852137573</v>
      </c>
      <c r="W173" s="284">
        <f t="shared" si="51"/>
        <v>36.55589118697479</v>
      </c>
      <c r="X173" s="284">
        <f t="shared" si="51"/>
        <v>36.865496988021597</v>
      </c>
      <c r="Y173" s="285">
        <f>SUM(E173:X173)</f>
        <v>748.59955044280389</v>
      </c>
      <c r="AA173" s="283" t="s">
        <v>798</v>
      </c>
      <c r="AB173" s="283"/>
      <c r="AC173" s="283"/>
    </row>
    <row r="174" spans="1:29">
      <c r="A174" s="24"/>
      <c r="B174" s="24"/>
      <c r="C174" s="283" t="s">
        <v>799</v>
      </c>
      <c r="D174" s="283"/>
      <c r="E174" s="284">
        <f t="shared" ref="E174:X174" si="52">E32-E173</f>
        <v>2.8994198750398752</v>
      </c>
      <c r="F174" s="284">
        <f t="shared" si="52"/>
        <v>4.2620026110268299</v>
      </c>
      <c r="G174" s="284">
        <f t="shared" si="52"/>
        <v>4.759272104575146</v>
      </c>
      <c r="H174" s="284">
        <f t="shared" si="52"/>
        <v>5.5671039887190688</v>
      </c>
      <c r="I174" s="284">
        <f t="shared" si="52"/>
        <v>5.3731841277734667</v>
      </c>
      <c r="J174" s="284">
        <f t="shared" si="52"/>
        <v>5.3861008786334175</v>
      </c>
      <c r="K174" s="284">
        <f t="shared" si="52"/>
        <v>6.3528002038501938</v>
      </c>
      <c r="L174" s="284">
        <f t="shared" si="52"/>
        <v>6.7019377263662392</v>
      </c>
      <c r="M174" s="284">
        <f t="shared" si="52"/>
        <v>7.5580493076036355</v>
      </c>
      <c r="N174" s="284">
        <f t="shared" si="52"/>
        <v>8.3853131423549883</v>
      </c>
      <c r="O174" s="284">
        <f t="shared" si="52"/>
        <v>9.1925861349423315</v>
      </c>
      <c r="P174" s="284">
        <f t="shared" si="52"/>
        <v>10.590415001819842</v>
      </c>
      <c r="Q174" s="284">
        <f t="shared" si="52"/>
        <v>11.649388018382801</v>
      </c>
      <c r="R174" s="284">
        <f t="shared" si="52"/>
        <v>11.272764459687025</v>
      </c>
      <c r="S174" s="284">
        <f t="shared" si="52"/>
        <v>11.955279589668798</v>
      </c>
      <c r="T174" s="284">
        <f t="shared" si="52"/>
        <v>11.644026787358307</v>
      </c>
      <c r="U174" s="284">
        <f t="shared" si="52"/>
        <v>11.449057338670507</v>
      </c>
      <c r="V174" s="284">
        <f t="shared" si="52"/>
        <v>10.89856613280665</v>
      </c>
      <c r="W174" s="284">
        <f t="shared" si="52"/>
        <v>10.69006170764176</v>
      </c>
      <c r="X174" s="284">
        <f t="shared" si="52"/>
        <v>10.821203401941617</v>
      </c>
      <c r="Y174" s="285">
        <f>SUM(E174:X174)</f>
        <v>167.40853253886252</v>
      </c>
      <c r="AA174" s="283"/>
      <c r="AB174" s="283"/>
      <c r="AC174" s="283"/>
    </row>
    <row r="175" spans="1:29">
      <c r="A175" s="24"/>
      <c r="B175" s="24"/>
      <c r="C175" s="283"/>
      <c r="D175" s="283"/>
      <c r="E175" s="283"/>
      <c r="F175" s="283"/>
      <c r="G175" s="283"/>
      <c r="H175" s="283"/>
      <c r="I175" s="283"/>
      <c r="J175" s="283"/>
      <c r="K175" s="283"/>
      <c r="L175" s="283"/>
      <c r="M175" s="283"/>
      <c r="N175" s="283"/>
      <c r="O175" s="283"/>
      <c r="P175" s="283"/>
      <c r="Q175" s="283"/>
      <c r="R175" s="283"/>
      <c r="S175" s="283"/>
      <c r="T175" s="283"/>
      <c r="U175" s="283"/>
      <c r="V175" s="283"/>
      <c r="W175" s="283"/>
      <c r="X175" s="283"/>
      <c r="Y175" s="283"/>
      <c r="AA175" s="283"/>
      <c r="AB175" s="283"/>
      <c r="AC175" s="283"/>
    </row>
    <row r="176" spans="1:29">
      <c r="A176" s="24"/>
      <c r="B176" s="24"/>
      <c r="C176" s="283" t="s">
        <v>800</v>
      </c>
      <c r="D176" s="283"/>
      <c r="E176" s="284">
        <f>E173*$Z$12</f>
        <v>46.082645663468654</v>
      </c>
      <c r="F176" s="284">
        <f t="shared" ref="F176:X176" si="53">F173*$Z$12</f>
        <v>38.332159535815386</v>
      </c>
      <c r="G176" s="284">
        <f t="shared" si="53"/>
        <v>32.406015618439412</v>
      </c>
      <c r="H176" s="284">
        <f t="shared" si="53"/>
        <v>31.622400552827273</v>
      </c>
      <c r="I176" s="284">
        <f t="shared" si="53"/>
        <v>26.508163503473217</v>
      </c>
      <c r="J176" s="284">
        <f t="shared" si="53"/>
        <v>23.766837007581096</v>
      </c>
      <c r="K176" s="284">
        <f t="shared" si="53"/>
        <v>25.638129600834699</v>
      </c>
      <c r="L176" s="284">
        <f t="shared" si="53"/>
        <v>25.169054046770047</v>
      </c>
      <c r="M176" s="284">
        <f t="shared" si="53"/>
        <v>26.777455837957799</v>
      </c>
      <c r="N176" s="284">
        <f t="shared" si="53"/>
        <v>28.335470166824724</v>
      </c>
      <c r="O176" s="284">
        <f t="shared" si="53"/>
        <v>29.890785596404939</v>
      </c>
      <c r="P176" s="284">
        <f t="shared" si="53"/>
        <v>33.439052871715518</v>
      </c>
      <c r="Q176" s="284">
        <f t="shared" si="53"/>
        <v>35.96294272223804</v>
      </c>
      <c r="R176" s="284">
        <f t="shared" si="53"/>
        <v>34.201483481965866</v>
      </c>
      <c r="S176" s="284">
        <f t="shared" si="53"/>
        <v>35.789409551518247</v>
      </c>
      <c r="T176" s="284">
        <f t="shared" si="53"/>
        <v>34.498129493007525</v>
      </c>
      <c r="U176" s="284">
        <f t="shared" si="53"/>
        <v>33.64909690247697</v>
      </c>
      <c r="V176" s="284">
        <f t="shared" si="53"/>
        <v>31.832205774316936</v>
      </c>
      <c r="W176" s="284">
        <f t="shared" si="53"/>
        <v>31.07250750892857</v>
      </c>
      <c r="X176" s="284">
        <f t="shared" si="53"/>
        <v>31.335672439818357</v>
      </c>
      <c r="Y176" s="285">
        <f>SUM(E176:X176)</f>
        <v>636.30961787638319</v>
      </c>
      <c r="AA176" s="283" t="s">
        <v>697</v>
      </c>
      <c r="AB176" s="283"/>
      <c r="AC176" s="283"/>
    </row>
    <row r="177" spans="1:29">
      <c r="A177" s="24"/>
      <c r="B177" s="24"/>
      <c r="C177" s="283"/>
      <c r="D177" s="283"/>
      <c r="E177" s="283"/>
      <c r="F177" s="283"/>
      <c r="G177" s="283"/>
      <c r="H177" s="283"/>
      <c r="I177" s="283"/>
      <c r="J177" s="283"/>
      <c r="K177" s="283"/>
      <c r="L177" s="283"/>
      <c r="M177" s="283"/>
      <c r="N177" s="283"/>
      <c r="O177" s="283"/>
      <c r="P177" s="283"/>
      <c r="Q177" s="283"/>
      <c r="R177" s="283"/>
      <c r="S177" s="283"/>
      <c r="T177" s="283"/>
      <c r="U177" s="283"/>
      <c r="V177" s="283"/>
      <c r="W177" s="283"/>
      <c r="X177" s="283"/>
      <c r="Y177" s="284">
        <f>Y157+Y57</f>
        <v>748.59955044280389</v>
      </c>
      <c r="AA177" s="283" t="s">
        <v>801</v>
      </c>
      <c r="AB177" s="283"/>
      <c r="AC177" s="283"/>
    </row>
    <row r="180" spans="1:29">
      <c r="Y180">
        <f>Y176/Y177</f>
        <v>0.84999999999999987</v>
      </c>
    </row>
  </sheetData>
  <mergeCells count="1">
    <mergeCell ref="B1:S5"/>
  </mergeCells>
  <pageMargins left="0.7" right="0.7" top="0.75" bottom="0.75" header="0.3" footer="0.3"/>
</worksheet>
</file>

<file path=xl/worksheets/sheet4.xml><?xml version="1.0" encoding="utf-8"?>
<worksheet xmlns="http://schemas.openxmlformats.org/spreadsheetml/2006/main" xmlns:r="http://schemas.openxmlformats.org/officeDocument/2006/relationships">
  <sheetPr codeName="Sheet2"/>
  <dimension ref="A1:Z204"/>
  <sheetViews>
    <sheetView workbookViewId="0">
      <selection activeCell="A21" sqref="A21"/>
    </sheetView>
  </sheetViews>
  <sheetFormatPr defaultRowHeight="12.75"/>
  <cols>
    <col min="1" max="1" width="49.42578125" customWidth="1"/>
    <col min="2" max="2" width="18.7109375" customWidth="1"/>
    <col min="3" max="3" width="20.42578125" customWidth="1"/>
    <col min="4" max="4" width="42" customWidth="1"/>
    <col min="5" max="5" width="11" customWidth="1"/>
    <col min="10" max="10" width="9.28515625" bestFit="1" customWidth="1"/>
    <col min="24" max="24" width="10" customWidth="1"/>
    <col min="25" max="25" width="12" customWidth="1"/>
  </cols>
  <sheetData>
    <row r="1" spans="1:26">
      <c r="A1" s="234" t="s">
        <v>688</v>
      </c>
      <c r="B1" s="446" t="s">
        <v>964</v>
      </c>
      <c r="C1" s="447"/>
      <c r="D1" s="447"/>
      <c r="E1" s="447"/>
      <c r="F1" s="447"/>
      <c r="G1" s="447"/>
      <c r="H1" s="447"/>
      <c r="I1" s="447"/>
      <c r="J1" s="447"/>
      <c r="K1" s="447"/>
      <c r="L1" s="447"/>
      <c r="M1" s="447"/>
      <c r="N1" s="447"/>
      <c r="O1" s="447"/>
      <c r="P1" s="447"/>
      <c r="Q1" s="447"/>
      <c r="R1" s="447"/>
      <c r="S1" s="448"/>
      <c r="T1" s="235"/>
      <c r="U1" s="235"/>
      <c r="V1" s="235"/>
      <c r="W1" s="235"/>
      <c r="X1" s="24"/>
      <c r="Y1" s="24"/>
      <c r="Z1" s="24"/>
    </row>
    <row r="2" spans="1:26">
      <c r="A2" s="236"/>
      <c r="B2" s="449"/>
      <c r="C2" s="450"/>
      <c r="D2" s="450"/>
      <c r="E2" s="450"/>
      <c r="F2" s="450"/>
      <c r="G2" s="450"/>
      <c r="H2" s="450"/>
      <c r="I2" s="450"/>
      <c r="J2" s="450"/>
      <c r="K2" s="450"/>
      <c r="L2" s="450"/>
      <c r="M2" s="450"/>
      <c r="N2" s="450"/>
      <c r="O2" s="450"/>
      <c r="P2" s="450"/>
      <c r="Q2" s="450"/>
      <c r="R2" s="450"/>
      <c r="S2" s="451"/>
      <c r="T2" s="237"/>
      <c r="U2" s="237"/>
      <c r="V2" s="237"/>
      <c r="W2" s="237"/>
      <c r="X2" s="24"/>
      <c r="Y2" s="24"/>
      <c r="Z2" s="24"/>
    </row>
    <row r="3" spans="1:26">
      <c r="A3" s="236"/>
      <c r="B3" s="449"/>
      <c r="C3" s="450"/>
      <c r="D3" s="450"/>
      <c r="E3" s="450"/>
      <c r="F3" s="450"/>
      <c r="G3" s="450"/>
      <c r="H3" s="450"/>
      <c r="I3" s="450"/>
      <c r="J3" s="450"/>
      <c r="K3" s="450"/>
      <c r="L3" s="450"/>
      <c r="M3" s="450"/>
      <c r="N3" s="450"/>
      <c r="O3" s="450"/>
      <c r="P3" s="450"/>
      <c r="Q3" s="450"/>
      <c r="R3" s="450"/>
      <c r="S3" s="451"/>
      <c r="T3" s="237"/>
      <c r="U3" s="237"/>
      <c r="V3" s="237"/>
      <c r="W3" s="237"/>
      <c r="X3" s="24"/>
      <c r="Y3" s="24"/>
      <c r="Z3" s="24"/>
    </row>
    <row r="4" spans="1:26">
      <c r="A4" s="236"/>
      <c r="B4" s="449"/>
      <c r="C4" s="450"/>
      <c r="D4" s="450"/>
      <c r="E4" s="450"/>
      <c r="F4" s="450"/>
      <c r="G4" s="450"/>
      <c r="H4" s="450"/>
      <c r="I4" s="450"/>
      <c r="J4" s="450"/>
      <c r="K4" s="450"/>
      <c r="L4" s="450"/>
      <c r="M4" s="450"/>
      <c r="N4" s="450"/>
      <c r="O4" s="450"/>
      <c r="P4" s="450"/>
      <c r="Q4" s="450"/>
      <c r="R4" s="450"/>
      <c r="S4" s="451"/>
      <c r="T4" s="237"/>
      <c r="U4" s="237"/>
      <c r="V4" s="237"/>
      <c r="W4" s="237"/>
      <c r="X4" s="24"/>
      <c r="Y4" s="24"/>
      <c r="Z4" s="24"/>
    </row>
    <row r="5" spans="1:26">
      <c r="A5" s="238" t="s">
        <v>689</v>
      </c>
      <c r="B5" s="449"/>
      <c r="C5" s="450"/>
      <c r="D5" s="452"/>
      <c r="E5" s="452"/>
      <c r="F5" s="452"/>
      <c r="G5" s="452"/>
      <c r="H5" s="452"/>
      <c r="I5" s="452"/>
      <c r="J5" s="452"/>
      <c r="K5" s="452"/>
      <c r="L5" s="452"/>
      <c r="M5" s="452"/>
      <c r="N5" s="452"/>
      <c r="O5" s="452"/>
      <c r="P5" s="452"/>
      <c r="Q5" s="452"/>
      <c r="R5" s="452"/>
      <c r="S5" s="453"/>
      <c r="T5" s="237"/>
      <c r="U5" s="237"/>
      <c r="V5" s="237"/>
      <c r="W5" s="237"/>
      <c r="X5" s="24"/>
      <c r="Y5" s="24"/>
      <c r="Z5" s="24"/>
    </row>
    <row r="6" spans="1:26">
      <c r="A6" s="441"/>
      <c r="B6" s="239"/>
      <c r="C6" s="239"/>
      <c r="D6" s="240"/>
      <c r="E6" s="241"/>
      <c r="F6" s="241"/>
      <c r="G6" s="241"/>
      <c r="H6" s="241"/>
      <c r="I6" s="241"/>
      <c r="J6" s="241"/>
      <c r="K6" s="241"/>
      <c r="L6" s="241"/>
      <c r="M6" s="241"/>
      <c r="N6" s="241"/>
      <c r="O6" s="241"/>
      <c r="P6" s="241"/>
      <c r="Q6" s="241"/>
      <c r="R6" s="241"/>
      <c r="S6" s="242"/>
      <c r="T6" s="237"/>
      <c r="U6" s="237"/>
      <c r="V6" s="237"/>
      <c r="W6" s="237"/>
      <c r="X6" s="24"/>
      <c r="Y6" s="24"/>
      <c r="Z6" s="24"/>
    </row>
    <row r="7" spans="1:26">
      <c r="A7" s="442"/>
      <c r="B7" s="430" t="s">
        <v>690</v>
      </c>
      <c r="C7" s="431" t="s">
        <v>303</v>
      </c>
      <c r="D7" s="427" t="s">
        <v>1062</v>
      </c>
      <c r="E7" s="24"/>
      <c r="F7" s="24"/>
      <c r="G7" s="24"/>
      <c r="H7" s="24"/>
      <c r="I7" s="24"/>
      <c r="J7" s="24"/>
      <c r="K7" s="24"/>
      <c r="L7" s="24"/>
      <c r="M7" s="24"/>
      <c r="N7" s="24"/>
      <c r="O7" s="24"/>
      <c r="P7" s="24"/>
      <c r="Q7" s="24"/>
      <c r="R7" s="24"/>
      <c r="S7" s="24"/>
      <c r="T7" s="24"/>
      <c r="U7" s="24"/>
      <c r="V7" s="24"/>
      <c r="W7" s="24"/>
      <c r="X7" s="24"/>
      <c r="Y7" s="24"/>
      <c r="Z7" s="24"/>
    </row>
    <row r="8" spans="1:26">
      <c r="A8" s="443" t="s">
        <v>1067</v>
      </c>
      <c r="B8" s="432" t="s">
        <v>691</v>
      </c>
      <c r="C8" s="433" t="str">
        <f>[1]MLIST!$D$67</f>
        <v>Exterior Building Lighting-NR</v>
      </c>
      <c r="D8" s="428" t="str">
        <f>[2]!switch_ForecastState</f>
        <v>Region</v>
      </c>
      <c r="E8" s="244"/>
      <c r="F8" s="24"/>
      <c r="G8" s="24"/>
      <c r="H8" s="24"/>
      <c r="I8" s="24"/>
      <c r="J8" s="24"/>
      <c r="K8" s="24"/>
      <c r="L8" s="24"/>
      <c r="M8" s="24"/>
      <c r="N8" s="24"/>
      <c r="O8" s="24"/>
      <c r="P8" s="24"/>
      <c r="Q8" s="24"/>
      <c r="R8" s="24"/>
      <c r="S8" s="24"/>
      <c r="T8" s="24"/>
      <c r="U8" s="24"/>
      <c r="V8" s="24"/>
      <c r="W8" s="24"/>
      <c r="X8" s="24"/>
      <c r="Y8" s="24"/>
      <c r="Z8" s="24"/>
    </row>
    <row r="9" spans="1:26">
      <c r="A9" s="443" t="str">
        <f>INDEX([1]ACHIEV!$A$19:$B$100,MATCH(C8,[1]ACHIEV!$B$19:$B$100,0),1)</f>
        <v>Lighting</v>
      </c>
      <c r="B9" s="434" t="s">
        <v>692</v>
      </c>
      <c r="C9" s="435">
        <f>[1]FILES!$H$4</f>
        <v>2035</v>
      </c>
      <c r="D9" s="436" t="str">
        <f>[2]!switch_ForecastScenario</f>
        <v>Base</v>
      </c>
      <c r="E9" s="245"/>
      <c r="F9" s="24"/>
      <c r="G9" s="24"/>
      <c r="H9" s="24"/>
      <c r="I9" s="24"/>
      <c r="J9" s="24"/>
      <c r="K9" s="24"/>
      <c r="L9" s="24"/>
      <c r="M9" s="24"/>
      <c r="N9" s="24"/>
      <c r="O9" s="24"/>
      <c r="P9" s="24"/>
      <c r="Q9" s="24"/>
      <c r="R9" s="24"/>
      <c r="S9" s="24"/>
      <c r="T9" s="24"/>
      <c r="U9" s="24"/>
      <c r="V9" s="24"/>
      <c r="W9" s="24"/>
      <c r="X9" s="24"/>
      <c r="Y9" s="24"/>
      <c r="Z9" s="24"/>
    </row>
    <row r="10" spans="1:26">
      <c r="A10" s="444"/>
      <c r="B10" s="243" t="s">
        <v>693</v>
      </c>
      <c r="C10" s="445">
        <f ca="1">MIN(SUM(E118:X125),SUM(Y118:Y125))</f>
        <v>123.72449000056638</v>
      </c>
      <c r="D10" s="429"/>
      <c r="E10" s="24">
        <v>1</v>
      </c>
      <c r="F10" s="24">
        <f>E10+1</f>
        <v>2</v>
      </c>
      <c r="G10" s="24">
        <f t="shared" ref="G10:V11" si="0">F10+1</f>
        <v>3</v>
      </c>
      <c r="H10" s="24">
        <f t="shared" si="0"/>
        <v>4</v>
      </c>
      <c r="I10" s="24">
        <f t="shared" si="0"/>
        <v>5</v>
      </c>
      <c r="J10" s="24">
        <f t="shared" si="0"/>
        <v>6</v>
      </c>
      <c r="K10" s="24">
        <f t="shared" si="0"/>
        <v>7</v>
      </c>
      <c r="L10" s="24">
        <f t="shared" si="0"/>
        <v>8</v>
      </c>
      <c r="M10" s="24">
        <f t="shared" si="0"/>
        <v>9</v>
      </c>
      <c r="N10" s="24">
        <f t="shared" si="0"/>
        <v>10</v>
      </c>
      <c r="O10" s="24">
        <f t="shared" si="0"/>
        <v>11</v>
      </c>
      <c r="P10" s="24">
        <f t="shared" si="0"/>
        <v>12</v>
      </c>
      <c r="Q10" s="24">
        <f t="shared" si="0"/>
        <v>13</v>
      </c>
      <c r="R10" s="24">
        <f t="shared" si="0"/>
        <v>14</v>
      </c>
      <c r="S10" s="24">
        <f t="shared" si="0"/>
        <v>15</v>
      </c>
      <c r="T10" s="24">
        <f t="shared" si="0"/>
        <v>16</v>
      </c>
      <c r="U10" s="24">
        <f t="shared" si="0"/>
        <v>17</v>
      </c>
      <c r="V10" s="24">
        <f t="shared" si="0"/>
        <v>18</v>
      </c>
      <c r="W10" s="24">
        <f t="shared" ref="W10:X11" si="1">V10+1</f>
        <v>19</v>
      </c>
      <c r="X10" s="24">
        <f t="shared" si="1"/>
        <v>20</v>
      </c>
      <c r="Y10" s="24"/>
      <c r="Z10" s="24"/>
    </row>
    <row r="11" spans="1:26" ht="15">
      <c r="A11" s="279" t="s">
        <v>910</v>
      </c>
      <c r="B11" s="247"/>
      <c r="C11" s="243" t="str">
        <f>$C$8</f>
        <v>Exterior Building Lighting-NR</v>
      </c>
      <c r="D11" s="243"/>
      <c r="E11" s="243">
        <f>C9-20+1</f>
        <v>2016</v>
      </c>
      <c r="F11" s="243">
        <f>E11+1</f>
        <v>2017</v>
      </c>
      <c r="G11" s="243">
        <f t="shared" si="0"/>
        <v>2018</v>
      </c>
      <c r="H11" s="243">
        <f t="shared" si="0"/>
        <v>2019</v>
      </c>
      <c r="I11" s="243">
        <f t="shared" si="0"/>
        <v>2020</v>
      </c>
      <c r="J11" s="243">
        <f t="shared" si="0"/>
        <v>2021</v>
      </c>
      <c r="K11" s="243">
        <f t="shared" si="0"/>
        <v>2022</v>
      </c>
      <c r="L11" s="243">
        <f t="shared" si="0"/>
        <v>2023</v>
      </c>
      <c r="M11" s="243">
        <f t="shared" si="0"/>
        <v>2024</v>
      </c>
      <c r="N11" s="243">
        <f t="shared" si="0"/>
        <v>2025</v>
      </c>
      <c r="O11" s="243">
        <f t="shared" si="0"/>
        <v>2026</v>
      </c>
      <c r="P11" s="243">
        <f t="shared" si="0"/>
        <v>2027</v>
      </c>
      <c r="Q11" s="243">
        <f t="shared" si="0"/>
        <v>2028</v>
      </c>
      <c r="R11" s="243">
        <f t="shared" si="0"/>
        <v>2029</v>
      </c>
      <c r="S11" s="243">
        <f t="shared" si="0"/>
        <v>2030</v>
      </c>
      <c r="T11" s="243">
        <f t="shared" si="0"/>
        <v>2031</v>
      </c>
      <c r="U11" s="243">
        <f t="shared" si="0"/>
        <v>2032</v>
      </c>
      <c r="V11" s="243">
        <f t="shared" si="0"/>
        <v>2033</v>
      </c>
      <c r="W11" s="243">
        <f t="shared" si="1"/>
        <v>2034</v>
      </c>
      <c r="X11" s="243">
        <f t="shared" si="1"/>
        <v>2035</v>
      </c>
      <c r="Y11" s="248" t="s">
        <v>694</v>
      </c>
      <c r="Z11" s="248" t="s">
        <v>695</v>
      </c>
    </row>
    <row r="12" spans="1:26">
      <c r="A12" s="243"/>
      <c r="B12" s="243"/>
      <c r="C12" s="335" t="s">
        <v>864</v>
      </c>
      <c r="D12" s="243"/>
      <c r="E12" s="243" t="str">
        <f>CONCATENATE("Floor_",E11)</f>
        <v>Floor_2016</v>
      </c>
      <c r="F12" s="243" t="str">
        <f t="shared" ref="F12:X12" si="2">CONCATENATE("Floor_",F11)</f>
        <v>Floor_2017</v>
      </c>
      <c r="G12" s="243" t="str">
        <f t="shared" si="2"/>
        <v>Floor_2018</v>
      </c>
      <c r="H12" s="243" t="str">
        <f t="shared" si="2"/>
        <v>Floor_2019</v>
      </c>
      <c r="I12" s="243" t="str">
        <f t="shared" si="2"/>
        <v>Floor_2020</v>
      </c>
      <c r="J12" s="243" t="str">
        <f t="shared" si="2"/>
        <v>Floor_2021</v>
      </c>
      <c r="K12" s="243" t="str">
        <f t="shared" si="2"/>
        <v>Floor_2022</v>
      </c>
      <c r="L12" s="243" t="str">
        <f t="shared" si="2"/>
        <v>Floor_2023</v>
      </c>
      <c r="M12" s="243" t="str">
        <f t="shared" si="2"/>
        <v>Floor_2024</v>
      </c>
      <c r="N12" s="243" t="str">
        <f t="shared" si="2"/>
        <v>Floor_2025</v>
      </c>
      <c r="O12" s="243" t="str">
        <f t="shared" si="2"/>
        <v>Floor_2026</v>
      </c>
      <c r="P12" s="243" t="str">
        <f t="shared" si="2"/>
        <v>Floor_2027</v>
      </c>
      <c r="Q12" s="243" t="str">
        <f t="shared" si="2"/>
        <v>Floor_2028</v>
      </c>
      <c r="R12" s="243" t="str">
        <f t="shared" si="2"/>
        <v>Floor_2029</v>
      </c>
      <c r="S12" s="243" t="str">
        <f t="shared" si="2"/>
        <v>Floor_2030</v>
      </c>
      <c r="T12" s="243" t="str">
        <f t="shared" si="2"/>
        <v>Floor_2031</v>
      </c>
      <c r="U12" s="243" t="str">
        <f t="shared" si="2"/>
        <v>Floor_2032</v>
      </c>
      <c r="V12" s="243" t="str">
        <f t="shared" si="2"/>
        <v>Floor_2033</v>
      </c>
      <c r="W12" s="243" t="str">
        <f t="shared" si="2"/>
        <v>Floor_2034</v>
      </c>
      <c r="X12" s="243" t="str">
        <f t="shared" si="2"/>
        <v>Floor_2035</v>
      </c>
      <c r="Y12" s="248"/>
      <c r="Z12" s="249">
        <v>0.85</v>
      </c>
    </row>
    <row r="13" spans="1:26">
      <c r="B13" s="24"/>
      <c r="C13" s="24" t="s">
        <v>803</v>
      </c>
      <c r="D13" s="24">
        <v>1</v>
      </c>
      <c r="E13" s="244">
        <f>INDEX([2]!tbl_Forecast,MATCH($D$8&amp;$C13&amp;$D$7,[2]!rng_ForecastRowLookup,0),MATCH(E$11,[2]!rng_ForecastColumnLookup,0))</f>
        <v>380.08828477966154</v>
      </c>
      <c r="F13" s="244">
        <f>INDEX([2]!tbl_Forecast,MATCH($D$8&amp;$C13&amp;$D$7,[2]!rng_ForecastRowLookup,0),MATCH(F$11,[2]!rng_ForecastColumnLookup,0))</f>
        <v>378.94801992532251</v>
      </c>
      <c r="G13" s="244">
        <f>INDEX([2]!tbl_Forecast,MATCH($D$8&amp;$C13&amp;$D$7,[2]!rng_ForecastRowLookup,0),MATCH(G$11,[2]!rng_ForecastColumnLookup,0))</f>
        <v>377.81117586554655</v>
      </c>
      <c r="H13" s="244">
        <f>INDEX([2]!tbl_Forecast,MATCH($D$8&amp;$C13&amp;$D$7,[2]!rng_ForecastRowLookup,0),MATCH(H$11,[2]!rng_ForecastColumnLookup,0))</f>
        <v>376.67774233794995</v>
      </c>
      <c r="I13" s="244">
        <f>INDEX([2]!tbl_Forecast,MATCH($D$8&amp;$C13&amp;$D$7,[2]!rng_ForecastRowLookup,0),MATCH(I$11,[2]!rng_ForecastColumnLookup,0))</f>
        <v>375.54770911093607</v>
      </c>
      <c r="J13" s="244">
        <f>INDEX([2]!tbl_Forecast,MATCH($D$8&amp;$C13&amp;$D$7,[2]!rng_ForecastRowLookup,0),MATCH(J$11,[2]!rng_ForecastColumnLookup,0))</f>
        <v>374.42106598360328</v>
      </c>
      <c r="K13" s="244">
        <f>INDEX([2]!tbl_Forecast,MATCH($D$8&amp;$C13&amp;$D$7,[2]!rng_ForecastRowLookup,0),MATCH(K$11,[2]!rng_ForecastColumnLookup,0))</f>
        <v>373.29780278565244</v>
      </c>
      <c r="L13" s="244">
        <f>INDEX([2]!tbl_Forecast,MATCH($D$8&amp;$C13&amp;$D$7,[2]!rng_ForecastRowLookup,0),MATCH(L$11,[2]!rng_ForecastColumnLookup,0))</f>
        <v>372.17790937729552</v>
      </c>
      <c r="M13" s="244">
        <f>INDEX([2]!tbl_Forecast,MATCH($D$8&amp;$C13&amp;$D$7,[2]!rng_ForecastRowLookup,0),MATCH(M$11,[2]!rng_ForecastColumnLookup,0))</f>
        <v>371.06137564916361</v>
      </c>
      <c r="N13" s="244">
        <f>INDEX([2]!tbl_Forecast,MATCH($D$8&amp;$C13&amp;$D$7,[2]!rng_ForecastRowLookup,0),MATCH(N$11,[2]!rng_ForecastColumnLookup,0))</f>
        <v>369.94819152221612</v>
      </c>
      <c r="O13" s="244">
        <f>INDEX([2]!tbl_Forecast,MATCH($D$8&amp;$C13&amp;$D$7,[2]!rng_ForecastRowLookup,0),MATCH(O$11,[2]!rng_ForecastColumnLookup,0))</f>
        <v>368.83834694764948</v>
      </c>
      <c r="P13" s="244">
        <f>INDEX([2]!tbl_Forecast,MATCH($D$8&amp;$C13&amp;$D$7,[2]!rng_ForecastRowLookup,0),MATCH(P$11,[2]!rng_ForecastColumnLookup,0))</f>
        <v>367.73183190680658</v>
      </c>
      <c r="Q13" s="244">
        <f>INDEX([2]!tbl_Forecast,MATCH($D$8&amp;$C13&amp;$D$7,[2]!rng_ForecastRowLookup,0),MATCH(Q$11,[2]!rng_ForecastColumnLookup,0))</f>
        <v>366.62863641108612</v>
      </c>
      <c r="R13" s="244">
        <f>INDEX([2]!tbl_Forecast,MATCH($D$8&amp;$C13&amp;$D$7,[2]!rng_ForecastRowLookup,0),MATCH(R$11,[2]!rng_ForecastColumnLookup,0))</f>
        <v>365.52875050185287</v>
      </c>
      <c r="S13" s="244">
        <f>INDEX([2]!tbl_Forecast,MATCH($D$8&amp;$C13&amp;$D$7,[2]!rng_ForecastRowLookup,0),MATCH(S$11,[2]!rng_ForecastColumnLookup,0))</f>
        <v>364.43216425034728</v>
      </c>
      <c r="T13" s="244">
        <f>INDEX([2]!tbl_Forecast,MATCH($D$8&amp;$C13&amp;$D$7,[2]!rng_ForecastRowLookup,0),MATCH(T$11,[2]!rng_ForecastColumnLookup,0))</f>
        <v>363.33886775759629</v>
      </c>
      <c r="U13" s="244">
        <f>INDEX([2]!tbl_Forecast,MATCH($D$8&amp;$C13&amp;$D$7,[2]!rng_ForecastRowLookup,0),MATCH(U$11,[2]!rng_ForecastColumnLookup,0))</f>
        <v>362.24885115432346</v>
      </c>
      <c r="V13" s="244">
        <f>INDEX([2]!tbl_Forecast,MATCH($D$8&amp;$C13&amp;$D$7,[2]!rng_ForecastRowLookup,0),MATCH(V$11,[2]!rng_ForecastColumnLookup,0))</f>
        <v>361.16210460086046</v>
      </c>
      <c r="W13" s="244">
        <f>INDEX([2]!tbl_Forecast,MATCH($D$8&amp;$C13&amp;$D$7,[2]!rng_ForecastRowLookup,0),MATCH(W$11,[2]!rng_ForecastColumnLookup,0))</f>
        <v>360.07861828705791</v>
      </c>
      <c r="X13" s="244">
        <f>INDEX([2]!tbl_Forecast,MATCH($D$8&amp;$C13&amp;$D$7,[2]!rng_ForecastRowLookup,0),MATCH(X$11,[2]!rng_ForecastColumnLookup,0))</f>
        <v>358.99838243219671</v>
      </c>
      <c r="Y13" s="250"/>
      <c r="Z13" s="198"/>
    </row>
    <row r="14" spans="1:26">
      <c r="B14" s="24"/>
      <c r="C14" s="24" t="s">
        <v>804</v>
      </c>
      <c r="D14" s="24">
        <v>2</v>
      </c>
      <c r="E14" s="244">
        <f>INDEX([2]!tbl_Forecast,MATCH($D$8&amp;$C14&amp;$D$7,[2]!rng_ForecastRowLookup,0),MATCH(E$11,[2]!rng_ForecastColumnLookup,0))</f>
        <v>190.73687138333023</v>
      </c>
      <c r="F14" s="244">
        <f>INDEX([2]!tbl_Forecast,MATCH($D$8&amp;$C14&amp;$D$7,[2]!rng_ForecastRowLookup,0),MATCH(F$11,[2]!rng_ForecastColumnLookup,0))</f>
        <v>190.16466076918024</v>
      </c>
      <c r="G14" s="244">
        <f>INDEX([2]!tbl_Forecast,MATCH($D$8&amp;$C14&amp;$D$7,[2]!rng_ForecastRowLookup,0),MATCH(G$11,[2]!rng_ForecastColumnLookup,0))</f>
        <v>189.59416678687271</v>
      </c>
      <c r="H14" s="244">
        <f>INDEX([2]!tbl_Forecast,MATCH($D$8&amp;$C14&amp;$D$7,[2]!rng_ForecastRowLookup,0),MATCH(H$11,[2]!rng_ForecastColumnLookup,0))</f>
        <v>189.02538428651209</v>
      </c>
      <c r="I14" s="244">
        <f>INDEX([2]!tbl_Forecast,MATCH($D$8&amp;$C14&amp;$D$7,[2]!rng_ForecastRowLookup,0),MATCH(I$11,[2]!rng_ForecastColumnLookup,0))</f>
        <v>188.45830813365254</v>
      </c>
      <c r="J14" s="244">
        <f>INDEX([2]!tbl_Forecast,MATCH($D$8&amp;$C14&amp;$D$7,[2]!rng_ForecastRowLookup,0),MATCH(J$11,[2]!rng_ForecastColumnLookup,0))</f>
        <v>187.89293320925157</v>
      </c>
      <c r="K14" s="244">
        <f>INDEX([2]!tbl_Forecast,MATCH($D$8&amp;$C14&amp;$D$7,[2]!rng_ForecastRowLookup,0),MATCH(K$11,[2]!rng_ForecastColumnLookup,0))</f>
        <v>187.32925440962381</v>
      </c>
      <c r="L14" s="244">
        <f>INDEX([2]!tbl_Forecast,MATCH($D$8&amp;$C14&amp;$D$7,[2]!rng_ForecastRowLookup,0),MATCH(L$11,[2]!rng_ForecastColumnLookup,0))</f>
        <v>186.76726664639497</v>
      </c>
      <c r="M14" s="244">
        <f>INDEX([2]!tbl_Forecast,MATCH($D$8&amp;$C14&amp;$D$7,[2]!rng_ForecastRowLookup,0),MATCH(M$11,[2]!rng_ForecastColumnLookup,0))</f>
        <v>186.20696484645578</v>
      </c>
      <c r="N14" s="244">
        <f>INDEX([2]!tbl_Forecast,MATCH($D$8&amp;$C14&amp;$D$7,[2]!rng_ForecastRowLookup,0),MATCH(N$11,[2]!rng_ForecastColumnLookup,0))</f>
        <v>185.64834395191642</v>
      </c>
      <c r="O14" s="244">
        <f>INDEX([2]!tbl_Forecast,MATCH($D$8&amp;$C14&amp;$D$7,[2]!rng_ForecastRowLookup,0),MATCH(O$11,[2]!rng_ForecastColumnLookup,0))</f>
        <v>185.09139892006067</v>
      </c>
      <c r="P14" s="244">
        <f>INDEX([2]!tbl_Forecast,MATCH($D$8&amp;$C14&amp;$D$7,[2]!rng_ForecastRowLookup,0),MATCH(P$11,[2]!rng_ForecastColumnLookup,0))</f>
        <v>184.5361247233005</v>
      </c>
      <c r="Q14" s="244">
        <f>INDEX([2]!tbl_Forecast,MATCH($D$8&amp;$C14&amp;$D$7,[2]!rng_ForecastRowLookup,0),MATCH(Q$11,[2]!rng_ForecastColumnLookup,0))</f>
        <v>183.98251634913058</v>
      </c>
      <c r="R14" s="244">
        <f>INDEX([2]!tbl_Forecast,MATCH($D$8&amp;$C14&amp;$D$7,[2]!rng_ForecastRowLookup,0),MATCH(R$11,[2]!rng_ForecastColumnLookup,0))</f>
        <v>183.43056880008319</v>
      </c>
      <c r="S14" s="244">
        <f>INDEX([2]!tbl_Forecast,MATCH($D$8&amp;$C14&amp;$D$7,[2]!rng_ForecastRowLookup,0),MATCH(S$11,[2]!rng_ForecastColumnLookup,0))</f>
        <v>182.88027709368296</v>
      </c>
      <c r="T14" s="244">
        <f>INDEX([2]!tbl_Forecast,MATCH($D$8&amp;$C14&amp;$D$7,[2]!rng_ForecastRowLookup,0),MATCH(T$11,[2]!rng_ForecastColumnLookup,0))</f>
        <v>182.33163626240187</v>
      </c>
      <c r="U14" s="244">
        <f>INDEX([2]!tbl_Forecast,MATCH($D$8&amp;$C14&amp;$D$7,[2]!rng_ForecastRowLookup,0),MATCH(U$11,[2]!rng_ForecastColumnLookup,0))</f>
        <v>181.78464135361469</v>
      </c>
      <c r="V14" s="244">
        <f>INDEX([2]!tbl_Forecast,MATCH($D$8&amp;$C14&amp;$D$7,[2]!rng_ForecastRowLookup,0),MATCH(V$11,[2]!rng_ForecastColumnLookup,0))</f>
        <v>181.23928742955383</v>
      </c>
      <c r="W14" s="244">
        <f>INDEX([2]!tbl_Forecast,MATCH($D$8&amp;$C14&amp;$D$7,[2]!rng_ForecastRowLookup,0),MATCH(W$11,[2]!rng_ForecastColumnLookup,0))</f>
        <v>180.69556956726515</v>
      </c>
      <c r="X14" s="244">
        <f>INDEX([2]!tbl_Forecast,MATCH($D$8&amp;$C14&amp;$D$7,[2]!rng_ForecastRowLookup,0),MATCH(X$11,[2]!rng_ForecastColumnLookup,0))</f>
        <v>180.15348285856339</v>
      </c>
      <c r="Y14" s="250"/>
      <c r="Z14" s="198"/>
    </row>
    <row r="15" spans="1:26">
      <c r="B15" s="24"/>
      <c r="C15" s="24" t="s">
        <v>805</v>
      </c>
      <c r="D15" s="24">
        <v>3</v>
      </c>
      <c r="E15" s="244">
        <f>INDEX([2]!tbl_Forecast,MATCH($D$8&amp;$C15&amp;$D$7,[2]!rng_ForecastRowLookup,0),MATCH(E$11,[2]!rng_ForecastColumnLookup,0))</f>
        <v>184.0913556049378</v>
      </c>
      <c r="F15" s="244">
        <f>INDEX([2]!tbl_Forecast,MATCH($D$8&amp;$C15&amp;$D$7,[2]!rng_ForecastRowLookup,0),MATCH(F$11,[2]!rng_ForecastColumnLookup,0))</f>
        <v>183.53908153812301</v>
      </c>
      <c r="G15" s="244">
        <f>INDEX([2]!tbl_Forecast,MATCH($D$8&amp;$C15&amp;$D$7,[2]!rng_ForecastRowLookup,0),MATCH(G$11,[2]!rng_ForecastColumnLookup,0))</f>
        <v>182.98846429350866</v>
      </c>
      <c r="H15" s="244">
        <f>INDEX([2]!tbl_Forecast,MATCH($D$8&amp;$C15&amp;$D$7,[2]!rng_ForecastRowLookup,0),MATCH(H$11,[2]!rng_ForecastColumnLookup,0))</f>
        <v>182.43949890062811</v>
      </c>
      <c r="I15" s="244">
        <f>INDEX([2]!tbl_Forecast,MATCH($D$8&amp;$C15&amp;$D$7,[2]!rng_ForecastRowLookup,0),MATCH(I$11,[2]!rng_ForecastColumnLookup,0))</f>
        <v>181.89218040392623</v>
      </c>
      <c r="J15" s="244">
        <f>INDEX([2]!tbl_Forecast,MATCH($D$8&amp;$C15&amp;$D$7,[2]!rng_ForecastRowLookup,0),MATCH(J$11,[2]!rng_ForecastColumnLookup,0))</f>
        <v>181.34650386271446</v>
      </c>
      <c r="K15" s="244">
        <f>INDEX([2]!tbl_Forecast,MATCH($D$8&amp;$C15&amp;$D$7,[2]!rng_ForecastRowLookup,0),MATCH(K$11,[2]!rng_ForecastColumnLookup,0))</f>
        <v>180.80246435112633</v>
      </c>
      <c r="L15" s="244">
        <f>INDEX([2]!tbl_Forecast,MATCH($D$8&amp;$C15&amp;$D$7,[2]!rng_ForecastRowLookup,0),MATCH(L$11,[2]!rng_ForecastColumnLookup,0))</f>
        <v>180.26005695807294</v>
      </c>
      <c r="M15" s="244">
        <f>INDEX([2]!tbl_Forecast,MATCH($D$8&amp;$C15&amp;$D$7,[2]!rng_ForecastRowLookup,0),MATCH(M$11,[2]!rng_ForecastColumnLookup,0))</f>
        <v>179.71927678719871</v>
      </c>
      <c r="N15" s="244">
        <f>INDEX([2]!tbl_Forecast,MATCH($D$8&amp;$C15&amp;$D$7,[2]!rng_ForecastRowLookup,0),MATCH(N$11,[2]!rng_ForecastColumnLookup,0))</f>
        <v>179.18011895683713</v>
      </c>
      <c r="O15" s="244">
        <f>INDEX([2]!tbl_Forecast,MATCH($D$8&amp;$C15&amp;$D$7,[2]!rng_ForecastRowLookup,0),MATCH(O$11,[2]!rng_ForecastColumnLookup,0))</f>
        <v>178.64257859996661</v>
      </c>
      <c r="P15" s="244">
        <f>INDEX([2]!tbl_Forecast,MATCH($D$8&amp;$C15&amp;$D$7,[2]!rng_ForecastRowLookup,0),MATCH(P$11,[2]!rng_ForecastColumnLookup,0))</f>
        <v>178.10665086416668</v>
      </c>
      <c r="Q15" s="244">
        <f>INDEX([2]!tbl_Forecast,MATCH($D$8&amp;$C15&amp;$D$7,[2]!rng_ForecastRowLookup,0),MATCH(Q$11,[2]!rng_ForecastColumnLookup,0))</f>
        <v>177.57233091157423</v>
      </c>
      <c r="R15" s="244">
        <f>INDEX([2]!tbl_Forecast,MATCH($D$8&amp;$C15&amp;$D$7,[2]!rng_ForecastRowLookup,0),MATCH(R$11,[2]!rng_ForecastColumnLookup,0))</f>
        <v>177.03961391883951</v>
      </c>
      <c r="S15" s="244">
        <f>INDEX([2]!tbl_Forecast,MATCH($D$8&amp;$C15&amp;$D$7,[2]!rng_ForecastRowLookup,0),MATCH(S$11,[2]!rng_ForecastColumnLookup,0))</f>
        <v>176.50849507708296</v>
      </c>
      <c r="T15" s="244">
        <f>INDEX([2]!tbl_Forecast,MATCH($D$8&amp;$C15&amp;$D$7,[2]!rng_ForecastRowLookup,0),MATCH(T$11,[2]!rng_ForecastColumnLookup,0))</f>
        <v>175.97896959185172</v>
      </c>
      <c r="U15" s="244">
        <f>INDEX([2]!tbl_Forecast,MATCH($D$8&amp;$C15&amp;$D$7,[2]!rng_ForecastRowLookup,0),MATCH(U$11,[2]!rng_ForecastColumnLookup,0))</f>
        <v>175.45103268307616</v>
      </c>
      <c r="V15" s="244">
        <f>INDEX([2]!tbl_Forecast,MATCH($D$8&amp;$C15&amp;$D$7,[2]!rng_ForecastRowLookup,0),MATCH(V$11,[2]!rng_ForecastColumnLookup,0))</f>
        <v>174.92467958502692</v>
      </c>
      <c r="W15" s="244">
        <f>INDEX([2]!tbl_Forecast,MATCH($D$8&amp;$C15&amp;$D$7,[2]!rng_ForecastRowLookup,0),MATCH(W$11,[2]!rng_ForecastColumnLookup,0))</f>
        <v>174.39990554627184</v>
      </c>
      <c r="X15" s="244">
        <f>INDEX([2]!tbl_Forecast,MATCH($D$8&amp;$C15&amp;$D$7,[2]!rng_ForecastRowLookup,0),MATCH(X$11,[2]!rng_ForecastColumnLookup,0))</f>
        <v>173.87670582963304</v>
      </c>
      <c r="Y15" s="250"/>
      <c r="Z15" s="198"/>
    </row>
    <row r="16" spans="1:26">
      <c r="B16" s="24"/>
      <c r="C16" s="24" t="s">
        <v>807</v>
      </c>
      <c r="D16" s="280">
        <v>4</v>
      </c>
      <c r="E16" s="244">
        <f>INDEX([2]!tbl_Forecast,MATCH($D$8&amp;$C16&amp;$D$7,[2]!rng_ForecastRowLookup,0),MATCH(E$11,[2]!rng_ForecastColumnLookup,0))</f>
        <v>138.35734062238015</v>
      </c>
      <c r="F16" s="244">
        <f>INDEX([2]!tbl_Forecast,MATCH($D$8&amp;$C16&amp;$D$7,[2]!rng_ForecastRowLookup,0),MATCH(F$11,[2]!rng_ForecastColumnLookup,0))</f>
        <v>137.7208968555172</v>
      </c>
      <c r="G16" s="244">
        <f>INDEX([2]!tbl_Forecast,MATCH($D$8&amp;$C16&amp;$D$7,[2]!rng_ForecastRowLookup,0),MATCH(G$11,[2]!rng_ForecastColumnLookup,0))</f>
        <v>137.08738072998179</v>
      </c>
      <c r="H16" s="244">
        <f>INDEX([2]!tbl_Forecast,MATCH($D$8&amp;$C16&amp;$D$7,[2]!rng_ForecastRowLookup,0),MATCH(H$11,[2]!rng_ForecastColumnLookup,0))</f>
        <v>136.45677877862389</v>
      </c>
      <c r="I16" s="244">
        <f>INDEX([2]!tbl_Forecast,MATCH($D$8&amp;$C16&amp;$D$7,[2]!rng_ForecastRowLookup,0),MATCH(I$11,[2]!rng_ForecastColumnLookup,0))</f>
        <v>135.8290775962422</v>
      </c>
      <c r="J16" s="244">
        <f>INDEX([2]!tbl_Forecast,MATCH($D$8&amp;$C16&amp;$D$7,[2]!rng_ForecastRowLookup,0),MATCH(J$11,[2]!rng_ForecastColumnLookup,0))</f>
        <v>135.20426383929947</v>
      </c>
      <c r="K16" s="244">
        <f>INDEX([2]!tbl_Forecast,MATCH($D$8&amp;$C16&amp;$D$7,[2]!rng_ForecastRowLookup,0),MATCH(K$11,[2]!rng_ForecastColumnLookup,0))</f>
        <v>134.5823242256387</v>
      </c>
      <c r="L16" s="244">
        <f>INDEX([2]!tbl_Forecast,MATCH($D$8&amp;$C16&amp;$D$7,[2]!rng_ForecastRowLookup,0),MATCH(L$11,[2]!rng_ForecastColumnLookup,0))</f>
        <v>133.96324553420075</v>
      </c>
      <c r="M16" s="244">
        <f>INDEX([2]!tbl_Forecast,MATCH($D$8&amp;$C16&amp;$D$7,[2]!rng_ForecastRowLookup,0),MATCH(M$11,[2]!rng_ForecastColumnLookup,0))</f>
        <v>133.34701460474344</v>
      </c>
      <c r="N16" s="244">
        <f>INDEX([2]!tbl_Forecast,MATCH($D$8&amp;$C16&amp;$D$7,[2]!rng_ForecastRowLookup,0),MATCH(N$11,[2]!rng_ForecastColumnLookup,0))</f>
        <v>132.73361833756161</v>
      </c>
      <c r="O16" s="244">
        <f>INDEX([2]!tbl_Forecast,MATCH($D$8&amp;$C16&amp;$D$7,[2]!rng_ForecastRowLookup,0),MATCH(O$11,[2]!rng_ForecastColumnLookup,0))</f>
        <v>132.12304369320884</v>
      </c>
      <c r="P16" s="244">
        <f>INDEX([2]!tbl_Forecast,MATCH($D$8&amp;$C16&amp;$D$7,[2]!rng_ForecastRowLookup,0),MATCH(P$11,[2]!rng_ForecastColumnLookup,0))</f>
        <v>131.51527769222005</v>
      </c>
      <c r="Q16" s="244">
        <f>INDEX([2]!tbl_Forecast,MATCH($D$8&amp;$C16&amp;$D$7,[2]!rng_ForecastRowLookup,0),MATCH(Q$11,[2]!rng_ForecastColumnLookup,0))</f>
        <v>130.91030741483584</v>
      </c>
      <c r="R16" s="244">
        <f>INDEX([2]!tbl_Forecast,MATCH($D$8&amp;$C16&amp;$D$7,[2]!rng_ForecastRowLookup,0),MATCH(R$11,[2]!rng_ForecastColumnLookup,0))</f>
        <v>130.3081200007276</v>
      </c>
      <c r="S16" s="244">
        <f>INDEX([2]!tbl_Forecast,MATCH($D$8&amp;$C16&amp;$D$7,[2]!rng_ForecastRowLookup,0),MATCH(S$11,[2]!rng_ForecastColumnLookup,0))</f>
        <v>129.70870264872423</v>
      </c>
      <c r="T16" s="244">
        <f>INDEX([2]!tbl_Forecast,MATCH($D$8&amp;$C16&amp;$D$7,[2]!rng_ForecastRowLookup,0),MATCH(T$11,[2]!rng_ForecastColumnLookup,0))</f>
        <v>129.11204261654012</v>
      </c>
      <c r="U16" s="244">
        <f>INDEX([2]!tbl_Forecast,MATCH($D$8&amp;$C16&amp;$D$7,[2]!rng_ForecastRowLookup,0),MATCH(U$11,[2]!rng_ForecastColumnLookup,0))</f>
        <v>128.51812722050403</v>
      </c>
      <c r="V16" s="244">
        <f>INDEX([2]!tbl_Forecast,MATCH($D$8&amp;$C16&amp;$D$7,[2]!rng_ForecastRowLookup,0),MATCH(V$11,[2]!rng_ForecastColumnLookup,0))</f>
        <v>127.92694383528971</v>
      </c>
      <c r="W16" s="244">
        <f>INDEX([2]!tbl_Forecast,MATCH($D$8&amp;$C16&amp;$D$7,[2]!rng_ForecastRowLookup,0),MATCH(W$11,[2]!rng_ForecastColumnLookup,0))</f>
        <v>127.33847989364737</v>
      </c>
      <c r="X16" s="244">
        <f>INDEX([2]!tbl_Forecast,MATCH($D$8&amp;$C16&amp;$D$7,[2]!rng_ForecastRowLookup,0),MATCH(X$11,[2]!rng_ForecastColumnLookup,0))</f>
        <v>126.75272288613657</v>
      </c>
      <c r="Y16" s="250"/>
      <c r="Z16" s="198"/>
    </row>
    <row r="17" spans="1:26">
      <c r="B17" s="24"/>
      <c r="C17" s="24" t="s">
        <v>808</v>
      </c>
      <c r="D17" s="280">
        <v>5</v>
      </c>
      <c r="E17" s="244">
        <f>INDEX([2]!tbl_Forecast,MATCH($D$8&amp;$C17&amp;$D$7,[2]!rng_ForecastRowLookup,0),MATCH(E$11,[2]!rng_ForecastColumnLookup,0))</f>
        <v>208.9574509880029</v>
      </c>
      <c r="F17" s="244">
        <f>INDEX([2]!tbl_Forecast,MATCH($D$8&amp;$C17&amp;$D$7,[2]!rng_ForecastRowLookup,0),MATCH(F$11,[2]!rng_ForecastColumnLookup,0))</f>
        <v>207.99624671345808</v>
      </c>
      <c r="G17" s="244">
        <f>INDEX([2]!tbl_Forecast,MATCH($D$8&amp;$C17&amp;$D$7,[2]!rng_ForecastRowLookup,0),MATCH(G$11,[2]!rng_ForecastColumnLookup,0))</f>
        <v>207.03946397857615</v>
      </c>
      <c r="H17" s="244">
        <f>INDEX([2]!tbl_Forecast,MATCH($D$8&amp;$C17&amp;$D$7,[2]!rng_ForecastRowLookup,0),MATCH(H$11,[2]!rng_ForecastColumnLookup,0))</f>
        <v>206.0870824442747</v>
      </c>
      <c r="I17" s="244">
        <f>INDEX([2]!tbl_Forecast,MATCH($D$8&amp;$C17&amp;$D$7,[2]!rng_ForecastRowLookup,0),MATCH(I$11,[2]!rng_ForecastColumnLookup,0))</f>
        <v>205.13908186503102</v>
      </c>
      <c r="J17" s="244">
        <f>INDEX([2]!tbl_Forecast,MATCH($D$8&amp;$C17&amp;$D$7,[2]!rng_ForecastRowLookup,0),MATCH(J$11,[2]!rng_ForecastColumnLookup,0))</f>
        <v>204.1954420884519</v>
      </c>
      <c r="K17" s="244">
        <f>INDEX([2]!tbl_Forecast,MATCH($D$8&amp;$C17&amp;$D$7,[2]!rng_ForecastRowLookup,0),MATCH(K$11,[2]!rng_ForecastColumnLookup,0))</f>
        <v>203.25614305484498</v>
      </c>
      <c r="L17" s="244">
        <f>INDEX([2]!tbl_Forecast,MATCH($D$8&amp;$C17&amp;$D$7,[2]!rng_ForecastRowLookup,0),MATCH(L$11,[2]!rng_ForecastColumnLookup,0))</f>
        <v>202.32116479679266</v>
      </c>
      <c r="M17" s="244">
        <f>INDEX([2]!tbl_Forecast,MATCH($D$8&amp;$C17&amp;$D$7,[2]!rng_ForecastRowLookup,0),MATCH(M$11,[2]!rng_ForecastColumnLookup,0))</f>
        <v>201.3904874387274</v>
      </c>
      <c r="N17" s="244">
        <f>INDEX([2]!tbl_Forecast,MATCH($D$8&amp;$C17&amp;$D$7,[2]!rng_ForecastRowLookup,0),MATCH(N$11,[2]!rng_ForecastColumnLookup,0))</f>
        <v>200.46409119650929</v>
      </c>
      <c r="O17" s="244">
        <f>INDEX([2]!tbl_Forecast,MATCH($D$8&amp;$C17&amp;$D$7,[2]!rng_ForecastRowLookup,0),MATCH(O$11,[2]!rng_ForecastColumnLookup,0))</f>
        <v>199.54195637700533</v>
      </c>
      <c r="P17" s="244">
        <f>INDEX([2]!tbl_Forecast,MATCH($D$8&amp;$C17&amp;$D$7,[2]!rng_ForecastRowLookup,0),MATCH(P$11,[2]!rng_ForecastColumnLookup,0))</f>
        <v>198.62406337767112</v>
      </c>
      <c r="Q17" s="244">
        <f>INDEX([2]!tbl_Forecast,MATCH($D$8&amp;$C17&amp;$D$7,[2]!rng_ForecastRowLookup,0),MATCH(Q$11,[2]!rng_ForecastColumnLookup,0))</f>
        <v>197.71039268613379</v>
      </c>
      <c r="R17" s="244">
        <f>INDEX([2]!tbl_Forecast,MATCH($D$8&amp;$C17&amp;$D$7,[2]!rng_ForecastRowLookup,0),MATCH(R$11,[2]!rng_ForecastColumnLookup,0))</f>
        <v>196.8009248797776</v>
      </c>
      <c r="S17" s="244">
        <f>INDEX([2]!tbl_Forecast,MATCH($D$8&amp;$C17&amp;$D$7,[2]!rng_ForecastRowLookup,0),MATCH(S$11,[2]!rng_ForecastColumnLookup,0))</f>
        <v>195.8956406253306</v>
      </c>
      <c r="T17" s="244">
        <f>INDEX([2]!tbl_Forecast,MATCH($D$8&amp;$C17&amp;$D$7,[2]!rng_ForecastRowLookup,0),MATCH(T$11,[2]!rng_ForecastColumnLookup,0))</f>
        <v>194.99452067845405</v>
      </c>
      <c r="U17" s="244">
        <f>INDEX([2]!tbl_Forecast,MATCH($D$8&amp;$C17&amp;$D$7,[2]!rng_ForecastRowLookup,0),MATCH(U$11,[2]!rng_ForecastColumnLookup,0))</f>
        <v>194.09754588333314</v>
      </c>
      <c r="V17" s="244">
        <f>INDEX([2]!tbl_Forecast,MATCH($D$8&amp;$C17&amp;$D$7,[2]!rng_ForecastRowLookup,0),MATCH(V$11,[2]!rng_ForecastColumnLookup,0))</f>
        <v>193.20469717226982</v>
      </c>
      <c r="W17" s="244">
        <f>INDEX([2]!tbl_Forecast,MATCH($D$8&amp;$C17&amp;$D$7,[2]!rng_ForecastRowLookup,0),MATCH(W$11,[2]!rng_ForecastColumnLookup,0))</f>
        <v>192.31595556527733</v>
      </c>
      <c r="X17" s="244">
        <f>INDEX([2]!tbl_Forecast,MATCH($D$8&amp;$C17&amp;$D$7,[2]!rng_ForecastRowLookup,0),MATCH(X$11,[2]!rng_ForecastColumnLookup,0))</f>
        <v>191.43130216967708</v>
      </c>
      <c r="Y17" s="250"/>
      <c r="Z17" s="198"/>
    </row>
    <row r="18" spans="1:26">
      <c r="B18" s="24"/>
      <c r="C18" s="24" t="s">
        <v>809</v>
      </c>
      <c r="D18" s="24">
        <v>6</v>
      </c>
      <c r="E18" s="244">
        <f>INDEX([2]!tbl_Forecast,MATCH($D$8&amp;$C18&amp;$D$7,[2]!rng_ForecastRowLookup,0),MATCH(E$11,[2]!rng_ForecastColumnLookup,0))</f>
        <v>97.115689913224898</v>
      </c>
      <c r="F18" s="244">
        <f>INDEX([2]!tbl_Forecast,MATCH($D$8&amp;$C18&amp;$D$7,[2]!rng_ForecastRowLookup,0),MATCH(F$11,[2]!rng_ForecastColumnLookup,0))</f>
        <v>96.668957739624062</v>
      </c>
      <c r="G18" s="244">
        <f>INDEX([2]!tbl_Forecast,MATCH($D$8&amp;$C18&amp;$D$7,[2]!rng_ForecastRowLookup,0),MATCH(G$11,[2]!rng_ForecastColumnLookup,0))</f>
        <v>96.224280534021787</v>
      </c>
      <c r="H18" s="244">
        <f>INDEX([2]!tbl_Forecast,MATCH($D$8&amp;$C18&amp;$D$7,[2]!rng_ForecastRowLookup,0),MATCH(H$11,[2]!rng_ForecastColumnLookup,0))</f>
        <v>95.781648843565293</v>
      </c>
      <c r="I18" s="244">
        <f>INDEX([2]!tbl_Forecast,MATCH($D$8&amp;$C18&amp;$D$7,[2]!rng_ForecastRowLookup,0),MATCH(I$11,[2]!rng_ForecastColumnLookup,0))</f>
        <v>95.34105325888487</v>
      </c>
      <c r="J18" s="244">
        <f>INDEX([2]!tbl_Forecast,MATCH($D$8&amp;$C18&amp;$D$7,[2]!rng_ForecastRowLookup,0),MATCH(J$11,[2]!rng_ForecastColumnLookup,0))</f>
        <v>94.902484413894001</v>
      </c>
      <c r="K18" s="244">
        <f>INDEX([2]!tbl_Forecast,MATCH($D$8&amp;$C18&amp;$D$7,[2]!rng_ForecastRowLookup,0),MATCH(K$11,[2]!rng_ForecastColumnLookup,0))</f>
        <v>94.465932985590086</v>
      </c>
      <c r="L18" s="244">
        <f>INDEX([2]!tbl_Forecast,MATCH($D$8&amp;$C18&amp;$D$7,[2]!rng_ForecastRowLookup,0),MATCH(L$11,[2]!rng_ForecastColumnLookup,0))</f>
        <v>94.031389693856369</v>
      </c>
      <c r="M18" s="244">
        <f>INDEX([2]!tbl_Forecast,MATCH($D$8&amp;$C18&amp;$D$7,[2]!rng_ForecastRowLookup,0),MATCH(M$11,[2]!rng_ForecastColumnLookup,0))</f>
        <v>93.598845301264618</v>
      </c>
      <c r="N18" s="244">
        <f>INDEX([2]!tbl_Forecast,MATCH($D$8&amp;$C18&amp;$D$7,[2]!rng_ForecastRowLookup,0),MATCH(N$11,[2]!rng_ForecastColumnLookup,0))</f>
        <v>93.168290612878806</v>
      </c>
      <c r="O18" s="244">
        <f>INDEX([2]!tbl_Forecast,MATCH($D$8&amp;$C18&amp;$D$7,[2]!rng_ForecastRowLookup,0),MATCH(O$11,[2]!rng_ForecastColumnLookup,0))</f>
        <v>92.739716476059556</v>
      </c>
      <c r="P18" s="244">
        <f>INDEX([2]!tbl_Forecast,MATCH($D$8&amp;$C18&amp;$D$7,[2]!rng_ForecastRowLookup,0),MATCH(P$11,[2]!rng_ForecastColumnLookup,0))</f>
        <v>92.313113780269674</v>
      </c>
      <c r="Q18" s="244">
        <f>INDEX([2]!tbl_Forecast,MATCH($D$8&amp;$C18&amp;$D$7,[2]!rng_ForecastRowLookup,0),MATCH(Q$11,[2]!rng_ForecastColumnLookup,0))</f>
        <v>91.888473456880433</v>
      </c>
      <c r="R18" s="244">
        <f>INDEX([2]!tbl_Forecast,MATCH($D$8&amp;$C18&amp;$D$7,[2]!rng_ForecastRowLookup,0),MATCH(R$11,[2]!rng_ForecastColumnLookup,0))</f>
        <v>91.465786478978771</v>
      </c>
      <c r="S18" s="244">
        <f>INDEX([2]!tbl_Forecast,MATCH($D$8&amp;$C18&amp;$D$7,[2]!rng_ForecastRowLookup,0),MATCH(S$11,[2]!rng_ForecastColumnLookup,0))</f>
        <v>91.045043861175472</v>
      </c>
      <c r="T18" s="244">
        <f>INDEX([2]!tbl_Forecast,MATCH($D$8&amp;$C18&amp;$D$7,[2]!rng_ForecastRowLookup,0),MATCH(T$11,[2]!rng_ForecastColumnLookup,0))</f>
        <v>90.626236659414062</v>
      </c>
      <c r="U18" s="244">
        <f>INDEX([2]!tbl_Forecast,MATCH($D$8&amp;$C18&amp;$D$7,[2]!rng_ForecastRowLookup,0),MATCH(U$11,[2]!rng_ForecastColumnLookup,0))</f>
        <v>90.209355970780734</v>
      </c>
      <c r="V18" s="244">
        <f>INDEX([2]!tbl_Forecast,MATCH($D$8&amp;$C18&amp;$D$7,[2]!rng_ForecastRowLookup,0),MATCH(V$11,[2]!rng_ForecastColumnLookup,0))</f>
        <v>89.794392933315152</v>
      </c>
      <c r="W18" s="244">
        <f>INDEX([2]!tbl_Forecast,MATCH($D$8&amp;$C18&amp;$D$7,[2]!rng_ForecastRowLookup,0),MATCH(W$11,[2]!rng_ForecastColumnLookup,0))</f>
        <v>89.381338725821905</v>
      </c>
      <c r="X18" s="244">
        <f>INDEX([2]!tbl_Forecast,MATCH($D$8&amp;$C18&amp;$D$7,[2]!rng_ForecastRowLookup,0),MATCH(X$11,[2]!rng_ForecastColumnLookup,0))</f>
        <v>88.97018456768312</v>
      </c>
      <c r="Y18" s="250"/>
      <c r="Z18" s="198"/>
    </row>
    <row r="19" spans="1:26">
      <c r="B19" s="24"/>
      <c r="C19" s="24" t="s">
        <v>810</v>
      </c>
      <c r="D19" s="24">
        <v>7</v>
      </c>
      <c r="E19" s="244">
        <f>INDEX([2]!tbl_Forecast,MATCH($D$8&amp;$C19&amp;$D$7,[2]!rng_ForecastRowLookup,0),MATCH(E$11,[2]!rng_ForecastColumnLookup,0))</f>
        <v>109.47966092768364</v>
      </c>
      <c r="F19" s="244">
        <f>INDEX([2]!tbl_Forecast,MATCH($D$8&amp;$C19&amp;$D$7,[2]!rng_ForecastRowLookup,0),MATCH(F$11,[2]!rng_ForecastColumnLookup,0))</f>
        <v>108.97605448741629</v>
      </c>
      <c r="G19" s="244">
        <f>INDEX([2]!tbl_Forecast,MATCH($D$8&amp;$C19&amp;$D$7,[2]!rng_ForecastRowLookup,0),MATCH(G$11,[2]!rng_ForecastColumnLookup,0))</f>
        <v>108.47476463677417</v>
      </c>
      <c r="H19" s="244">
        <f>INDEX([2]!tbl_Forecast,MATCH($D$8&amp;$C19&amp;$D$7,[2]!rng_ForecastRowLookup,0),MATCH(H$11,[2]!rng_ForecastColumnLookup,0))</f>
        <v>107.975780719445</v>
      </c>
      <c r="I19" s="244">
        <f>INDEX([2]!tbl_Forecast,MATCH($D$8&amp;$C19&amp;$D$7,[2]!rng_ForecastRowLookup,0),MATCH(I$11,[2]!rng_ForecastColumnLookup,0))</f>
        <v>107.47909212813555</v>
      </c>
      <c r="J19" s="244">
        <f>INDEX([2]!tbl_Forecast,MATCH($D$8&amp;$C19&amp;$D$7,[2]!rng_ForecastRowLookup,0),MATCH(J$11,[2]!rng_ForecastColumnLookup,0))</f>
        <v>106.98468830434612</v>
      </c>
      <c r="K19" s="244">
        <f>INDEX([2]!tbl_Forecast,MATCH($D$8&amp;$C19&amp;$D$7,[2]!rng_ForecastRowLookup,0),MATCH(K$11,[2]!rng_ForecastColumnLookup,0))</f>
        <v>106.49255873814613</v>
      </c>
      <c r="L19" s="244">
        <f>INDEX([2]!tbl_Forecast,MATCH($D$8&amp;$C19&amp;$D$7,[2]!rng_ForecastRowLookup,0),MATCH(L$11,[2]!rng_ForecastColumnLookup,0))</f>
        <v>106.00269296795065</v>
      </c>
      <c r="M19" s="244">
        <f>INDEX([2]!tbl_Forecast,MATCH($D$8&amp;$C19&amp;$D$7,[2]!rng_ForecastRowLookup,0),MATCH(M$11,[2]!rng_ForecastColumnLookup,0))</f>
        <v>105.51508058029808</v>
      </c>
      <c r="N19" s="244">
        <f>INDEX([2]!tbl_Forecast,MATCH($D$8&amp;$C19&amp;$D$7,[2]!rng_ForecastRowLookup,0),MATCH(N$11,[2]!rng_ForecastColumnLookup,0))</f>
        <v>105.0297112096287</v>
      </c>
      <c r="O19" s="244">
        <f>INDEX([2]!tbl_Forecast,MATCH($D$8&amp;$C19&amp;$D$7,[2]!rng_ForecastRowLookup,0),MATCH(O$11,[2]!rng_ForecastColumnLookup,0))</f>
        <v>104.54657453806439</v>
      </c>
      <c r="P19" s="244">
        <f>INDEX([2]!tbl_Forecast,MATCH($D$8&amp;$C19&amp;$D$7,[2]!rng_ForecastRowLookup,0),MATCH(P$11,[2]!rng_ForecastColumnLookup,0))</f>
        <v>104.0656602951893</v>
      </c>
      <c r="Q19" s="244">
        <f>INDEX([2]!tbl_Forecast,MATCH($D$8&amp;$C19&amp;$D$7,[2]!rng_ForecastRowLookup,0),MATCH(Q$11,[2]!rng_ForecastColumnLookup,0))</f>
        <v>103.58695825783141</v>
      </c>
      <c r="R19" s="244">
        <f>INDEX([2]!tbl_Forecast,MATCH($D$8&amp;$C19&amp;$D$7,[2]!rng_ForecastRowLookup,0),MATCH(R$11,[2]!rng_ForecastColumnLookup,0))</f>
        <v>103.11045824984539</v>
      </c>
      <c r="S19" s="244">
        <f>INDEX([2]!tbl_Forecast,MATCH($D$8&amp;$C19&amp;$D$7,[2]!rng_ForecastRowLookup,0),MATCH(S$11,[2]!rng_ForecastColumnLookup,0))</f>
        <v>102.6361501418961</v>
      </c>
      <c r="T19" s="244">
        <f>INDEX([2]!tbl_Forecast,MATCH($D$8&amp;$C19&amp;$D$7,[2]!rng_ForecastRowLookup,0),MATCH(T$11,[2]!rng_ForecastColumnLookup,0))</f>
        <v>102.16402385124337</v>
      </c>
      <c r="U19" s="244">
        <f>INDEX([2]!tbl_Forecast,MATCH($D$8&amp;$C19&amp;$D$7,[2]!rng_ForecastRowLookup,0),MATCH(U$11,[2]!rng_ForecastColumnLookup,0))</f>
        <v>101.69406934152764</v>
      </c>
      <c r="V19" s="244">
        <f>INDEX([2]!tbl_Forecast,MATCH($D$8&amp;$C19&amp;$D$7,[2]!rng_ForecastRowLookup,0),MATCH(V$11,[2]!rng_ForecastColumnLookup,0))</f>
        <v>101.2262766225566</v>
      </c>
      <c r="W19" s="244">
        <f>INDEX([2]!tbl_Forecast,MATCH($D$8&amp;$C19&amp;$D$7,[2]!rng_ForecastRowLookup,0),MATCH(W$11,[2]!rng_ForecastColumnLookup,0))</f>
        <v>100.76063575009285</v>
      </c>
      <c r="X19" s="244">
        <f>INDEX([2]!tbl_Forecast,MATCH($D$8&amp;$C19&amp;$D$7,[2]!rng_ForecastRowLookup,0),MATCH(X$11,[2]!rng_ForecastColumnLookup,0))</f>
        <v>100.29713682564241</v>
      </c>
      <c r="Y19" s="250"/>
      <c r="Z19" s="198"/>
    </row>
    <row r="20" spans="1:26">
      <c r="B20" s="24"/>
      <c r="C20" s="24" t="s">
        <v>103</v>
      </c>
      <c r="D20" s="24">
        <v>8</v>
      </c>
      <c r="E20" s="244">
        <f>INDEX([2]!tbl_Forecast,MATCH($D$8&amp;$C20&amp;$D$7,[2]!rng_ForecastRowLookup,0),MATCH(E$11,[2]!rng_ForecastColumnLookup,0))</f>
        <v>241.11763975818661</v>
      </c>
      <c r="F20" s="244">
        <f>INDEX([2]!tbl_Forecast,MATCH($D$8&amp;$C20&amp;$D$7,[2]!rng_ForecastRowLookup,0),MATCH(F$11,[2]!rng_ForecastColumnLookup,0))</f>
        <v>240.12905743517803</v>
      </c>
      <c r="G20" s="244">
        <f>INDEX([2]!tbl_Forecast,MATCH($D$8&amp;$C20&amp;$D$7,[2]!rng_ForecastRowLookup,0),MATCH(G$11,[2]!rng_ForecastColumnLookup,0))</f>
        <v>239.14452829969383</v>
      </c>
      <c r="H20" s="244">
        <f>INDEX([2]!tbl_Forecast,MATCH($D$8&amp;$C20&amp;$D$7,[2]!rng_ForecastRowLookup,0),MATCH(H$11,[2]!rng_ForecastColumnLookup,0))</f>
        <v>238.16403573366509</v>
      </c>
      <c r="I20" s="244">
        <f>INDEX([2]!tbl_Forecast,MATCH($D$8&amp;$C20&amp;$D$7,[2]!rng_ForecastRowLookup,0),MATCH(I$11,[2]!rng_ForecastColumnLookup,0))</f>
        <v>237.18756318715711</v>
      </c>
      <c r="J20" s="244">
        <f>INDEX([2]!tbl_Forecast,MATCH($D$8&amp;$C20&amp;$D$7,[2]!rng_ForecastRowLookup,0),MATCH(J$11,[2]!rng_ForecastColumnLookup,0))</f>
        <v>236.21509417808971</v>
      </c>
      <c r="K20" s="244">
        <f>INDEX([2]!tbl_Forecast,MATCH($D$8&amp;$C20&amp;$D$7,[2]!rng_ForecastRowLookup,0),MATCH(K$11,[2]!rng_ForecastColumnLookup,0))</f>
        <v>235.24661229195956</v>
      </c>
      <c r="L20" s="244">
        <f>INDEX([2]!tbl_Forecast,MATCH($D$8&amp;$C20&amp;$D$7,[2]!rng_ForecastRowLookup,0),MATCH(L$11,[2]!rng_ForecastColumnLookup,0))</f>
        <v>234.28210118156252</v>
      </c>
      <c r="M20" s="244">
        <f>INDEX([2]!tbl_Forecast,MATCH($D$8&amp;$C20&amp;$D$7,[2]!rng_ForecastRowLookup,0),MATCH(M$11,[2]!rng_ForecastColumnLookup,0))</f>
        <v>233.32154456671807</v>
      </c>
      <c r="N20" s="244">
        <f>INDEX([2]!tbl_Forecast,MATCH($D$8&amp;$C20&amp;$D$7,[2]!rng_ForecastRowLookup,0),MATCH(N$11,[2]!rng_ForecastColumnLookup,0))</f>
        <v>232.36492623399457</v>
      </c>
      <c r="O20" s="244">
        <f>INDEX([2]!tbl_Forecast,MATCH($D$8&amp;$C20&amp;$D$7,[2]!rng_ForecastRowLookup,0),MATCH(O$11,[2]!rng_ForecastColumnLookup,0))</f>
        <v>231.41223003643518</v>
      </c>
      <c r="P20" s="244">
        <f>INDEX([2]!tbl_Forecast,MATCH($D$8&amp;$C20&amp;$D$7,[2]!rng_ForecastRowLookup,0),MATCH(P$11,[2]!rng_ForecastColumnLookup,0))</f>
        <v>230.46343989328579</v>
      </c>
      <c r="Q20" s="244">
        <f>INDEX([2]!tbl_Forecast,MATCH($D$8&amp;$C20&amp;$D$7,[2]!rng_ForecastRowLookup,0),MATCH(Q$11,[2]!rng_ForecastColumnLookup,0))</f>
        <v>229.51853978972335</v>
      </c>
      <c r="R20" s="244">
        <f>INDEX([2]!tbl_Forecast,MATCH($D$8&amp;$C20&amp;$D$7,[2]!rng_ForecastRowLookup,0),MATCH(R$11,[2]!rng_ForecastColumnLookup,0))</f>
        <v>228.57751377658545</v>
      </c>
      <c r="S20" s="244">
        <f>INDEX([2]!tbl_Forecast,MATCH($D$8&amp;$C20&amp;$D$7,[2]!rng_ForecastRowLookup,0),MATCH(S$11,[2]!rng_ForecastColumnLookup,0))</f>
        <v>227.64034597010144</v>
      </c>
      <c r="T20" s="244">
        <f>INDEX([2]!tbl_Forecast,MATCH($D$8&amp;$C20&amp;$D$7,[2]!rng_ForecastRowLookup,0),MATCH(T$11,[2]!rng_ForecastColumnLookup,0))</f>
        <v>226.70702055162403</v>
      </c>
      <c r="U20" s="244">
        <f>INDEX([2]!tbl_Forecast,MATCH($D$8&amp;$C20&amp;$D$7,[2]!rng_ForecastRowLookup,0),MATCH(U$11,[2]!rng_ForecastColumnLookup,0))</f>
        <v>225.77752176736234</v>
      </c>
      <c r="V20" s="244">
        <f>INDEX([2]!tbl_Forecast,MATCH($D$8&amp;$C20&amp;$D$7,[2]!rng_ForecastRowLookup,0),MATCH(V$11,[2]!rng_ForecastColumnLookup,0))</f>
        <v>224.85183392811618</v>
      </c>
      <c r="W20" s="244">
        <f>INDEX([2]!tbl_Forecast,MATCH($D$8&amp;$C20&amp;$D$7,[2]!rng_ForecastRowLookup,0),MATCH(W$11,[2]!rng_ForecastColumnLookup,0))</f>
        <v>223.92994140901092</v>
      </c>
      <c r="X20" s="244">
        <f>INDEX([2]!tbl_Forecast,MATCH($D$8&amp;$C20&amp;$D$7,[2]!rng_ForecastRowLookup,0),MATCH(X$11,[2]!rng_ForecastColumnLookup,0))</f>
        <v>223.01182864923393</v>
      </c>
      <c r="Y20" s="250"/>
      <c r="Z20" s="198"/>
    </row>
    <row r="21" spans="1:26">
      <c r="B21" s="24"/>
      <c r="C21" s="24" t="s">
        <v>813</v>
      </c>
      <c r="D21" s="280">
        <v>9</v>
      </c>
      <c r="E21" s="244">
        <f>INDEX([2]!tbl_Forecast,MATCH($D$8&amp;$C21&amp;$D$7,[2]!rng_ForecastRowLookup,0),MATCH(E$11,[2]!rng_ForecastColumnLookup,0))</f>
        <v>122.15340627232256</v>
      </c>
      <c r="F21" s="244">
        <f>INDEX([2]!tbl_Forecast,MATCH($D$8&amp;$C21&amp;$D$7,[2]!rng_ForecastRowLookup,0),MATCH(F$11,[2]!rng_ForecastColumnLookup,0))</f>
        <v>121.65257730660603</v>
      </c>
      <c r="G21" s="244">
        <f>INDEX([2]!tbl_Forecast,MATCH($D$8&amp;$C21&amp;$D$7,[2]!rng_ForecastRowLookup,0),MATCH(G$11,[2]!rng_ForecastColumnLookup,0))</f>
        <v>121.15380173964894</v>
      </c>
      <c r="H21" s="244">
        <f>INDEX([2]!tbl_Forecast,MATCH($D$8&amp;$C21&amp;$D$7,[2]!rng_ForecastRowLookup,0),MATCH(H$11,[2]!rng_ForecastColumnLookup,0))</f>
        <v>120.65707115251638</v>
      </c>
      <c r="I21" s="244">
        <f>INDEX([2]!tbl_Forecast,MATCH($D$8&amp;$C21&amp;$D$7,[2]!rng_ForecastRowLookup,0),MATCH(I$11,[2]!rng_ForecastColumnLookup,0))</f>
        <v>120.16237716079107</v>
      </c>
      <c r="J21" s="244">
        <f>INDEX([2]!tbl_Forecast,MATCH($D$8&amp;$C21&amp;$D$7,[2]!rng_ForecastRowLookup,0),MATCH(J$11,[2]!rng_ForecastColumnLookup,0))</f>
        <v>119.66971141443182</v>
      </c>
      <c r="K21" s="244">
        <f>INDEX([2]!tbl_Forecast,MATCH($D$8&amp;$C21&amp;$D$7,[2]!rng_ForecastRowLookup,0),MATCH(K$11,[2]!rng_ForecastColumnLookup,0))</f>
        <v>119.17906559763266</v>
      </c>
      <c r="L21" s="244">
        <f>INDEX([2]!tbl_Forecast,MATCH($D$8&amp;$C21&amp;$D$7,[2]!rng_ForecastRowLookup,0),MATCH(L$11,[2]!rng_ForecastColumnLookup,0))</f>
        <v>118.69043142868237</v>
      </c>
      <c r="M21" s="244">
        <f>INDEX([2]!tbl_Forecast,MATCH($D$8&amp;$C21&amp;$D$7,[2]!rng_ForecastRowLookup,0),MATCH(M$11,[2]!rng_ForecastColumnLookup,0))</f>
        <v>118.20380065982476</v>
      </c>
      <c r="N21" s="244">
        <f>INDEX([2]!tbl_Forecast,MATCH($D$8&amp;$C21&amp;$D$7,[2]!rng_ForecastRowLookup,0),MATCH(N$11,[2]!rng_ForecastColumnLookup,0))</f>
        <v>117.71916507711948</v>
      </c>
      <c r="O21" s="244">
        <f>INDEX([2]!tbl_Forecast,MATCH($D$8&amp;$C21&amp;$D$7,[2]!rng_ForecastRowLookup,0),MATCH(O$11,[2]!rng_ForecastColumnLookup,0))</f>
        <v>117.23651650030328</v>
      </c>
      <c r="P21" s="244">
        <f>INDEX([2]!tbl_Forecast,MATCH($D$8&amp;$C21&amp;$D$7,[2]!rng_ForecastRowLookup,0),MATCH(P$11,[2]!rng_ForecastColumnLookup,0))</f>
        <v>116.75584678265207</v>
      </c>
      <c r="Q21" s="244">
        <f>INDEX([2]!tbl_Forecast,MATCH($D$8&amp;$C21&amp;$D$7,[2]!rng_ForecastRowLookup,0),MATCH(Q$11,[2]!rng_ForecastColumnLookup,0))</f>
        <v>116.27714781084319</v>
      </c>
      <c r="R21" s="244">
        <f>INDEX([2]!tbl_Forecast,MATCH($D$8&amp;$C21&amp;$D$7,[2]!rng_ForecastRowLookup,0),MATCH(R$11,[2]!rng_ForecastColumnLookup,0))</f>
        <v>115.80041150481873</v>
      </c>
      <c r="S21" s="244">
        <f>INDEX([2]!tbl_Forecast,MATCH($D$8&amp;$C21&amp;$D$7,[2]!rng_ForecastRowLookup,0),MATCH(S$11,[2]!rng_ForecastColumnLookup,0))</f>
        <v>115.32562981764897</v>
      </c>
      <c r="T21" s="244">
        <f>INDEX([2]!tbl_Forecast,MATCH($D$8&amp;$C21&amp;$D$7,[2]!rng_ForecastRowLookup,0),MATCH(T$11,[2]!rng_ForecastColumnLookup,0))</f>
        <v>114.8527947353966</v>
      </c>
      <c r="U21" s="244">
        <f>INDEX([2]!tbl_Forecast,MATCH($D$8&amp;$C21&amp;$D$7,[2]!rng_ForecastRowLookup,0),MATCH(U$11,[2]!rng_ForecastColumnLookup,0))</f>
        <v>114.38189827698147</v>
      </c>
      <c r="V21" s="244">
        <f>INDEX([2]!tbl_Forecast,MATCH($D$8&amp;$C21&amp;$D$7,[2]!rng_ForecastRowLookup,0),MATCH(V$11,[2]!rng_ForecastColumnLookup,0))</f>
        <v>113.91293249404585</v>
      </c>
      <c r="W21" s="244">
        <f>INDEX([2]!tbl_Forecast,MATCH($D$8&amp;$C21&amp;$D$7,[2]!rng_ForecastRowLookup,0),MATCH(W$11,[2]!rng_ForecastColumnLookup,0))</f>
        <v>113.44588947082025</v>
      </c>
      <c r="X21" s="244">
        <f>INDEX([2]!tbl_Forecast,MATCH($D$8&amp;$C21&amp;$D$7,[2]!rng_ForecastRowLookup,0),MATCH(X$11,[2]!rng_ForecastColumnLookup,0))</f>
        <v>112.98076132398991</v>
      </c>
      <c r="Y21" s="250"/>
      <c r="Z21" s="198"/>
    </row>
    <row r="22" spans="1:26">
      <c r="B22" s="24"/>
      <c r="C22" s="24" t="s">
        <v>108</v>
      </c>
      <c r="D22" s="280">
        <v>10</v>
      </c>
      <c r="E22" s="244">
        <f>INDEX([2]!tbl_Forecast,MATCH($D$8&amp;$C22&amp;$D$7,[2]!rng_ForecastRowLookup,0),MATCH(E$11,[2]!rng_ForecastColumnLookup,0))</f>
        <v>448.69829599576161</v>
      </c>
      <c r="F22" s="244">
        <f>INDEX([2]!tbl_Forecast,MATCH($D$8&amp;$C22&amp;$D$7,[2]!rng_ForecastRowLookup,0),MATCH(F$11,[2]!rng_ForecastColumnLookup,0))</f>
        <v>447.03811230057732</v>
      </c>
      <c r="G22" s="244">
        <f>INDEX([2]!tbl_Forecast,MATCH($D$8&amp;$C22&amp;$D$7,[2]!rng_ForecastRowLookup,0),MATCH(G$11,[2]!rng_ForecastColumnLookup,0))</f>
        <v>445.3840712850652</v>
      </c>
      <c r="H22" s="244">
        <f>INDEX([2]!tbl_Forecast,MATCH($D$8&amp;$C22&amp;$D$7,[2]!rng_ForecastRowLookup,0),MATCH(H$11,[2]!rng_ForecastColumnLookup,0))</f>
        <v>443.73615022131042</v>
      </c>
      <c r="I22" s="244">
        <f>INDEX([2]!tbl_Forecast,MATCH($D$8&amp;$C22&amp;$D$7,[2]!rng_ForecastRowLookup,0),MATCH(I$11,[2]!rng_ForecastColumnLookup,0))</f>
        <v>442.09432646549152</v>
      </c>
      <c r="J22" s="244">
        <f>INDEX([2]!tbl_Forecast,MATCH($D$8&amp;$C22&amp;$D$7,[2]!rng_ForecastRowLookup,0),MATCH(J$11,[2]!rng_ForecastColumnLookup,0))</f>
        <v>440.45857745756916</v>
      </c>
      <c r="K22" s="244">
        <f>INDEX([2]!tbl_Forecast,MATCH($D$8&amp;$C22&amp;$D$7,[2]!rng_ForecastRowLookup,0),MATCH(K$11,[2]!rng_ForecastColumnLookup,0))</f>
        <v>438.82888072097626</v>
      </c>
      <c r="L22" s="244">
        <f>INDEX([2]!tbl_Forecast,MATCH($D$8&amp;$C22&amp;$D$7,[2]!rng_ForecastRowLookup,0),MATCH(L$11,[2]!rng_ForecastColumnLookup,0))</f>
        <v>437.2052138623086</v>
      </c>
      <c r="M22" s="244">
        <f>INDEX([2]!tbl_Forecast,MATCH($D$8&amp;$C22&amp;$D$7,[2]!rng_ForecastRowLookup,0),MATCH(M$11,[2]!rng_ForecastColumnLookup,0))</f>
        <v>435.58755457101802</v>
      </c>
      <c r="N22" s="244">
        <f>INDEX([2]!tbl_Forecast,MATCH($D$8&amp;$C22&amp;$D$7,[2]!rng_ForecastRowLookup,0),MATCH(N$11,[2]!rng_ForecastColumnLookup,0))</f>
        <v>433.97588061910528</v>
      </c>
      <c r="O22" s="244">
        <f>INDEX([2]!tbl_Forecast,MATCH($D$8&amp;$C22&amp;$D$7,[2]!rng_ForecastRowLookup,0),MATCH(O$11,[2]!rng_ForecastColumnLookup,0))</f>
        <v>432.37016986081449</v>
      </c>
      <c r="P22" s="244">
        <f>INDEX([2]!tbl_Forecast,MATCH($D$8&amp;$C22&amp;$D$7,[2]!rng_ForecastRowLookup,0),MATCH(P$11,[2]!rng_ForecastColumnLookup,0))</f>
        <v>430.77040023232951</v>
      </c>
      <c r="Q22" s="244">
        <f>INDEX([2]!tbl_Forecast,MATCH($D$8&amp;$C22&amp;$D$7,[2]!rng_ForecastRowLookup,0),MATCH(Q$11,[2]!rng_ForecastColumnLookup,0))</f>
        <v>429.17654975146979</v>
      </c>
      <c r="R22" s="244">
        <f>INDEX([2]!tbl_Forecast,MATCH($D$8&amp;$C22&amp;$D$7,[2]!rng_ForecastRowLookup,0),MATCH(R$11,[2]!rng_ForecastColumnLookup,0))</f>
        <v>427.58859651738936</v>
      </c>
      <c r="S22" s="244">
        <f>INDEX([2]!tbl_Forecast,MATCH($D$8&amp;$C22&amp;$D$7,[2]!rng_ForecastRowLookup,0),MATCH(S$11,[2]!rng_ForecastColumnLookup,0))</f>
        <v>426.00651871027503</v>
      </c>
      <c r="T22" s="244">
        <f>INDEX([2]!tbl_Forecast,MATCH($D$8&amp;$C22&amp;$D$7,[2]!rng_ForecastRowLookup,0),MATCH(T$11,[2]!rng_ForecastColumnLookup,0))</f>
        <v>424.43029459104702</v>
      </c>
      <c r="U22" s="244">
        <f>INDEX([2]!tbl_Forecast,MATCH($D$8&amp;$C22&amp;$D$7,[2]!rng_ForecastRowLookup,0),MATCH(U$11,[2]!rng_ForecastColumnLookup,0))</f>
        <v>422.85990250106011</v>
      </c>
      <c r="V22" s="244">
        <f>INDEX([2]!tbl_Forecast,MATCH($D$8&amp;$C22&amp;$D$7,[2]!rng_ForecastRowLookup,0),MATCH(V$11,[2]!rng_ForecastColumnLookup,0))</f>
        <v>421.2953208618062</v>
      </c>
      <c r="W22" s="244">
        <f>INDEX([2]!tbl_Forecast,MATCH($D$8&amp;$C22&amp;$D$7,[2]!rng_ForecastRowLookup,0),MATCH(W$11,[2]!rng_ForecastColumnLookup,0))</f>
        <v>419.73652817461749</v>
      </c>
      <c r="X22" s="244">
        <f>INDEX([2]!tbl_Forecast,MATCH($D$8&amp;$C22&amp;$D$7,[2]!rng_ForecastRowLookup,0),MATCH(X$11,[2]!rng_ForecastColumnLookup,0))</f>
        <v>418.18350302037135</v>
      </c>
      <c r="Y22" s="250"/>
      <c r="Z22" s="198"/>
    </row>
    <row r="23" spans="1:26">
      <c r="B23" s="24"/>
      <c r="C23" s="24" t="s">
        <v>816</v>
      </c>
      <c r="D23" s="24">
        <v>11</v>
      </c>
      <c r="E23" s="244">
        <f>INDEX([2]!tbl_Forecast,MATCH($D$8&amp;$C23&amp;$D$7,[2]!rng_ForecastRowLookup,0),MATCH(E$11,[2]!rng_ForecastColumnLookup,0))</f>
        <v>53.720939527021244</v>
      </c>
      <c r="F23" s="244">
        <f>INDEX([2]!tbl_Forecast,MATCH($D$8&amp;$C23&amp;$D$7,[2]!rng_ForecastRowLookup,0),MATCH(F$11,[2]!rng_ForecastColumnLookup,0))</f>
        <v>53.237451071278059</v>
      </c>
      <c r="G23" s="244">
        <f>INDEX([2]!tbl_Forecast,MATCH($D$8&amp;$C23&amp;$D$7,[2]!rng_ForecastRowLookup,0),MATCH(G$11,[2]!rng_ForecastColumnLookup,0))</f>
        <v>52.758314011636557</v>
      </c>
      <c r="H23" s="244">
        <f>INDEX([2]!tbl_Forecast,MATCH($D$8&amp;$C23&amp;$D$7,[2]!rng_ForecastRowLookup,0),MATCH(H$11,[2]!rng_ForecastColumnLookup,0))</f>
        <v>52.283489185531828</v>
      </c>
      <c r="I23" s="244">
        <f>INDEX([2]!tbl_Forecast,MATCH($D$8&amp;$C23&amp;$D$7,[2]!rng_ForecastRowLookup,0),MATCH(I$11,[2]!rng_ForecastColumnLookup,0))</f>
        <v>51.812937782862043</v>
      </c>
      <c r="J23" s="244">
        <f>INDEX([2]!tbl_Forecast,MATCH($D$8&amp;$C23&amp;$D$7,[2]!rng_ForecastRowLookup,0),MATCH(J$11,[2]!rng_ForecastColumnLookup,0))</f>
        <v>51.346621342816277</v>
      </c>
      <c r="K23" s="244">
        <f>INDEX([2]!tbl_Forecast,MATCH($D$8&amp;$C23&amp;$D$7,[2]!rng_ForecastRowLookup,0),MATCH(K$11,[2]!rng_ForecastColumnLookup,0))</f>
        <v>50.884501750730934</v>
      </c>
      <c r="L23" s="244">
        <f>INDEX([2]!tbl_Forecast,MATCH($D$8&amp;$C23&amp;$D$7,[2]!rng_ForecastRowLookup,0),MATCH(L$11,[2]!rng_ForecastColumnLookup,0))</f>
        <v>50.426541234974358</v>
      </c>
      <c r="M23" s="244">
        <f>INDEX([2]!tbl_Forecast,MATCH($D$8&amp;$C23&amp;$D$7,[2]!rng_ForecastRowLookup,0),MATCH(M$11,[2]!rng_ForecastColumnLookup,0))</f>
        <v>49.97270236385959</v>
      </c>
      <c r="N23" s="244">
        <f>INDEX([2]!tbl_Forecast,MATCH($D$8&amp;$C23&amp;$D$7,[2]!rng_ForecastRowLookup,0),MATCH(N$11,[2]!rng_ForecastColumnLookup,0))</f>
        <v>49.522948042584851</v>
      </c>
      <c r="O23" s="244">
        <f>INDEX([2]!tbl_Forecast,MATCH($D$8&amp;$C23&amp;$D$7,[2]!rng_ForecastRowLookup,0),MATCH(O$11,[2]!rng_ForecastColumnLookup,0))</f>
        <v>49.077241510201581</v>
      </c>
      <c r="P23" s="244">
        <f>INDEX([2]!tbl_Forecast,MATCH($D$8&amp;$C23&amp;$D$7,[2]!rng_ForecastRowLookup,0),MATCH(P$11,[2]!rng_ForecastColumnLookup,0))</f>
        <v>48.635546336609778</v>
      </c>
      <c r="Q23" s="244">
        <f>INDEX([2]!tbl_Forecast,MATCH($D$8&amp;$C23&amp;$D$7,[2]!rng_ForecastRowLookup,0),MATCH(Q$11,[2]!rng_ForecastColumnLookup,0))</f>
        <v>48.197826419580288</v>
      </c>
      <c r="R23" s="244">
        <f>INDEX([2]!tbl_Forecast,MATCH($D$8&amp;$C23&amp;$D$7,[2]!rng_ForecastRowLookup,0),MATCH(R$11,[2]!rng_ForecastColumnLookup,0))</f>
        <v>47.76404598180406</v>
      </c>
      <c r="S23" s="244">
        <f>INDEX([2]!tbl_Forecast,MATCH($D$8&amp;$C23&amp;$D$7,[2]!rng_ForecastRowLookup,0),MATCH(S$11,[2]!rng_ForecastColumnLookup,0))</f>
        <v>47.33416956796782</v>
      </c>
      <c r="T23" s="244">
        <f>INDEX([2]!tbl_Forecast,MATCH($D$8&amp;$C23&amp;$D$7,[2]!rng_ForecastRowLookup,0),MATCH(T$11,[2]!rng_ForecastColumnLookup,0))</f>
        <v>46.908162041856116</v>
      </c>
      <c r="U23" s="244">
        <f>INDEX([2]!tbl_Forecast,MATCH($D$8&amp;$C23&amp;$D$7,[2]!rng_ForecastRowLookup,0),MATCH(U$11,[2]!rng_ForecastColumnLookup,0))</f>
        <v>46.485988583479411</v>
      </c>
      <c r="V23" s="244">
        <f>INDEX([2]!tbl_Forecast,MATCH($D$8&amp;$C23&amp;$D$7,[2]!rng_ForecastRowLookup,0),MATCH(V$11,[2]!rng_ForecastColumnLookup,0))</f>
        <v>46.067614686228097</v>
      </c>
      <c r="W23" s="244">
        <f>INDEX([2]!tbl_Forecast,MATCH($D$8&amp;$C23&amp;$D$7,[2]!rng_ForecastRowLookup,0),MATCH(W$11,[2]!rng_ForecastColumnLookup,0))</f>
        <v>45.653006154052044</v>
      </c>
      <c r="X23" s="244">
        <f>INDEX([2]!tbl_Forecast,MATCH($D$8&amp;$C23&amp;$D$7,[2]!rng_ForecastRowLookup,0),MATCH(X$11,[2]!rng_ForecastColumnLookup,0))</f>
        <v>45.242129098665572</v>
      </c>
      <c r="Y23" s="250"/>
      <c r="Z23" s="198"/>
    </row>
    <row r="24" spans="1:26">
      <c r="B24" s="24"/>
      <c r="C24" s="24" t="s">
        <v>818</v>
      </c>
      <c r="D24" s="24">
        <v>12</v>
      </c>
      <c r="E24" s="244">
        <f>INDEX([2]!tbl_Forecast,MATCH($D$8&amp;$C24&amp;$D$7,[2]!rng_ForecastRowLookup,0),MATCH(E$11,[2]!rng_ForecastColumnLookup,0))</f>
        <v>22.491017060912501</v>
      </c>
      <c r="F24" s="244">
        <f>INDEX([2]!tbl_Forecast,MATCH($D$8&amp;$C24&amp;$D$7,[2]!rng_ForecastRowLookup,0),MATCH(F$11,[2]!rng_ForecastColumnLookup,0))</f>
        <v>22.384859460384995</v>
      </c>
      <c r="G24" s="244">
        <f>INDEX([2]!tbl_Forecast,MATCH($D$8&amp;$C24&amp;$D$7,[2]!rng_ForecastRowLookup,0),MATCH(G$11,[2]!rng_ForecastColumnLookup,0))</f>
        <v>22.279202923731983</v>
      </c>
      <c r="H24" s="244">
        <f>INDEX([2]!tbl_Forecast,MATCH($D$8&amp;$C24&amp;$D$7,[2]!rng_ForecastRowLookup,0),MATCH(H$11,[2]!rng_ForecastColumnLookup,0))</f>
        <v>22.174045085931969</v>
      </c>
      <c r="I24" s="244">
        <f>INDEX([2]!tbl_Forecast,MATCH($D$8&amp;$C24&amp;$D$7,[2]!rng_ForecastRowLookup,0),MATCH(I$11,[2]!rng_ForecastColumnLookup,0))</f>
        <v>22.069383593126368</v>
      </c>
      <c r="J24" s="244">
        <f>INDEX([2]!tbl_Forecast,MATCH($D$8&amp;$C24&amp;$D$7,[2]!rng_ForecastRowLookup,0),MATCH(J$11,[2]!rng_ForecastColumnLookup,0))</f>
        <v>21.965216102566814</v>
      </c>
      <c r="K24" s="244">
        <f>INDEX([2]!tbl_Forecast,MATCH($D$8&amp;$C24&amp;$D$7,[2]!rng_ForecastRowLookup,0),MATCH(K$11,[2]!rng_ForecastColumnLookup,0))</f>
        <v>21.8615402825627</v>
      </c>
      <c r="L24" s="244">
        <f>INDEX([2]!tbl_Forecast,MATCH($D$8&amp;$C24&amp;$D$7,[2]!rng_ForecastRowLookup,0),MATCH(L$11,[2]!rng_ForecastColumnLookup,0))</f>
        <v>21.758353812429004</v>
      </c>
      <c r="M24" s="244">
        <f>INDEX([2]!tbl_Forecast,MATCH($D$8&amp;$C24&amp;$D$7,[2]!rng_ForecastRowLookup,0),MATCH(M$11,[2]!rng_ForecastColumnLookup,0))</f>
        <v>21.655654382434342</v>
      </c>
      <c r="N24" s="244">
        <f>INDEX([2]!tbl_Forecast,MATCH($D$8&amp;$C24&amp;$D$7,[2]!rng_ForecastRowLookup,0),MATCH(N$11,[2]!rng_ForecastColumnLookup,0))</f>
        <v>21.553439693749251</v>
      </c>
      <c r="O24" s="244">
        <f>INDEX([2]!tbl_Forecast,MATCH($D$8&amp;$C24&amp;$D$7,[2]!rng_ForecastRowLookup,0),MATCH(O$11,[2]!rng_ForecastColumnLookup,0))</f>
        <v>21.451707458394754</v>
      </c>
      <c r="P24" s="244">
        <f>INDEX([2]!tbl_Forecast,MATCH($D$8&amp;$C24&amp;$D$7,[2]!rng_ForecastRowLookup,0),MATCH(P$11,[2]!rng_ForecastColumnLookup,0))</f>
        <v>21.350455399191134</v>
      </c>
      <c r="Q24" s="244">
        <f>INDEX([2]!tbl_Forecast,MATCH($D$8&amp;$C24&amp;$D$7,[2]!rng_ForecastRowLookup,0),MATCH(Q$11,[2]!rng_ForecastColumnLookup,0))</f>
        <v>21.249681249706953</v>
      </c>
      <c r="R24" s="244">
        <f>INDEX([2]!tbl_Forecast,MATCH($D$8&amp;$C24&amp;$D$7,[2]!rng_ForecastRowLookup,0),MATCH(R$11,[2]!rng_ForecastColumnLookup,0))</f>
        <v>21.149382754208336</v>
      </c>
      <c r="S24" s="244">
        <f>INDEX([2]!tbl_Forecast,MATCH($D$8&amp;$C24&amp;$D$7,[2]!rng_ForecastRowLookup,0),MATCH(S$11,[2]!rng_ForecastColumnLookup,0))</f>
        <v>21.049557667608472</v>
      </c>
      <c r="T24" s="244">
        <f>INDEX([2]!tbl_Forecast,MATCH($D$8&amp;$C24&amp;$D$7,[2]!rng_ForecastRowLookup,0),MATCH(T$11,[2]!rng_ForecastColumnLookup,0))</f>
        <v>20.950203755417366</v>
      </c>
      <c r="U24" s="244">
        <f>INDEX([2]!tbl_Forecast,MATCH($D$8&amp;$C24&amp;$D$7,[2]!rng_ForecastRowLookup,0),MATCH(U$11,[2]!rng_ForecastColumnLookup,0))</f>
        <v>20.851318793691796</v>
      </c>
      <c r="V24" s="244">
        <f>INDEX([2]!tbl_Forecast,MATCH($D$8&amp;$C24&amp;$D$7,[2]!rng_ForecastRowLookup,0),MATCH(V$11,[2]!rng_ForecastColumnLookup,0))</f>
        <v>20.75290056898557</v>
      </c>
      <c r="W24" s="244">
        <f>INDEX([2]!tbl_Forecast,MATCH($D$8&amp;$C24&amp;$D$7,[2]!rng_ForecastRowLookup,0),MATCH(W$11,[2]!rng_ForecastColumnLookup,0))</f>
        <v>20.654946878299963</v>
      </c>
      <c r="X24" s="244">
        <f>INDEX([2]!tbl_Forecast,MATCH($D$8&amp;$C24&amp;$D$7,[2]!rng_ForecastRowLookup,0),MATCH(X$11,[2]!rng_ForecastColumnLookup,0))</f>
        <v>20.557455529034385</v>
      </c>
      <c r="Y24" s="250"/>
      <c r="Z24" s="198"/>
    </row>
    <row r="25" spans="1:26">
      <c r="B25" s="24"/>
      <c r="C25" s="24" t="s">
        <v>118</v>
      </c>
      <c r="D25" s="24">
        <v>13</v>
      </c>
      <c r="E25" s="244">
        <f>INDEX([2]!tbl_Forecast,MATCH($D$8&amp;$C25&amp;$D$7,[2]!rng_ForecastRowLookup,0),MATCH(E$11,[2]!rng_ForecastColumnLookup,0))</f>
        <v>51.550857208753726</v>
      </c>
      <c r="F25" s="244">
        <f>INDEX([2]!tbl_Forecast,MATCH($D$8&amp;$C25&amp;$D$7,[2]!rng_ForecastRowLookup,0),MATCH(F$11,[2]!rng_ForecastColumnLookup,0))</f>
        <v>51.307537162728408</v>
      </c>
      <c r="G25" s="244">
        <f>INDEX([2]!tbl_Forecast,MATCH($D$8&amp;$C25&amp;$D$7,[2]!rng_ForecastRowLookup,0),MATCH(G$11,[2]!rng_ForecastColumnLookup,0))</f>
        <v>51.065365587320336</v>
      </c>
      <c r="H25" s="244">
        <f>INDEX([2]!tbl_Forecast,MATCH($D$8&amp;$C25&amp;$D$7,[2]!rng_ForecastRowLookup,0),MATCH(H$11,[2]!rng_ForecastColumnLookup,0))</f>
        <v>50.824337061748189</v>
      </c>
      <c r="I25" s="244">
        <f>INDEX([2]!tbl_Forecast,MATCH($D$8&amp;$C25&amp;$D$7,[2]!rng_ForecastRowLookup,0),MATCH(I$11,[2]!rng_ForecastColumnLookup,0))</f>
        <v>50.584446190816735</v>
      </c>
      <c r="J25" s="244">
        <f>INDEX([2]!tbl_Forecast,MATCH($D$8&amp;$C25&amp;$D$7,[2]!rng_ForecastRowLookup,0),MATCH(J$11,[2]!rng_ForecastColumnLookup,0))</f>
        <v>50.345687604796083</v>
      </c>
      <c r="K25" s="244">
        <f>INDEX([2]!tbl_Forecast,MATCH($D$8&amp;$C25&amp;$D$7,[2]!rng_ForecastRowLookup,0),MATCH(K$11,[2]!rng_ForecastColumnLookup,0))</f>
        <v>50.108055959301453</v>
      </c>
      <c r="L25" s="244">
        <f>INDEX([2]!tbl_Forecast,MATCH($D$8&amp;$C25&amp;$D$7,[2]!rng_ForecastRowLookup,0),MATCH(L$11,[2]!rng_ForecastColumnLookup,0))</f>
        <v>49.871545935173543</v>
      </c>
      <c r="M25" s="244">
        <f>INDEX([2]!tbl_Forecast,MATCH($D$8&amp;$C25&amp;$D$7,[2]!rng_ForecastRowLookup,0),MATCH(M$11,[2]!rng_ForecastColumnLookup,0))</f>
        <v>49.636152238359529</v>
      </c>
      <c r="N25" s="244">
        <f>INDEX([2]!tbl_Forecast,MATCH($D$8&amp;$C25&amp;$D$7,[2]!rng_ForecastRowLookup,0),MATCH(N$11,[2]!rng_ForecastColumnLookup,0))</f>
        <v>49.40186959979448</v>
      </c>
      <c r="O25" s="244">
        <f>INDEX([2]!tbl_Forecast,MATCH($D$8&amp;$C25&amp;$D$7,[2]!rng_ForecastRowLookup,0),MATCH(O$11,[2]!rng_ForecastColumnLookup,0))</f>
        <v>49.168692775283453</v>
      </c>
      <c r="P25" s="244">
        <f>INDEX([2]!tbl_Forecast,MATCH($D$8&amp;$C25&amp;$D$7,[2]!rng_ForecastRowLookup,0),MATCH(P$11,[2]!rng_ForecastColumnLookup,0))</f>
        <v>48.936616545384119</v>
      </c>
      <c r="Q25" s="244">
        <f>INDEX([2]!tbl_Forecast,MATCH($D$8&amp;$C25&amp;$D$7,[2]!rng_ForecastRowLookup,0),MATCH(Q$11,[2]!rng_ForecastColumnLookup,0))</f>
        <v>48.705635715289908</v>
      </c>
      <c r="R25" s="244">
        <f>INDEX([2]!tbl_Forecast,MATCH($D$8&amp;$C25&amp;$D$7,[2]!rng_ForecastRowLookup,0),MATCH(R$11,[2]!rng_ForecastColumnLookup,0))</f>
        <v>48.475745114713739</v>
      </c>
      <c r="S25" s="244">
        <f>INDEX([2]!tbl_Forecast,MATCH($D$8&amp;$C25&amp;$D$7,[2]!rng_ForecastRowLookup,0),MATCH(S$11,[2]!rng_ForecastColumnLookup,0))</f>
        <v>48.246939597772297</v>
      </c>
      <c r="T25" s="244">
        <f>INDEX([2]!tbl_Forecast,MATCH($D$8&amp;$C25&amp;$D$7,[2]!rng_ForecastRowLookup,0),MATCH(T$11,[2]!rng_ForecastColumnLookup,0))</f>
        <v>48.019214042870807</v>
      </c>
      <c r="U25" s="244">
        <f>INDEX([2]!tbl_Forecast,MATCH($D$8&amp;$C25&amp;$D$7,[2]!rng_ForecastRowLookup,0),MATCH(U$11,[2]!rng_ForecastColumnLookup,0))</f>
        <v>47.792563352588466</v>
      </c>
      <c r="V25" s="244">
        <f>INDEX([2]!tbl_Forecast,MATCH($D$8&amp;$C25&amp;$D$7,[2]!rng_ForecastRowLookup,0),MATCH(V$11,[2]!rng_ForecastColumnLookup,0))</f>
        <v>47.56698245356425</v>
      </c>
      <c r="W25" s="244">
        <f>INDEX([2]!tbl_Forecast,MATCH($D$8&amp;$C25&amp;$D$7,[2]!rng_ForecastRowLookup,0),MATCH(W$11,[2]!rng_ForecastColumnLookup,0))</f>
        <v>47.342466296383435</v>
      </c>
      <c r="X25" s="244">
        <f>INDEX([2]!tbl_Forecast,MATCH($D$8&amp;$C25&amp;$D$7,[2]!rng_ForecastRowLookup,0),MATCH(X$11,[2]!rng_ForecastColumnLookup,0))</f>
        <v>47.119009855464505</v>
      </c>
      <c r="Y25" s="250"/>
      <c r="Z25" s="198"/>
    </row>
    <row r="26" spans="1:26">
      <c r="B26" s="24"/>
      <c r="C26" s="24" t="s">
        <v>122</v>
      </c>
      <c r="D26" s="280">
        <v>14</v>
      </c>
      <c r="E26" s="244">
        <f>INDEX([2]!tbl_Forecast,MATCH($D$8&amp;$C26&amp;$D$7,[2]!rng_ForecastRowLookup,0),MATCH(E$11,[2]!rng_ForecastColumnLookup,0))</f>
        <v>170.15189589049527</v>
      </c>
      <c r="F26" s="244">
        <f>INDEX([2]!tbl_Forecast,MATCH($D$8&amp;$C26&amp;$D$7,[2]!rng_ForecastRowLookup,0),MATCH(F$11,[2]!rng_ForecastColumnLookup,0))</f>
        <v>169.74353134035809</v>
      </c>
      <c r="G26" s="244">
        <f>INDEX([2]!tbl_Forecast,MATCH($D$8&amp;$C26&amp;$D$7,[2]!rng_ForecastRowLookup,0),MATCH(G$11,[2]!rng_ForecastColumnLookup,0))</f>
        <v>169.33614686514122</v>
      </c>
      <c r="H26" s="244">
        <f>INDEX([2]!tbl_Forecast,MATCH($D$8&amp;$C26&amp;$D$7,[2]!rng_ForecastRowLookup,0),MATCH(H$11,[2]!rng_ForecastColumnLookup,0))</f>
        <v>168.92974011266489</v>
      </c>
      <c r="I26" s="244">
        <f>INDEX([2]!tbl_Forecast,MATCH($D$8&amp;$C26&amp;$D$7,[2]!rng_ForecastRowLookup,0),MATCH(I$11,[2]!rng_ForecastColumnLookup,0))</f>
        <v>168.52430873639449</v>
      </c>
      <c r="J26" s="244">
        <f>INDEX([2]!tbl_Forecast,MATCH($D$8&amp;$C26&amp;$D$7,[2]!rng_ForecastRowLookup,0),MATCH(J$11,[2]!rng_ForecastColumnLookup,0))</f>
        <v>168.11985039542716</v>
      </c>
      <c r="K26" s="244">
        <f>INDEX([2]!tbl_Forecast,MATCH($D$8&amp;$C26&amp;$D$7,[2]!rng_ForecastRowLookup,0),MATCH(K$11,[2]!rng_ForecastColumnLookup,0))</f>
        <v>167.71636275447813</v>
      </c>
      <c r="L26" s="244">
        <f>INDEX([2]!tbl_Forecast,MATCH($D$8&amp;$C26&amp;$D$7,[2]!rng_ForecastRowLookup,0),MATCH(L$11,[2]!rng_ForecastColumnLookup,0))</f>
        <v>167.31384348386743</v>
      </c>
      <c r="M26" s="244">
        <f>INDEX([2]!tbl_Forecast,MATCH($D$8&amp;$C26&amp;$D$7,[2]!rng_ForecastRowLookup,0),MATCH(M$11,[2]!rng_ForecastColumnLookup,0))</f>
        <v>166.91229025950614</v>
      </c>
      <c r="N26" s="244">
        <f>INDEX([2]!tbl_Forecast,MATCH($D$8&amp;$C26&amp;$D$7,[2]!rng_ForecastRowLookup,0),MATCH(N$11,[2]!rng_ForecastColumnLookup,0))</f>
        <v>166.51170076288332</v>
      </c>
      <c r="O26" s="244">
        <f>INDEX([2]!tbl_Forecast,MATCH($D$8&amp;$C26&amp;$D$7,[2]!rng_ForecastRowLookup,0),MATCH(O$11,[2]!rng_ForecastColumnLookup,0))</f>
        <v>166.11207268105238</v>
      </c>
      <c r="P26" s="244">
        <f>INDEX([2]!tbl_Forecast,MATCH($D$8&amp;$C26&amp;$D$7,[2]!rng_ForecastRowLookup,0),MATCH(P$11,[2]!rng_ForecastColumnLookup,0))</f>
        <v>165.7134037066179</v>
      </c>
      <c r="Q26" s="244">
        <f>INDEX([2]!tbl_Forecast,MATCH($D$8&amp;$C26&amp;$D$7,[2]!rng_ForecastRowLookup,0),MATCH(Q$11,[2]!rng_ForecastColumnLookup,0))</f>
        <v>165.31569153772202</v>
      </c>
      <c r="R26" s="244">
        <f>INDEX([2]!tbl_Forecast,MATCH($D$8&amp;$C26&amp;$D$7,[2]!rng_ForecastRowLookup,0),MATCH(R$11,[2]!rng_ForecastColumnLookup,0))</f>
        <v>164.91893387803151</v>
      </c>
      <c r="S26" s="244">
        <f>INDEX([2]!tbl_Forecast,MATCH($D$8&amp;$C26&amp;$D$7,[2]!rng_ForecastRowLookup,0),MATCH(S$11,[2]!rng_ForecastColumnLookup,0))</f>
        <v>164.52312843672422</v>
      </c>
      <c r="T26" s="244">
        <f>INDEX([2]!tbl_Forecast,MATCH($D$8&amp;$C26&amp;$D$7,[2]!rng_ForecastRowLookup,0),MATCH(T$11,[2]!rng_ForecastColumnLookup,0))</f>
        <v>164.12827292847609</v>
      </c>
      <c r="U26" s="244">
        <f>INDEX([2]!tbl_Forecast,MATCH($D$8&amp;$C26&amp;$D$7,[2]!rng_ForecastRowLookup,0),MATCH(U$11,[2]!rng_ForecastColumnLookup,0))</f>
        <v>163.73436507344778</v>
      </c>
      <c r="V26" s="244">
        <f>INDEX([2]!tbl_Forecast,MATCH($D$8&amp;$C26&amp;$D$7,[2]!rng_ForecastRowLookup,0),MATCH(V$11,[2]!rng_ForecastColumnLookup,0))</f>
        <v>163.3414025972715</v>
      </c>
      <c r="W26" s="244">
        <f>INDEX([2]!tbl_Forecast,MATCH($D$8&amp;$C26&amp;$D$7,[2]!rng_ForecastRowLookup,0),MATCH(W$11,[2]!rng_ForecastColumnLookup,0))</f>
        <v>162.94938323103807</v>
      </c>
      <c r="X26" s="244">
        <f>INDEX([2]!tbl_Forecast,MATCH($D$8&amp;$C26&amp;$D$7,[2]!rng_ForecastRowLookup,0),MATCH(X$11,[2]!rng_ForecastColumnLookup,0))</f>
        <v>162.55830471128357</v>
      </c>
      <c r="Y26" s="250"/>
      <c r="Z26" s="198"/>
    </row>
    <row r="27" spans="1:26">
      <c r="B27" s="24"/>
      <c r="C27" s="24" t="s">
        <v>822</v>
      </c>
      <c r="D27" s="280">
        <v>15</v>
      </c>
      <c r="E27" s="244">
        <f>INDEX([2]!tbl_Forecast,MATCH($D$8&amp;$C27&amp;$D$7,[2]!rng_ForecastRowLookup,0),MATCH(E$11,[2]!rng_ForecastColumnLookup,0))</f>
        <v>105.02947953487826</v>
      </c>
      <c r="F27" s="244">
        <f>INDEX([2]!tbl_Forecast,MATCH($D$8&amp;$C27&amp;$D$7,[2]!rng_ForecastRowLookup,0),MATCH(F$11,[2]!rng_ForecastColumnLookup,0))</f>
        <v>104.80891762785501</v>
      </c>
      <c r="G27" s="244">
        <f>INDEX([2]!tbl_Forecast,MATCH($D$8&amp;$C27&amp;$D$7,[2]!rng_ForecastRowLookup,0),MATCH(G$11,[2]!rng_ForecastColumnLookup,0))</f>
        <v>104.58881890083651</v>
      </c>
      <c r="H27" s="244">
        <f>INDEX([2]!tbl_Forecast,MATCH($D$8&amp;$C27&amp;$D$7,[2]!rng_ForecastRowLookup,0),MATCH(H$11,[2]!rng_ForecastColumnLookup,0))</f>
        <v>104.36918238114475</v>
      </c>
      <c r="I27" s="244">
        <f>INDEX([2]!tbl_Forecast,MATCH($D$8&amp;$C27&amp;$D$7,[2]!rng_ForecastRowLookup,0),MATCH(I$11,[2]!rng_ForecastColumnLookup,0))</f>
        <v>104.15000709814436</v>
      </c>
      <c r="J27" s="244">
        <f>INDEX([2]!tbl_Forecast,MATCH($D$8&amp;$C27&amp;$D$7,[2]!rng_ForecastRowLookup,0),MATCH(J$11,[2]!rng_ForecastColumnLookup,0))</f>
        <v>103.93129208323826</v>
      </c>
      <c r="K27" s="244">
        <f>INDEX([2]!tbl_Forecast,MATCH($D$8&amp;$C27&amp;$D$7,[2]!rng_ForecastRowLookup,0),MATCH(K$11,[2]!rng_ForecastColumnLookup,0))</f>
        <v>103.71303636986346</v>
      </c>
      <c r="L27" s="244">
        <f>INDEX([2]!tbl_Forecast,MATCH($D$8&amp;$C27&amp;$D$7,[2]!rng_ForecastRowLookup,0),MATCH(L$11,[2]!rng_ForecastColumnLookup,0))</f>
        <v>103.49523899348674</v>
      </c>
      <c r="M27" s="244">
        <f>INDEX([2]!tbl_Forecast,MATCH($D$8&amp;$C27&amp;$D$7,[2]!rng_ForecastRowLookup,0),MATCH(M$11,[2]!rng_ForecastColumnLookup,0))</f>
        <v>103.27789899160042</v>
      </c>
      <c r="N27" s="244">
        <f>INDEX([2]!tbl_Forecast,MATCH($D$8&amp;$C27&amp;$D$7,[2]!rng_ForecastRowLookup,0),MATCH(N$11,[2]!rng_ForecastColumnLookup,0))</f>
        <v>103.06101540371807</v>
      </c>
      <c r="O27" s="244">
        <f>INDEX([2]!tbl_Forecast,MATCH($D$8&amp;$C27&amp;$D$7,[2]!rng_ForecastRowLookup,0),MATCH(O$11,[2]!rng_ForecastColumnLookup,0))</f>
        <v>102.84458727137024</v>
      </c>
      <c r="P27" s="244">
        <f>INDEX([2]!tbl_Forecast,MATCH($D$8&amp;$C27&amp;$D$7,[2]!rng_ForecastRowLookup,0),MATCH(P$11,[2]!rng_ForecastColumnLookup,0))</f>
        <v>102.62861363810038</v>
      </c>
      <c r="Q27" s="244">
        <f>INDEX([2]!tbl_Forecast,MATCH($D$8&amp;$C27&amp;$D$7,[2]!rng_ForecastRowLookup,0),MATCH(Q$11,[2]!rng_ForecastColumnLookup,0))</f>
        <v>102.41309354946036</v>
      </c>
      <c r="R27" s="244">
        <f>INDEX([2]!tbl_Forecast,MATCH($D$8&amp;$C27&amp;$D$7,[2]!rng_ForecastRowLookup,0),MATCH(R$11,[2]!rng_ForecastColumnLookup,0))</f>
        <v>102.19802605300649</v>
      </c>
      <c r="S27" s="244">
        <f>INDEX([2]!tbl_Forecast,MATCH($D$8&amp;$C27&amp;$D$7,[2]!rng_ForecastRowLookup,0),MATCH(S$11,[2]!rng_ForecastColumnLookup,0))</f>
        <v>101.98341019829519</v>
      </c>
      <c r="T27" s="244">
        <f>INDEX([2]!tbl_Forecast,MATCH($D$8&amp;$C27&amp;$D$7,[2]!rng_ForecastRowLookup,0),MATCH(T$11,[2]!rng_ForecastColumnLookup,0))</f>
        <v>101.76924503687877</v>
      </c>
      <c r="U27" s="244">
        <f>INDEX([2]!tbl_Forecast,MATCH($D$8&amp;$C27&amp;$D$7,[2]!rng_ForecastRowLookup,0),MATCH(U$11,[2]!rng_ForecastColumnLookup,0))</f>
        <v>101.55552962230132</v>
      </c>
      <c r="V27" s="244">
        <f>INDEX([2]!tbl_Forecast,MATCH($D$8&amp;$C27&amp;$D$7,[2]!rng_ForecastRowLookup,0),MATCH(V$11,[2]!rng_ForecastColumnLookup,0))</f>
        <v>101.3422630100945</v>
      </c>
      <c r="W27" s="244">
        <f>INDEX([2]!tbl_Forecast,MATCH($D$8&amp;$C27&amp;$D$7,[2]!rng_ForecastRowLookup,0),MATCH(W$11,[2]!rng_ForecastColumnLookup,0))</f>
        <v>101.1294442577733</v>
      </c>
      <c r="X27" s="244">
        <f>INDEX([2]!tbl_Forecast,MATCH($D$8&amp;$C27&amp;$D$7,[2]!rng_ForecastRowLookup,0),MATCH(X$11,[2]!rng_ForecastColumnLookup,0))</f>
        <v>100.91707242483197</v>
      </c>
      <c r="Y27" s="250"/>
      <c r="Z27" s="198"/>
    </row>
    <row r="28" spans="1:26">
      <c r="B28" s="24"/>
      <c r="C28" s="24" t="s">
        <v>125</v>
      </c>
      <c r="D28" s="24">
        <v>16</v>
      </c>
      <c r="E28" s="244">
        <f>INDEX([2]!tbl_Forecast,MATCH($D$8&amp;$C28&amp;$D$7,[2]!rng_ForecastRowLookup,0),MATCH(E$11,[2]!rng_ForecastColumnLookup,0))</f>
        <v>128.74820917277606</v>
      </c>
      <c r="F28" s="244">
        <f>INDEX([2]!tbl_Forecast,MATCH($D$8&amp;$C28&amp;$D$7,[2]!rng_ForecastRowLookup,0),MATCH(F$11,[2]!rng_ForecastColumnLookup,0))</f>
        <v>128.43921347076139</v>
      </c>
      <c r="G28" s="244">
        <f>INDEX([2]!tbl_Forecast,MATCH($D$8&amp;$C28&amp;$D$7,[2]!rng_ForecastRowLookup,0),MATCH(G$11,[2]!rng_ForecastColumnLookup,0))</f>
        <v>128.1309593584316</v>
      </c>
      <c r="H28" s="244">
        <f>INDEX([2]!tbl_Forecast,MATCH($D$8&amp;$C28&amp;$D$7,[2]!rng_ForecastRowLookup,0),MATCH(H$11,[2]!rng_ForecastColumnLookup,0))</f>
        <v>127.82344505597135</v>
      </c>
      <c r="I28" s="244">
        <f>INDEX([2]!tbl_Forecast,MATCH($D$8&amp;$C28&amp;$D$7,[2]!rng_ForecastRowLookup,0),MATCH(I$11,[2]!rng_ForecastColumnLookup,0))</f>
        <v>127.51666878783702</v>
      </c>
      <c r="J28" s="244">
        <f>INDEX([2]!tbl_Forecast,MATCH($D$8&amp;$C28&amp;$D$7,[2]!rng_ForecastRowLookup,0),MATCH(J$11,[2]!rng_ForecastColumnLookup,0))</f>
        <v>127.21062878274621</v>
      </c>
      <c r="K28" s="244">
        <f>INDEX([2]!tbl_Forecast,MATCH($D$8&amp;$C28&amp;$D$7,[2]!rng_ForecastRowLookup,0),MATCH(K$11,[2]!rng_ForecastColumnLookup,0))</f>
        <v>126.90532327366765</v>
      </c>
      <c r="L28" s="244">
        <f>INDEX([2]!tbl_Forecast,MATCH($D$8&amp;$C28&amp;$D$7,[2]!rng_ForecastRowLookup,0),MATCH(L$11,[2]!rng_ForecastColumnLookup,0))</f>
        <v>126.60075049781085</v>
      </c>
      <c r="M28" s="244">
        <f>INDEX([2]!tbl_Forecast,MATCH($D$8&amp;$C28&amp;$D$7,[2]!rng_ForecastRowLookup,0),MATCH(M$11,[2]!rng_ForecastColumnLookup,0))</f>
        <v>126.29690869661611</v>
      </c>
      <c r="N28" s="244">
        <f>INDEX([2]!tbl_Forecast,MATCH($D$8&amp;$C28&amp;$D$7,[2]!rng_ForecastRowLookup,0),MATCH(N$11,[2]!rng_ForecastColumnLookup,0))</f>
        <v>125.99379611574425</v>
      </c>
      <c r="O28" s="244">
        <f>INDEX([2]!tbl_Forecast,MATCH($D$8&amp;$C28&amp;$D$7,[2]!rng_ForecastRowLookup,0),MATCH(O$11,[2]!rng_ForecastColumnLookup,0))</f>
        <v>125.69141100506647</v>
      </c>
      <c r="P28" s="244">
        <f>INDEX([2]!tbl_Forecast,MATCH($D$8&amp;$C28&amp;$D$7,[2]!rng_ForecastRowLookup,0),MATCH(P$11,[2]!rng_ForecastColumnLookup,0))</f>
        <v>125.3897516186543</v>
      </c>
      <c r="Q28" s="244">
        <f>INDEX([2]!tbl_Forecast,MATCH($D$8&amp;$C28&amp;$D$7,[2]!rng_ForecastRowLookup,0),MATCH(Q$11,[2]!rng_ForecastColumnLookup,0))</f>
        <v>125.08881621476955</v>
      </c>
      <c r="R28" s="244">
        <f>INDEX([2]!tbl_Forecast,MATCH($D$8&amp;$C28&amp;$D$7,[2]!rng_ForecastRowLookup,0),MATCH(R$11,[2]!rng_ForecastColumnLookup,0))</f>
        <v>124.78860305585408</v>
      </c>
      <c r="S28" s="244">
        <f>INDEX([2]!tbl_Forecast,MATCH($D$8&amp;$C28&amp;$D$7,[2]!rng_ForecastRowLookup,0),MATCH(S$11,[2]!rng_ForecastColumnLookup,0))</f>
        <v>124.48911040852005</v>
      </c>
      <c r="T28" s="244">
        <f>INDEX([2]!tbl_Forecast,MATCH($D$8&amp;$C28&amp;$D$7,[2]!rng_ForecastRowLookup,0),MATCH(T$11,[2]!rng_ForecastColumnLookup,0))</f>
        <v>124.1903365435396</v>
      </c>
      <c r="U28" s="244">
        <f>INDEX([2]!tbl_Forecast,MATCH($D$8&amp;$C28&amp;$D$7,[2]!rng_ForecastRowLookup,0),MATCH(U$11,[2]!rng_ForecastColumnLookup,0))</f>
        <v>123.8922797358351</v>
      </c>
      <c r="V28" s="244">
        <f>INDEX([2]!tbl_Forecast,MATCH($D$8&amp;$C28&amp;$D$7,[2]!rng_ForecastRowLookup,0),MATCH(V$11,[2]!rng_ForecastColumnLookup,0))</f>
        <v>123.59493826446912</v>
      </c>
      <c r="W28" s="244">
        <f>INDEX([2]!tbl_Forecast,MATCH($D$8&amp;$C28&amp;$D$7,[2]!rng_ForecastRowLookup,0),MATCH(W$11,[2]!rng_ForecastColumnLookup,0))</f>
        <v>123.29831041263438</v>
      </c>
      <c r="X28" s="244">
        <f>INDEX([2]!tbl_Forecast,MATCH($D$8&amp;$C28&amp;$D$7,[2]!rng_ForecastRowLookup,0),MATCH(X$11,[2]!rng_ForecastColumnLookup,0))</f>
        <v>123.00239446764408</v>
      </c>
      <c r="Y28" s="250"/>
      <c r="Z28" s="198"/>
    </row>
    <row r="29" spans="1:26">
      <c r="B29" s="24"/>
      <c r="C29" s="24" t="s">
        <v>127</v>
      </c>
      <c r="D29" s="24">
        <v>17</v>
      </c>
      <c r="E29" s="244">
        <f>INDEX([2]!tbl_Forecast,MATCH($D$8&amp;$C29&amp;$D$7,[2]!rng_ForecastRowLookup,0),MATCH(E$11,[2]!rng_ForecastColumnLookup,0))</f>
        <v>375.90224900649127</v>
      </c>
      <c r="F29" s="244">
        <f>INDEX([2]!tbl_Forecast,MATCH($D$8&amp;$C29&amp;$D$7,[2]!rng_ForecastRowLookup,0),MATCH(F$11,[2]!rng_ForecastColumnLookup,0))</f>
        <v>374.21570091594884</v>
      </c>
      <c r="G29" s="244">
        <f>INDEX([2]!tbl_Forecast,MATCH($D$8&amp;$C29&amp;$D$7,[2]!rng_ForecastRowLookup,0),MATCH(G$11,[2]!rng_ForecastColumnLookup,0))</f>
        <v>372.53671980450594</v>
      </c>
      <c r="H29" s="244">
        <f>INDEX([2]!tbl_Forecast,MATCH($D$8&amp;$C29&amp;$D$7,[2]!rng_ForecastRowLookup,0),MATCH(H$11,[2]!rng_ForecastColumnLookup,0))</f>
        <v>370.86527172164978</v>
      </c>
      <c r="I29" s="244">
        <f>INDEX([2]!tbl_Forecast,MATCH($D$8&amp;$C29&amp;$D$7,[2]!rng_ForecastRowLookup,0),MATCH(I$11,[2]!rng_ForecastColumnLookup,0))</f>
        <v>369.20132286919198</v>
      </c>
      <c r="J29" s="244">
        <f>INDEX([2]!tbl_Forecast,MATCH($D$8&amp;$C29&amp;$D$7,[2]!rng_ForecastRowLookup,0),MATCH(J$11,[2]!rng_ForecastColumnLookup,0))</f>
        <v>367.54483960058553</v>
      </c>
      <c r="K29" s="244">
        <f>INDEX([2]!tbl_Forecast,MATCH($D$8&amp;$C29&amp;$D$7,[2]!rng_ForecastRowLookup,0),MATCH(K$11,[2]!rng_ForecastColumnLookup,0))</f>
        <v>365.89578842024423</v>
      </c>
      <c r="L29" s="244">
        <f>INDEX([2]!tbl_Forecast,MATCH($D$8&amp;$C29&amp;$D$7,[2]!rng_ForecastRowLookup,0),MATCH(L$11,[2]!rng_ForecastColumnLookup,0))</f>
        <v>364.25413598286536</v>
      </c>
      <c r="M29" s="244">
        <f>INDEX([2]!tbl_Forecast,MATCH($D$8&amp;$C29&amp;$D$7,[2]!rng_ForecastRowLookup,0),MATCH(M$11,[2]!rng_ForecastColumnLookup,0))</f>
        <v>362.6198490927556</v>
      </c>
      <c r="N29" s="244">
        <f>INDEX([2]!tbl_Forecast,MATCH($D$8&amp;$C29&amp;$D$7,[2]!rng_ForecastRowLookup,0),MATCH(N$11,[2]!rng_ForecastColumnLookup,0))</f>
        <v>360.99289470315949</v>
      </c>
      <c r="O29" s="244">
        <f>INDEX([2]!tbl_Forecast,MATCH($D$8&amp;$C29&amp;$D$7,[2]!rng_ForecastRowLookup,0),MATCH(O$11,[2]!rng_ForecastColumnLookup,0))</f>
        <v>359.37323991559134</v>
      </c>
      <c r="P29" s="244">
        <f>INDEX([2]!tbl_Forecast,MATCH($D$8&amp;$C29&amp;$D$7,[2]!rng_ForecastRowLookup,0),MATCH(P$11,[2]!rng_ForecastColumnLookup,0))</f>
        <v>357.76085197917007</v>
      </c>
      <c r="Q29" s="244">
        <f>INDEX([2]!tbl_Forecast,MATCH($D$8&amp;$C29&amp;$D$7,[2]!rng_ForecastRowLookup,0),MATCH(Q$11,[2]!rng_ForecastColumnLookup,0))</f>
        <v>356.15569828995689</v>
      </c>
      <c r="R29" s="244">
        <f>INDEX([2]!tbl_Forecast,MATCH($D$8&amp;$C29&amp;$D$7,[2]!rng_ForecastRowLookup,0),MATCH(R$11,[2]!rng_ForecastColumnLookup,0))</f>
        <v>354.55774639029596</v>
      </c>
      <c r="S29" s="244">
        <f>INDEX([2]!tbl_Forecast,MATCH($D$8&amp;$C29&amp;$D$7,[2]!rng_ForecastRowLookup,0),MATCH(S$11,[2]!rng_ForecastColumnLookup,0))</f>
        <v>352.96696396815821</v>
      </c>
      <c r="T29" s="244">
        <f>INDEX([2]!tbl_Forecast,MATCH($D$8&amp;$C29&amp;$D$7,[2]!rng_ForecastRowLookup,0),MATCH(T$11,[2]!rng_ForecastColumnLookup,0))</f>
        <v>351.38331885648773</v>
      </c>
      <c r="U29" s="244">
        <f>INDEX([2]!tbl_Forecast,MATCH($D$8&amp;$C29&amp;$D$7,[2]!rng_ForecastRowLookup,0),MATCH(U$11,[2]!rng_ForecastColumnLookup,0))</f>
        <v>349.80677903255156</v>
      </c>
      <c r="V29" s="244">
        <f>INDEX([2]!tbl_Forecast,MATCH($D$8&amp;$C29&amp;$D$7,[2]!rng_ForecastRowLookup,0),MATCH(V$11,[2]!rng_ForecastColumnLookup,0))</f>
        <v>348.23731261729228</v>
      </c>
      <c r="W29" s="244">
        <f>INDEX([2]!tbl_Forecast,MATCH($D$8&amp;$C29&amp;$D$7,[2]!rng_ForecastRowLookup,0),MATCH(W$11,[2]!rng_ForecastColumnLookup,0))</f>
        <v>346.67488787468267</v>
      </c>
      <c r="X29" s="244">
        <f>INDEX([2]!tbl_Forecast,MATCH($D$8&amp;$C29&amp;$D$7,[2]!rng_ForecastRowLookup,0),MATCH(X$11,[2]!rng_ForecastColumnLookup,0))</f>
        <v>345.11947321108494</v>
      </c>
      <c r="Y29" s="250"/>
      <c r="Z29" s="198"/>
    </row>
    <row r="30" spans="1:26">
      <c r="B30" s="24"/>
      <c r="C30" s="24" t="s">
        <v>100</v>
      </c>
      <c r="D30" s="24">
        <v>18</v>
      </c>
      <c r="E30" s="244">
        <f>INDEX([2]!tbl_Forecast,MATCH($D$8&amp;$C30&amp;$D$7,[2]!rng_ForecastRowLookup,0),MATCH(E$11,[2]!rng_ForecastColumnLookup,0))</f>
        <v>342.64988330108076</v>
      </c>
      <c r="F30" s="244">
        <f>INDEX([2]!tbl_Forecast,MATCH($D$8&amp;$C30&amp;$D$7,[2]!rng_ForecastRowLookup,0),MATCH(F$11,[2]!rng_ForecastColumnLookup,0))</f>
        <v>339.56603435137106</v>
      </c>
      <c r="G30" s="244">
        <f>INDEX([2]!tbl_Forecast,MATCH($D$8&amp;$C30&amp;$D$7,[2]!rng_ForecastRowLookup,0),MATCH(G$11,[2]!rng_ForecastColumnLookup,0))</f>
        <v>336.50994004220871</v>
      </c>
      <c r="H30" s="244">
        <f>INDEX([2]!tbl_Forecast,MATCH($D$8&amp;$C30&amp;$D$7,[2]!rng_ForecastRowLookup,0),MATCH(H$11,[2]!rng_ForecastColumnLookup,0))</f>
        <v>333.48135058182885</v>
      </c>
      <c r="I30" s="244">
        <f>INDEX([2]!tbl_Forecast,MATCH($D$8&amp;$C30&amp;$D$7,[2]!rng_ForecastRowLookup,0),MATCH(I$11,[2]!rng_ForecastColumnLookup,0))</f>
        <v>330.48001842659238</v>
      </c>
      <c r="J30" s="244">
        <f>INDEX([2]!tbl_Forecast,MATCH($D$8&amp;$C30&amp;$D$7,[2]!rng_ForecastRowLookup,0),MATCH(J$11,[2]!rng_ForecastColumnLookup,0))</f>
        <v>327.50569826075304</v>
      </c>
      <c r="K30" s="244">
        <f>INDEX([2]!tbl_Forecast,MATCH($D$8&amp;$C30&amp;$D$7,[2]!rng_ForecastRowLookup,0),MATCH(K$11,[2]!rng_ForecastColumnLookup,0))</f>
        <v>324.55814697640625</v>
      </c>
      <c r="L30" s="244">
        <f>INDEX([2]!tbl_Forecast,MATCH($D$8&amp;$C30&amp;$D$7,[2]!rng_ForecastRowLookup,0),MATCH(L$11,[2]!rng_ForecastColumnLookup,0))</f>
        <v>321.63712365361863</v>
      </c>
      <c r="M30" s="244">
        <f>INDEX([2]!tbl_Forecast,MATCH($D$8&amp;$C30&amp;$D$7,[2]!rng_ForecastRowLookup,0),MATCH(M$11,[2]!rng_ForecastColumnLookup,0))</f>
        <v>318.7423895407361</v>
      </c>
      <c r="N30" s="244">
        <f>INDEX([2]!tbl_Forecast,MATCH($D$8&amp;$C30&amp;$D$7,[2]!rng_ForecastRowLookup,0),MATCH(N$11,[2]!rng_ForecastColumnLookup,0))</f>
        <v>315.87370803486942</v>
      </c>
      <c r="O30" s="244">
        <f>INDEX([2]!tbl_Forecast,MATCH($D$8&amp;$C30&amp;$D$7,[2]!rng_ForecastRowLookup,0),MATCH(O$11,[2]!rng_ForecastColumnLookup,0))</f>
        <v>313.03084466255564</v>
      </c>
      <c r="P30" s="244">
        <f>INDEX([2]!tbl_Forecast,MATCH($D$8&amp;$C30&amp;$D$7,[2]!rng_ForecastRowLookup,0),MATCH(P$11,[2]!rng_ForecastColumnLookup,0))</f>
        <v>310.21356706059254</v>
      </c>
      <c r="Q30" s="244">
        <f>INDEX([2]!tbl_Forecast,MATCH($D$8&amp;$C30&amp;$D$7,[2]!rng_ForecastRowLookup,0),MATCH(Q$11,[2]!rng_ForecastColumnLookup,0))</f>
        <v>307.42164495704725</v>
      </c>
      <c r="R30" s="244">
        <f>INDEX([2]!tbl_Forecast,MATCH($D$8&amp;$C30&amp;$D$7,[2]!rng_ForecastRowLookup,0),MATCH(R$11,[2]!rng_ForecastColumnLookup,0))</f>
        <v>304.65485015243382</v>
      </c>
      <c r="S30" s="244">
        <f>INDEX([2]!tbl_Forecast,MATCH($D$8&amp;$C30&amp;$D$7,[2]!rng_ForecastRowLookup,0),MATCH(S$11,[2]!rng_ForecastColumnLookup,0))</f>
        <v>301.9129565010619</v>
      </c>
      <c r="T30" s="244">
        <f>INDEX([2]!tbl_Forecast,MATCH($D$8&amp;$C30&amp;$D$7,[2]!rng_ForecastRowLookup,0),MATCH(T$11,[2]!rng_ForecastColumnLookup,0))</f>
        <v>299.19573989255235</v>
      </c>
      <c r="U30" s="244">
        <f>INDEX([2]!tbl_Forecast,MATCH($D$8&amp;$C30&amp;$D$7,[2]!rng_ForecastRowLookup,0),MATCH(U$11,[2]!rng_ForecastColumnLookup,0))</f>
        <v>296.50297823351934</v>
      </c>
      <c r="V30" s="244">
        <f>INDEX([2]!tbl_Forecast,MATCH($D$8&amp;$C30&amp;$D$7,[2]!rng_ForecastRowLookup,0),MATCH(V$11,[2]!rng_ForecastColumnLookup,0))</f>
        <v>293.83445142941764</v>
      </c>
      <c r="W30" s="244">
        <f>INDEX([2]!tbl_Forecast,MATCH($D$8&amp;$C30&amp;$D$7,[2]!rng_ForecastRowLookup,0),MATCH(W$11,[2]!rng_ForecastColumnLookup,0))</f>
        <v>291.18994136655289</v>
      </c>
      <c r="X30" s="244">
        <f>INDEX([2]!tbl_Forecast,MATCH($D$8&amp;$C30&amp;$D$7,[2]!rng_ForecastRowLookup,0),MATCH(X$11,[2]!rng_ForecastColumnLookup,0))</f>
        <v>288.5692318942539</v>
      </c>
      <c r="Y30" s="250"/>
      <c r="Z30" s="198"/>
    </row>
    <row r="31" spans="1:26">
      <c r="A31" s="24"/>
      <c r="B31" s="24"/>
      <c r="C31" s="24"/>
      <c r="D31" s="198"/>
      <c r="E31" s="250"/>
      <c r="F31" s="250"/>
      <c r="G31" s="250"/>
      <c r="H31" s="250"/>
      <c r="I31" s="250"/>
      <c r="J31" s="250"/>
      <c r="K31" s="250"/>
      <c r="L31" s="250"/>
      <c r="M31" s="250"/>
      <c r="N31" s="250"/>
      <c r="O31" s="250"/>
      <c r="P31" s="250"/>
      <c r="Q31" s="250"/>
      <c r="R31" s="250"/>
      <c r="S31" s="250"/>
      <c r="T31" s="250"/>
      <c r="U31" s="250"/>
      <c r="V31" s="250"/>
      <c r="W31" s="250"/>
      <c r="X31" s="250"/>
      <c r="Y31" s="250"/>
      <c r="Z31" s="198"/>
    </row>
    <row r="32" spans="1:26">
      <c r="A32" s="24" t="s">
        <v>937</v>
      </c>
      <c r="B32" s="24"/>
      <c r="C32" s="24" t="s">
        <v>545</v>
      </c>
      <c r="D32" s="198"/>
      <c r="E32" s="250">
        <f>SUM(E13:E30)</f>
        <v>3371.0405269479006</v>
      </c>
      <c r="F32" s="250">
        <f t="shared" ref="F32:X32" si="3">SUM(F13:F30)</f>
        <v>3356.5369104716883</v>
      </c>
      <c r="G32" s="250">
        <f t="shared" si="3"/>
        <v>3342.1075656435023</v>
      </c>
      <c r="H32" s="250">
        <f t="shared" si="3"/>
        <v>3327.7520346049623</v>
      </c>
      <c r="I32" s="250">
        <f t="shared" si="3"/>
        <v>3313.4698627952139</v>
      </c>
      <c r="J32" s="250">
        <f t="shared" si="3"/>
        <v>3299.2605989245808</v>
      </c>
      <c r="K32" s="250">
        <f t="shared" si="3"/>
        <v>3285.1237949484457</v>
      </c>
      <c r="L32" s="250">
        <f t="shared" si="3"/>
        <v>3271.0590060413433</v>
      </c>
      <c r="M32" s="250">
        <f t="shared" si="3"/>
        <v>3257.0657905712806</v>
      </c>
      <c r="N32" s="250">
        <f t="shared" si="3"/>
        <v>3243.1437100742696</v>
      </c>
      <c r="O32" s="250">
        <f t="shared" si="3"/>
        <v>3229.2923292290834</v>
      </c>
      <c r="P32" s="250">
        <f t="shared" si="3"/>
        <v>3215.5112158322117</v>
      </c>
      <c r="Q32" s="250">
        <f t="shared" si="3"/>
        <v>3201.7999407730422</v>
      </c>
      <c r="R32" s="250">
        <f t="shared" si="3"/>
        <v>3188.1580780092468</v>
      </c>
      <c r="S32" s="250">
        <f t="shared" si="3"/>
        <v>3174.5852045423726</v>
      </c>
      <c r="T32" s="250">
        <f t="shared" si="3"/>
        <v>3161.0809003936483</v>
      </c>
      <c r="U32" s="250">
        <f t="shared" si="3"/>
        <v>3147.644748579979</v>
      </c>
      <c r="V32" s="250">
        <f t="shared" si="3"/>
        <v>3134.2763350901637</v>
      </c>
      <c r="W32" s="250">
        <f t="shared" si="3"/>
        <v>3120.9752488612994</v>
      </c>
      <c r="X32" s="250">
        <f t="shared" si="3"/>
        <v>3107.74108175539</v>
      </c>
      <c r="Y32" s="250"/>
      <c r="Z32" s="198"/>
    </row>
    <row r="33" spans="1:26">
      <c r="A33" s="24"/>
      <c r="B33" s="24"/>
      <c r="C33" s="24"/>
      <c r="D33" s="198"/>
      <c r="E33" s="250"/>
      <c r="F33" s="250"/>
      <c r="G33" s="250"/>
      <c r="H33" s="250"/>
      <c r="I33" s="250"/>
      <c r="J33" s="250"/>
      <c r="K33" s="250"/>
      <c r="L33" s="250"/>
      <c r="M33" s="250"/>
      <c r="N33" s="250"/>
      <c r="O33" s="250"/>
      <c r="P33" s="250"/>
      <c r="Q33" s="250"/>
      <c r="R33" s="250"/>
      <c r="S33" s="250"/>
      <c r="T33" s="250"/>
      <c r="U33" s="250"/>
      <c r="V33" s="250"/>
      <c r="W33" s="250"/>
      <c r="X33" s="250"/>
      <c r="Y33" s="250"/>
      <c r="Z33" s="198"/>
    </row>
    <row r="35" spans="1:26" ht="15">
      <c r="A35" s="279" t="s">
        <v>912</v>
      </c>
      <c r="B35" s="279"/>
      <c r="C35" s="24"/>
      <c r="D35" s="198"/>
      <c r="E35" s="243">
        <f t="shared" ref="E35:X35" si="4">E11</f>
        <v>2016</v>
      </c>
      <c r="F35" s="243">
        <f t="shared" si="4"/>
        <v>2017</v>
      </c>
      <c r="G35" s="243">
        <f t="shared" si="4"/>
        <v>2018</v>
      </c>
      <c r="H35" s="243">
        <f t="shared" si="4"/>
        <v>2019</v>
      </c>
      <c r="I35" s="243">
        <f t="shared" si="4"/>
        <v>2020</v>
      </c>
      <c r="J35" s="243">
        <f t="shared" si="4"/>
        <v>2021</v>
      </c>
      <c r="K35" s="243">
        <f t="shared" si="4"/>
        <v>2022</v>
      </c>
      <c r="L35" s="243">
        <f t="shared" si="4"/>
        <v>2023</v>
      </c>
      <c r="M35" s="243">
        <f t="shared" si="4"/>
        <v>2024</v>
      </c>
      <c r="N35" s="243">
        <f t="shared" si="4"/>
        <v>2025</v>
      </c>
      <c r="O35" s="243">
        <f t="shared" si="4"/>
        <v>2026</v>
      </c>
      <c r="P35" s="243">
        <f t="shared" si="4"/>
        <v>2027</v>
      </c>
      <c r="Q35" s="243">
        <f t="shared" si="4"/>
        <v>2028</v>
      </c>
      <c r="R35" s="243">
        <f t="shared" si="4"/>
        <v>2029</v>
      </c>
      <c r="S35" s="243">
        <f t="shared" si="4"/>
        <v>2030</v>
      </c>
      <c r="T35" s="243">
        <f t="shared" si="4"/>
        <v>2031</v>
      </c>
      <c r="U35" s="243">
        <f t="shared" si="4"/>
        <v>2032</v>
      </c>
      <c r="V35" s="243">
        <f t="shared" si="4"/>
        <v>2033</v>
      </c>
      <c r="W35" s="243">
        <f t="shared" si="4"/>
        <v>2034</v>
      </c>
      <c r="X35" s="243">
        <f t="shared" si="4"/>
        <v>2035</v>
      </c>
      <c r="Y35" s="248" t="s">
        <v>694</v>
      </c>
      <c r="Z35" s="248" t="s">
        <v>695</v>
      </c>
    </row>
    <row r="36" spans="1:26">
      <c r="A36" s="24"/>
      <c r="B36" s="24"/>
      <c r="C36" s="24"/>
      <c r="D36" t="s">
        <v>427</v>
      </c>
      <c r="E36" s="250">
        <f>E$32</f>
        <v>3371.0405269479006</v>
      </c>
      <c r="F36" s="250">
        <f t="shared" ref="F36:X43" si="5">F$32</f>
        <v>3356.5369104716883</v>
      </c>
      <c r="G36" s="250">
        <f t="shared" si="5"/>
        <v>3342.1075656435023</v>
      </c>
      <c r="H36" s="250">
        <f t="shared" si="5"/>
        <v>3327.7520346049623</v>
      </c>
      <c r="I36" s="250">
        <f t="shared" si="5"/>
        <v>3313.4698627952139</v>
      </c>
      <c r="J36" s="250">
        <f t="shared" si="5"/>
        <v>3299.2605989245808</v>
      </c>
      <c r="K36" s="250">
        <f t="shared" si="5"/>
        <v>3285.1237949484457</v>
      </c>
      <c r="L36" s="250">
        <f t="shared" si="5"/>
        <v>3271.0590060413433</v>
      </c>
      <c r="M36" s="250">
        <f t="shared" si="5"/>
        <v>3257.0657905712806</v>
      </c>
      <c r="N36" s="250">
        <f t="shared" si="5"/>
        <v>3243.1437100742696</v>
      </c>
      <c r="O36" s="250">
        <f t="shared" si="5"/>
        <v>3229.2923292290834</v>
      </c>
      <c r="P36" s="250">
        <f t="shared" si="5"/>
        <v>3215.5112158322117</v>
      </c>
      <c r="Q36" s="250">
        <f t="shared" si="5"/>
        <v>3201.7999407730422</v>
      </c>
      <c r="R36" s="250">
        <f t="shared" si="5"/>
        <v>3188.1580780092468</v>
      </c>
      <c r="S36" s="250">
        <f t="shared" si="5"/>
        <v>3174.5852045423726</v>
      </c>
      <c r="T36" s="250">
        <f t="shared" si="5"/>
        <v>3161.0809003936483</v>
      </c>
      <c r="U36" s="250">
        <f t="shared" si="5"/>
        <v>3147.644748579979</v>
      </c>
      <c r="V36" s="250">
        <f t="shared" si="5"/>
        <v>3134.2763350901637</v>
      </c>
      <c r="W36" s="250">
        <f t="shared" si="5"/>
        <v>3120.9752488612994</v>
      </c>
      <c r="X36" s="250">
        <f t="shared" si="5"/>
        <v>3107.74108175539</v>
      </c>
      <c r="Y36" s="250"/>
      <c r="Z36" s="24"/>
    </row>
    <row r="37" spans="1:26">
      <c r="A37" s="24"/>
      <c r="B37" s="24"/>
      <c r="C37" s="24"/>
      <c r="D37" t="s">
        <v>428</v>
      </c>
      <c r="E37" s="250">
        <f t="shared" ref="E37:T43" si="6">E$32</f>
        <v>3371.0405269479006</v>
      </c>
      <c r="F37" s="250">
        <f t="shared" si="6"/>
        <v>3356.5369104716883</v>
      </c>
      <c r="G37" s="250">
        <f t="shared" si="6"/>
        <v>3342.1075656435023</v>
      </c>
      <c r="H37" s="250">
        <f t="shared" si="6"/>
        <v>3327.7520346049623</v>
      </c>
      <c r="I37" s="250">
        <f t="shared" si="6"/>
        <v>3313.4698627952139</v>
      </c>
      <c r="J37" s="250">
        <f t="shared" si="6"/>
        <v>3299.2605989245808</v>
      </c>
      <c r="K37" s="250">
        <f t="shared" si="6"/>
        <v>3285.1237949484457</v>
      </c>
      <c r="L37" s="250">
        <f t="shared" si="6"/>
        <v>3271.0590060413433</v>
      </c>
      <c r="M37" s="250">
        <f t="shared" si="6"/>
        <v>3257.0657905712806</v>
      </c>
      <c r="N37" s="250">
        <f t="shared" si="6"/>
        <v>3243.1437100742696</v>
      </c>
      <c r="O37" s="250">
        <f t="shared" si="6"/>
        <v>3229.2923292290834</v>
      </c>
      <c r="P37" s="250">
        <f t="shared" si="6"/>
        <v>3215.5112158322117</v>
      </c>
      <c r="Q37" s="250">
        <f t="shared" si="6"/>
        <v>3201.7999407730422</v>
      </c>
      <c r="R37" s="250">
        <f t="shared" si="6"/>
        <v>3188.1580780092468</v>
      </c>
      <c r="S37" s="250">
        <f t="shared" si="6"/>
        <v>3174.5852045423726</v>
      </c>
      <c r="T37" s="250">
        <f t="shared" si="6"/>
        <v>3161.0809003936483</v>
      </c>
      <c r="U37" s="250">
        <f t="shared" si="5"/>
        <v>3147.644748579979</v>
      </c>
      <c r="V37" s="250">
        <f t="shared" si="5"/>
        <v>3134.2763350901637</v>
      </c>
      <c r="W37" s="250">
        <f t="shared" si="5"/>
        <v>3120.9752488612994</v>
      </c>
      <c r="X37" s="250">
        <f t="shared" si="5"/>
        <v>3107.74108175539</v>
      </c>
      <c r="Y37" s="250"/>
      <c r="Z37" s="24"/>
    </row>
    <row r="38" spans="1:26">
      <c r="A38" s="24"/>
      <c r="B38" s="24"/>
      <c r="C38" s="24"/>
      <c r="D38" t="s">
        <v>430</v>
      </c>
      <c r="E38" s="250">
        <f t="shared" si="6"/>
        <v>3371.0405269479006</v>
      </c>
      <c r="F38" s="250">
        <f t="shared" si="5"/>
        <v>3356.5369104716883</v>
      </c>
      <c r="G38" s="250">
        <f t="shared" si="5"/>
        <v>3342.1075656435023</v>
      </c>
      <c r="H38" s="250">
        <f t="shared" si="5"/>
        <v>3327.7520346049623</v>
      </c>
      <c r="I38" s="250">
        <f t="shared" si="5"/>
        <v>3313.4698627952139</v>
      </c>
      <c r="J38" s="250">
        <f t="shared" si="5"/>
        <v>3299.2605989245808</v>
      </c>
      <c r="K38" s="250">
        <f t="shared" si="5"/>
        <v>3285.1237949484457</v>
      </c>
      <c r="L38" s="250">
        <f t="shared" si="5"/>
        <v>3271.0590060413433</v>
      </c>
      <c r="M38" s="250">
        <f t="shared" si="5"/>
        <v>3257.0657905712806</v>
      </c>
      <c r="N38" s="250">
        <f t="shared" si="5"/>
        <v>3243.1437100742696</v>
      </c>
      <c r="O38" s="250">
        <f t="shared" si="5"/>
        <v>3229.2923292290834</v>
      </c>
      <c r="P38" s="250">
        <f t="shared" si="5"/>
        <v>3215.5112158322117</v>
      </c>
      <c r="Q38" s="250">
        <f t="shared" si="5"/>
        <v>3201.7999407730422</v>
      </c>
      <c r="R38" s="250">
        <f t="shared" si="5"/>
        <v>3188.1580780092468</v>
      </c>
      <c r="S38" s="250">
        <f t="shared" si="5"/>
        <v>3174.5852045423726</v>
      </c>
      <c r="T38" s="250">
        <f t="shared" si="5"/>
        <v>3161.0809003936483</v>
      </c>
      <c r="U38" s="250">
        <f t="shared" si="5"/>
        <v>3147.644748579979</v>
      </c>
      <c r="V38" s="250">
        <f t="shared" si="5"/>
        <v>3134.2763350901637</v>
      </c>
      <c r="W38" s="250">
        <f t="shared" si="5"/>
        <v>3120.9752488612994</v>
      </c>
      <c r="X38" s="250">
        <f t="shared" si="5"/>
        <v>3107.74108175539</v>
      </c>
      <c r="Y38" s="250"/>
      <c r="Z38" s="24"/>
    </row>
    <row r="39" spans="1:26">
      <c r="A39" s="24"/>
      <c r="B39" s="24"/>
      <c r="C39" s="24"/>
      <c r="D39" t="s">
        <v>417</v>
      </c>
      <c r="E39" s="250">
        <f t="shared" si="6"/>
        <v>3371.0405269479006</v>
      </c>
      <c r="F39" s="250">
        <f t="shared" si="5"/>
        <v>3356.5369104716883</v>
      </c>
      <c r="G39" s="250">
        <f t="shared" si="5"/>
        <v>3342.1075656435023</v>
      </c>
      <c r="H39" s="250">
        <f t="shared" si="5"/>
        <v>3327.7520346049623</v>
      </c>
      <c r="I39" s="250">
        <f t="shared" si="5"/>
        <v>3313.4698627952139</v>
      </c>
      <c r="J39" s="250">
        <f t="shared" si="5"/>
        <v>3299.2605989245808</v>
      </c>
      <c r="K39" s="250">
        <f t="shared" si="5"/>
        <v>3285.1237949484457</v>
      </c>
      <c r="L39" s="250">
        <f t="shared" si="5"/>
        <v>3271.0590060413433</v>
      </c>
      <c r="M39" s="250">
        <f t="shared" si="5"/>
        <v>3257.0657905712806</v>
      </c>
      <c r="N39" s="250">
        <f t="shared" si="5"/>
        <v>3243.1437100742696</v>
      </c>
      <c r="O39" s="250">
        <f t="shared" si="5"/>
        <v>3229.2923292290834</v>
      </c>
      <c r="P39" s="250">
        <f t="shared" si="5"/>
        <v>3215.5112158322117</v>
      </c>
      <c r="Q39" s="250">
        <f t="shared" si="5"/>
        <v>3201.7999407730422</v>
      </c>
      <c r="R39" s="250">
        <f t="shared" si="5"/>
        <v>3188.1580780092468</v>
      </c>
      <c r="S39" s="250">
        <f t="shared" si="5"/>
        <v>3174.5852045423726</v>
      </c>
      <c r="T39" s="250">
        <f t="shared" si="5"/>
        <v>3161.0809003936483</v>
      </c>
      <c r="U39" s="250">
        <f t="shared" si="5"/>
        <v>3147.644748579979</v>
      </c>
      <c r="V39" s="250">
        <f t="shared" si="5"/>
        <v>3134.2763350901637</v>
      </c>
      <c r="W39" s="250">
        <f t="shared" si="5"/>
        <v>3120.9752488612994</v>
      </c>
      <c r="X39" s="250">
        <f t="shared" si="5"/>
        <v>3107.74108175539</v>
      </c>
      <c r="Y39" s="250"/>
      <c r="Z39" s="24"/>
    </row>
    <row r="40" spans="1:26">
      <c r="A40" s="24"/>
      <c r="B40" s="24"/>
      <c r="C40" s="24"/>
      <c r="D40" t="s">
        <v>425</v>
      </c>
      <c r="E40" s="250">
        <f t="shared" si="6"/>
        <v>3371.0405269479006</v>
      </c>
      <c r="F40" s="250">
        <f t="shared" si="5"/>
        <v>3356.5369104716883</v>
      </c>
      <c r="G40" s="250">
        <f t="shared" si="5"/>
        <v>3342.1075656435023</v>
      </c>
      <c r="H40" s="250">
        <f t="shared" si="5"/>
        <v>3327.7520346049623</v>
      </c>
      <c r="I40" s="250">
        <f t="shared" si="5"/>
        <v>3313.4698627952139</v>
      </c>
      <c r="J40" s="250">
        <f t="shared" si="5"/>
        <v>3299.2605989245808</v>
      </c>
      <c r="K40" s="250">
        <f t="shared" si="5"/>
        <v>3285.1237949484457</v>
      </c>
      <c r="L40" s="250">
        <f t="shared" si="5"/>
        <v>3271.0590060413433</v>
      </c>
      <c r="M40" s="250">
        <f t="shared" si="5"/>
        <v>3257.0657905712806</v>
      </c>
      <c r="N40" s="250">
        <f t="shared" si="5"/>
        <v>3243.1437100742696</v>
      </c>
      <c r="O40" s="250">
        <f t="shared" si="5"/>
        <v>3229.2923292290834</v>
      </c>
      <c r="P40" s="250">
        <f t="shared" si="5"/>
        <v>3215.5112158322117</v>
      </c>
      <c r="Q40" s="250">
        <f t="shared" si="5"/>
        <v>3201.7999407730422</v>
      </c>
      <c r="R40" s="250">
        <f t="shared" si="5"/>
        <v>3188.1580780092468</v>
      </c>
      <c r="S40" s="250">
        <f t="shared" si="5"/>
        <v>3174.5852045423726</v>
      </c>
      <c r="T40" s="250">
        <f t="shared" si="5"/>
        <v>3161.0809003936483</v>
      </c>
      <c r="U40" s="250">
        <f t="shared" si="5"/>
        <v>3147.644748579979</v>
      </c>
      <c r="V40" s="250">
        <f t="shared" si="5"/>
        <v>3134.2763350901637</v>
      </c>
      <c r="W40" s="250">
        <f t="shared" si="5"/>
        <v>3120.9752488612994</v>
      </c>
      <c r="X40" s="250">
        <f t="shared" si="5"/>
        <v>3107.74108175539</v>
      </c>
      <c r="Y40" s="250"/>
      <c r="Z40" s="24"/>
    </row>
    <row r="41" spans="1:26">
      <c r="A41" s="24"/>
      <c r="B41" s="24"/>
      <c r="C41" s="24"/>
      <c r="D41" t="s">
        <v>421</v>
      </c>
      <c r="E41" s="250">
        <f t="shared" si="6"/>
        <v>3371.0405269479006</v>
      </c>
      <c r="F41" s="250">
        <f t="shared" si="5"/>
        <v>3356.5369104716883</v>
      </c>
      <c r="G41" s="250">
        <f t="shared" si="5"/>
        <v>3342.1075656435023</v>
      </c>
      <c r="H41" s="250">
        <f t="shared" si="5"/>
        <v>3327.7520346049623</v>
      </c>
      <c r="I41" s="250">
        <f t="shared" si="5"/>
        <v>3313.4698627952139</v>
      </c>
      <c r="J41" s="250">
        <f t="shared" si="5"/>
        <v>3299.2605989245808</v>
      </c>
      <c r="K41" s="250">
        <f t="shared" si="5"/>
        <v>3285.1237949484457</v>
      </c>
      <c r="L41" s="250">
        <f t="shared" si="5"/>
        <v>3271.0590060413433</v>
      </c>
      <c r="M41" s="250">
        <f t="shared" si="5"/>
        <v>3257.0657905712806</v>
      </c>
      <c r="N41" s="250">
        <f t="shared" si="5"/>
        <v>3243.1437100742696</v>
      </c>
      <c r="O41" s="250">
        <f t="shared" si="5"/>
        <v>3229.2923292290834</v>
      </c>
      <c r="P41" s="250">
        <f t="shared" si="5"/>
        <v>3215.5112158322117</v>
      </c>
      <c r="Q41" s="250">
        <f t="shared" si="5"/>
        <v>3201.7999407730422</v>
      </c>
      <c r="R41" s="250">
        <f t="shared" si="5"/>
        <v>3188.1580780092468</v>
      </c>
      <c r="S41" s="250">
        <f t="shared" si="5"/>
        <v>3174.5852045423726</v>
      </c>
      <c r="T41" s="250">
        <f t="shared" si="5"/>
        <v>3161.0809003936483</v>
      </c>
      <c r="U41" s="250">
        <f t="shared" si="5"/>
        <v>3147.644748579979</v>
      </c>
      <c r="V41" s="250">
        <f t="shared" si="5"/>
        <v>3134.2763350901637</v>
      </c>
      <c r="W41" s="250">
        <f t="shared" si="5"/>
        <v>3120.9752488612994</v>
      </c>
      <c r="X41" s="250">
        <f t="shared" si="5"/>
        <v>3107.74108175539</v>
      </c>
      <c r="Y41" s="250"/>
      <c r="Z41" s="24"/>
    </row>
    <row r="42" spans="1:26">
      <c r="A42" s="24"/>
      <c r="B42" s="24"/>
      <c r="C42" s="24"/>
      <c r="D42" t="s">
        <v>429</v>
      </c>
      <c r="E42" s="250">
        <f t="shared" si="6"/>
        <v>3371.0405269479006</v>
      </c>
      <c r="F42" s="250">
        <f t="shared" si="5"/>
        <v>3356.5369104716883</v>
      </c>
      <c r="G42" s="250">
        <f t="shared" si="5"/>
        <v>3342.1075656435023</v>
      </c>
      <c r="H42" s="250">
        <f t="shared" si="5"/>
        <v>3327.7520346049623</v>
      </c>
      <c r="I42" s="250">
        <f t="shared" si="5"/>
        <v>3313.4698627952139</v>
      </c>
      <c r="J42" s="250">
        <f t="shared" si="5"/>
        <v>3299.2605989245808</v>
      </c>
      <c r="K42" s="250">
        <f t="shared" si="5"/>
        <v>3285.1237949484457</v>
      </c>
      <c r="L42" s="250">
        <f t="shared" si="5"/>
        <v>3271.0590060413433</v>
      </c>
      <c r="M42" s="250">
        <f t="shared" si="5"/>
        <v>3257.0657905712806</v>
      </c>
      <c r="N42" s="250">
        <f t="shared" si="5"/>
        <v>3243.1437100742696</v>
      </c>
      <c r="O42" s="250">
        <f t="shared" si="5"/>
        <v>3229.2923292290834</v>
      </c>
      <c r="P42" s="250">
        <f t="shared" si="5"/>
        <v>3215.5112158322117</v>
      </c>
      <c r="Q42" s="250">
        <f t="shared" si="5"/>
        <v>3201.7999407730422</v>
      </c>
      <c r="R42" s="250">
        <f t="shared" si="5"/>
        <v>3188.1580780092468</v>
      </c>
      <c r="S42" s="250">
        <f t="shared" si="5"/>
        <v>3174.5852045423726</v>
      </c>
      <c r="T42" s="250">
        <f t="shared" si="5"/>
        <v>3161.0809003936483</v>
      </c>
      <c r="U42" s="250">
        <f t="shared" si="5"/>
        <v>3147.644748579979</v>
      </c>
      <c r="V42" s="250">
        <f t="shared" si="5"/>
        <v>3134.2763350901637</v>
      </c>
      <c r="W42" s="250">
        <f t="shared" si="5"/>
        <v>3120.9752488612994</v>
      </c>
      <c r="X42" s="250">
        <f t="shared" si="5"/>
        <v>3107.74108175539</v>
      </c>
      <c r="Y42" s="250"/>
      <c r="Z42" s="24"/>
    </row>
    <row r="43" spans="1:26">
      <c r="A43" s="24"/>
      <c r="B43" s="24"/>
      <c r="C43" s="24"/>
      <c r="D43" t="s">
        <v>433</v>
      </c>
      <c r="E43" s="250">
        <f t="shared" si="6"/>
        <v>3371.0405269479006</v>
      </c>
      <c r="F43" s="250">
        <f t="shared" si="5"/>
        <v>3356.5369104716883</v>
      </c>
      <c r="G43" s="250">
        <f t="shared" si="5"/>
        <v>3342.1075656435023</v>
      </c>
      <c r="H43" s="250">
        <f t="shared" si="5"/>
        <v>3327.7520346049623</v>
      </c>
      <c r="I43" s="250">
        <f t="shared" si="5"/>
        <v>3313.4698627952139</v>
      </c>
      <c r="J43" s="250">
        <f t="shared" si="5"/>
        <v>3299.2605989245808</v>
      </c>
      <c r="K43" s="250">
        <f t="shared" si="5"/>
        <v>3285.1237949484457</v>
      </c>
      <c r="L43" s="250">
        <f t="shared" si="5"/>
        <v>3271.0590060413433</v>
      </c>
      <c r="M43" s="250">
        <f t="shared" si="5"/>
        <v>3257.0657905712806</v>
      </c>
      <c r="N43" s="250">
        <f t="shared" si="5"/>
        <v>3243.1437100742696</v>
      </c>
      <c r="O43" s="250">
        <f t="shared" si="5"/>
        <v>3229.2923292290834</v>
      </c>
      <c r="P43" s="250">
        <f t="shared" si="5"/>
        <v>3215.5112158322117</v>
      </c>
      <c r="Q43" s="250">
        <f t="shared" si="5"/>
        <v>3201.7999407730422</v>
      </c>
      <c r="R43" s="250">
        <f t="shared" si="5"/>
        <v>3188.1580780092468</v>
      </c>
      <c r="S43" s="250">
        <f t="shared" si="5"/>
        <v>3174.5852045423726</v>
      </c>
      <c r="T43" s="250">
        <f t="shared" si="5"/>
        <v>3161.0809003936483</v>
      </c>
      <c r="U43" s="250">
        <f t="shared" si="5"/>
        <v>3147.644748579979</v>
      </c>
      <c r="V43" s="250">
        <f t="shared" si="5"/>
        <v>3134.2763350901637</v>
      </c>
      <c r="W43" s="250">
        <f t="shared" si="5"/>
        <v>3120.9752488612994</v>
      </c>
      <c r="X43" s="250">
        <f t="shared" si="5"/>
        <v>3107.74108175539</v>
      </c>
      <c r="Y43" s="250"/>
      <c r="Z43" s="24"/>
    </row>
    <row r="44" spans="1:26">
      <c r="A44" s="24"/>
      <c r="B44" s="24"/>
      <c r="C44" s="24"/>
      <c r="D44" s="198"/>
      <c r="E44" s="250"/>
      <c r="F44" s="250"/>
      <c r="G44" s="250"/>
      <c r="H44" s="250"/>
      <c r="I44" s="250"/>
      <c r="J44" s="250"/>
      <c r="K44" s="250"/>
      <c r="L44" s="250"/>
      <c r="M44" s="250"/>
      <c r="N44" s="250"/>
      <c r="O44" s="250"/>
      <c r="P44" s="250"/>
      <c r="Q44" s="250"/>
      <c r="R44" s="250"/>
      <c r="S44" s="250"/>
      <c r="T44" s="250"/>
      <c r="U44" s="250"/>
      <c r="V44" s="250"/>
      <c r="W44" s="250"/>
      <c r="X44" s="250"/>
      <c r="Y44" s="250"/>
      <c r="Z44" s="24"/>
    </row>
    <row r="45" spans="1:26">
      <c r="A45" s="24" t="s">
        <v>938</v>
      </c>
      <c r="B45" s="24"/>
      <c r="C45" s="24" t="s">
        <v>913</v>
      </c>
      <c r="D45" s="198"/>
      <c r="E45" s="250">
        <f>E36</f>
        <v>3371.0405269479006</v>
      </c>
      <c r="F45" s="250">
        <f t="shared" ref="F45:X45" si="7">F36</f>
        <v>3356.5369104716883</v>
      </c>
      <c r="G45" s="250">
        <f t="shared" si="7"/>
        <v>3342.1075656435023</v>
      </c>
      <c r="H45" s="250">
        <f t="shared" si="7"/>
        <v>3327.7520346049623</v>
      </c>
      <c r="I45" s="250">
        <f t="shared" si="7"/>
        <v>3313.4698627952139</v>
      </c>
      <c r="J45" s="250">
        <f t="shared" si="7"/>
        <v>3299.2605989245808</v>
      </c>
      <c r="K45" s="250">
        <f t="shared" si="7"/>
        <v>3285.1237949484457</v>
      </c>
      <c r="L45" s="250">
        <f t="shared" si="7"/>
        <v>3271.0590060413433</v>
      </c>
      <c r="M45" s="250">
        <f t="shared" si="7"/>
        <v>3257.0657905712806</v>
      </c>
      <c r="N45" s="250">
        <f t="shared" si="7"/>
        <v>3243.1437100742696</v>
      </c>
      <c r="O45" s="250">
        <f t="shared" si="7"/>
        <v>3229.2923292290834</v>
      </c>
      <c r="P45" s="250">
        <f t="shared" si="7"/>
        <v>3215.5112158322117</v>
      </c>
      <c r="Q45" s="250">
        <f t="shared" si="7"/>
        <v>3201.7999407730422</v>
      </c>
      <c r="R45" s="250">
        <f t="shared" si="7"/>
        <v>3188.1580780092468</v>
      </c>
      <c r="S45" s="250">
        <f t="shared" si="7"/>
        <v>3174.5852045423726</v>
      </c>
      <c r="T45" s="250">
        <f t="shared" si="7"/>
        <v>3161.0809003936483</v>
      </c>
      <c r="U45" s="250">
        <f t="shared" si="7"/>
        <v>3147.644748579979</v>
      </c>
      <c r="V45" s="250">
        <f t="shared" si="7"/>
        <v>3134.2763350901637</v>
      </c>
      <c r="W45" s="250">
        <f t="shared" si="7"/>
        <v>3120.9752488612994</v>
      </c>
      <c r="X45" s="250">
        <f t="shared" si="7"/>
        <v>3107.74108175539</v>
      </c>
      <c r="Y45" s="250"/>
      <c r="Z45" s="24"/>
    </row>
    <row r="46" spans="1:26">
      <c r="A46" s="24"/>
      <c r="B46" s="24"/>
      <c r="C46" s="24" t="s">
        <v>914</v>
      </c>
      <c r="D46" s="198"/>
      <c r="E46" s="250">
        <f>E45</f>
        <v>3371.0405269479006</v>
      </c>
      <c r="F46" s="250">
        <f t="shared" ref="F46:X46" si="8">F45</f>
        <v>3356.5369104716883</v>
      </c>
      <c r="G46" s="250">
        <f t="shared" si="8"/>
        <v>3342.1075656435023</v>
      </c>
      <c r="H46" s="250">
        <f t="shared" si="8"/>
        <v>3327.7520346049623</v>
      </c>
      <c r="I46" s="250">
        <f t="shared" si="8"/>
        <v>3313.4698627952139</v>
      </c>
      <c r="J46" s="250">
        <f t="shared" si="8"/>
        <v>3299.2605989245808</v>
      </c>
      <c r="K46" s="250">
        <f t="shared" si="8"/>
        <v>3285.1237949484457</v>
      </c>
      <c r="L46" s="250">
        <f t="shared" si="8"/>
        <v>3271.0590060413433</v>
      </c>
      <c r="M46" s="250">
        <f t="shared" si="8"/>
        <v>3257.0657905712806</v>
      </c>
      <c r="N46" s="250">
        <f t="shared" si="8"/>
        <v>3243.1437100742696</v>
      </c>
      <c r="O46" s="250">
        <f t="shared" si="8"/>
        <v>3229.2923292290834</v>
      </c>
      <c r="P46" s="250">
        <f t="shared" si="8"/>
        <v>3215.5112158322117</v>
      </c>
      <c r="Q46" s="250">
        <f t="shared" si="8"/>
        <v>3201.7999407730422</v>
      </c>
      <c r="R46" s="250">
        <f t="shared" si="8"/>
        <v>3188.1580780092468</v>
      </c>
      <c r="S46" s="250">
        <f t="shared" si="8"/>
        <v>3174.5852045423726</v>
      </c>
      <c r="T46" s="250">
        <f t="shared" si="8"/>
        <v>3161.0809003936483</v>
      </c>
      <c r="U46" s="250">
        <f t="shared" si="8"/>
        <v>3147.644748579979</v>
      </c>
      <c r="V46" s="250">
        <f t="shared" si="8"/>
        <v>3134.2763350901637</v>
      </c>
      <c r="W46" s="250">
        <f t="shared" si="8"/>
        <v>3120.9752488612994</v>
      </c>
      <c r="X46" s="250">
        <f t="shared" si="8"/>
        <v>3107.74108175539</v>
      </c>
      <c r="Y46" s="337"/>
      <c r="Z46" s="252">
        <f>$Z$12*X46</f>
        <v>2641.5799194920814</v>
      </c>
    </row>
    <row r="49" spans="1:26" ht="15">
      <c r="A49" s="279" t="s">
        <v>911</v>
      </c>
      <c r="B49" s="279"/>
      <c r="C49" s="24"/>
      <c r="D49" s="198"/>
      <c r="E49" s="336">
        <v>1</v>
      </c>
      <c r="F49" s="336">
        <v>2</v>
      </c>
      <c r="G49" s="336">
        <v>3</v>
      </c>
      <c r="H49" s="336">
        <v>4</v>
      </c>
      <c r="I49" s="336">
        <v>5</v>
      </c>
      <c r="J49" s="336">
        <v>6</v>
      </c>
      <c r="K49" s="336">
        <v>7</v>
      </c>
      <c r="L49" s="336">
        <v>8</v>
      </c>
      <c r="M49" s="336">
        <v>9</v>
      </c>
      <c r="N49" s="336">
        <v>10</v>
      </c>
      <c r="O49" s="336">
        <v>11</v>
      </c>
      <c r="P49" s="336">
        <v>12</v>
      </c>
      <c r="Q49" s="336">
        <v>13</v>
      </c>
      <c r="R49" s="336">
        <v>14</v>
      </c>
      <c r="S49" s="336">
        <v>15</v>
      </c>
      <c r="T49" s="336">
        <v>16</v>
      </c>
      <c r="U49" s="336">
        <v>17</v>
      </c>
      <c r="V49" s="336">
        <v>18</v>
      </c>
      <c r="W49" s="336">
        <v>19</v>
      </c>
      <c r="X49" s="336">
        <v>20</v>
      </c>
      <c r="Y49" s="248" t="s">
        <v>694</v>
      </c>
      <c r="Z49" s="248" t="s">
        <v>695</v>
      </c>
    </row>
    <row r="50" spans="1:26">
      <c r="A50" s="335" t="s">
        <v>791</v>
      </c>
      <c r="B50" s="335">
        <f ca="1">1/VLOOKUP($C$11,[1]TURN!TURN,MATCH($C$12,[1]!BLDGTYPE,0),FALSE)</f>
        <v>5</v>
      </c>
      <c r="D50" t="s">
        <v>940</v>
      </c>
      <c r="E50" s="250">
        <f ca="1">IF(E$49&lt;=$B$50,0,INDEX('SC-New'!$E$157:$X$164,2,'SC-NR'!E$49-ROUND($B$50,0)))</f>
        <v>0</v>
      </c>
      <c r="F50" s="250">
        <f ca="1">IF(F$49&lt;=$B$50,0,INDEX('SC-New'!$E$157:$X$164,2,'SC-NR'!F$49-ROUND($B$50,0)))</f>
        <v>0</v>
      </c>
      <c r="G50" s="250">
        <f ca="1">IF(G$49&lt;=$B$50,0,INDEX('SC-New'!$E$157:$X$164,2,'SC-NR'!G$49-ROUND($B$50,0)))</f>
        <v>0</v>
      </c>
      <c r="H50" s="250">
        <f ca="1">IF(H$49&lt;=$B$50,0,INDEX('SC-New'!$E$157:$X$164,2,'SC-NR'!H$49-ROUND($B$50,0)))</f>
        <v>0</v>
      </c>
      <c r="I50" s="250">
        <f ca="1">IF(I$49&lt;=$B$50,0,INDEX('SC-New'!$E$157:$X$164,2,'SC-NR'!I$49-ROUND($B$50,0)))</f>
        <v>0</v>
      </c>
      <c r="J50" s="250">
        <f ca="1">IF(J$49&lt;=$B$50,0,INDEX('SC-New'!$E$157:$X$164,2,'SC-NR'!J$49-ROUND($B$50,0)))</f>
        <v>46.375704996402163</v>
      </c>
      <c r="K50" s="250">
        <f ca="1">IF(K$49&lt;=$B$50,0,INDEX('SC-New'!$E$157:$X$164,2,'SC-NR'!K$49-ROUND($B$50,0)))</f>
        <v>33.573466032801782</v>
      </c>
      <c r="L50" s="250">
        <f ca="1">IF(L$49&lt;=$B$50,0,INDEX('SC-New'!$E$157:$X$164,2,'SC-NR'!L$49-ROUND($B$50,0)))</f>
        <v>25.257062640913997</v>
      </c>
      <c r="M50" s="250">
        <f ca="1">IF(M$49&lt;=$B$50,0,INDEX('SC-New'!$E$157:$X$164,2,'SC-NR'!M$49-ROUND($B$50,0)))</f>
        <v>22.151024506593377</v>
      </c>
      <c r="N50" s="250">
        <f ca="1">IF(N$49&lt;=$B$50,0,INDEX('SC-New'!$E$157:$X$164,2,'SC-NR'!N$49-ROUND($B$50,0)))</f>
        <v>16.658576883025418</v>
      </c>
      <c r="O50" s="250">
        <f ca="1">IF(O$49&lt;=$B$50,0,INDEX('SC-New'!$E$157:$X$164,2,'SC-NR'!O$49-ROUND($B$50,0)))</f>
        <v>13.398563820718344</v>
      </c>
      <c r="P50" s="250">
        <f ca="1">IF(P$49&lt;=$B$50,0,INDEX('SC-New'!$E$157:$X$164,2,'SC-NR'!P$49-ROUND($B$50,0)))</f>
        <v>12.986415972707295</v>
      </c>
      <c r="Q50" s="250">
        <f ca="1">IF(Q$49&lt;=$B$50,0,INDEX('SC-New'!$E$157:$X$164,2,'SC-NR'!Q$49-ROUND($B$50,0)))</f>
        <v>11.490597966961509</v>
      </c>
      <c r="R50" s="250">
        <f ca="1">IF(R$49&lt;=$B$50,0,INDEX('SC-New'!$E$157:$X$164,2,'SC-NR'!R$49-ROUND($B$50,0)))</f>
        <v>11.068163315383657</v>
      </c>
      <c r="S50" s="250">
        <f ca="1">IF(S$49&lt;=$B$50,0,INDEX('SC-New'!$E$157:$X$164,2,'SC-NR'!S$49-ROUND($B$50,0)))</f>
        <v>10.664445055387404</v>
      </c>
      <c r="T50" s="250">
        <f ca="1">IF(T$49&lt;=$B$50,0,INDEX('SC-New'!$E$157:$X$164,2,'SC-NR'!T$49-ROUND($B$50,0)))</f>
        <v>10.311600933758704</v>
      </c>
      <c r="U50" s="250">
        <f ca="1">IF(U$49&lt;=$B$50,0,INDEX('SC-New'!$E$157:$X$164,2,'SC-NR'!U$49-ROUND($B$50,0)))</f>
        <v>10.706717937838725</v>
      </c>
      <c r="V50" s="250">
        <f ca="1">IF(V$49&lt;=$B$50,0,INDEX('SC-New'!$E$157:$X$164,2,'SC-NR'!V$49-ROUND($B$50,0)))</f>
        <v>10.812850847920465</v>
      </c>
      <c r="W50" s="250">
        <f ca="1">IF(W$49&lt;=$B$50,0,INDEX('SC-New'!$E$157:$X$164,2,'SC-NR'!W$49-ROUND($B$50,0)))</f>
        <v>9.7588243699127588</v>
      </c>
      <c r="X50" s="250">
        <f ca="1">IF(X$49&lt;=$B$50,0,INDEX('SC-New'!$E$157:$X$164,2,'SC-NR'!X$49-ROUND($B$50,0)))</f>
        <v>9.7816540022677216</v>
      </c>
      <c r="Y50" s="250">
        <f ca="1">SUM(E50:X50)</f>
        <v>254.99566928259333</v>
      </c>
      <c r="Z50" s="24"/>
    </row>
    <row r="51" spans="1:26">
      <c r="A51" s="24"/>
      <c r="B51" s="24"/>
      <c r="D51" t="s">
        <v>941</v>
      </c>
      <c r="E51" s="250">
        <f ca="1">IF(E$49&lt;=$B$50,0,INDEX('SC-New'!$E$157:$X$164,2,'SC-NR'!E$49-ROUND($B$50,0)))</f>
        <v>0</v>
      </c>
      <c r="F51" s="250">
        <f ca="1">IF(F$49&lt;=$B$50,0,INDEX('SC-New'!$E$157:$X$164,2,'SC-NR'!F$49-ROUND($B$50,0)))</f>
        <v>0</v>
      </c>
      <c r="G51" s="250">
        <f ca="1">IF(G$49&lt;=$B$50,0,INDEX('SC-New'!$E$157:$X$164,2,'SC-NR'!G$49-ROUND($B$50,0)))</f>
        <v>0</v>
      </c>
      <c r="H51" s="250">
        <f ca="1">IF(H$49&lt;=$B$50,0,INDEX('SC-New'!$E$157:$X$164,2,'SC-NR'!H$49-ROUND($B$50,0)))</f>
        <v>0</v>
      </c>
      <c r="I51" s="250">
        <f ca="1">IF(I$49&lt;=$B$50,0,INDEX('SC-New'!$E$157:$X$164,2,'SC-NR'!I$49-ROUND($B$50,0)))</f>
        <v>0</v>
      </c>
      <c r="J51" s="250">
        <f ca="1">IF(J$49&lt;=$B$50,0,INDEX('SC-New'!$E$157:$X$164,2,'SC-NR'!J$49-ROUND($B$50,0)))</f>
        <v>46.375704996402163</v>
      </c>
      <c r="K51" s="250">
        <f ca="1">IF(K$49&lt;=$B$50,0,INDEX('SC-New'!$E$157:$X$164,2,'SC-NR'!K$49-ROUND($B$50,0)))</f>
        <v>33.573466032801782</v>
      </c>
      <c r="L51" s="250">
        <f ca="1">IF(L$49&lt;=$B$50,0,INDEX('SC-New'!$E$157:$X$164,2,'SC-NR'!L$49-ROUND($B$50,0)))</f>
        <v>25.257062640913997</v>
      </c>
      <c r="M51" s="250">
        <f ca="1">IF(M$49&lt;=$B$50,0,INDEX('SC-New'!$E$157:$X$164,2,'SC-NR'!M$49-ROUND($B$50,0)))</f>
        <v>22.151024506593377</v>
      </c>
      <c r="N51" s="250">
        <f ca="1">IF(N$49&lt;=$B$50,0,INDEX('SC-New'!$E$157:$X$164,2,'SC-NR'!N$49-ROUND($B$50,0)))</f>
        <v>16.658576883025418</v>
      </c>
      <c r="O51" s="250">
        <f ca="1">IF(O$49&lt;=$B$50,0,INDEX('SC-New'!$E$157:$X$164,2,'SC-NR'!O$49-ROUND($B$50,0)))</f>
        <v>13.398563820718344</v>
      </c>
      <c r="P51" s="250">
        <f ca="1">IF(P$49&lt;=$B$50,0,INDEX('SC-New'!$E$157:$X$164,2,'SC-NR'!P$49-ROUND($B$50,0)))</f>
        <v>12.986415972707295</v>
      </c>
      <c r="Q51" s="250">
        <f ca="1">IF(Q$49&lt;=$B$50,0,INDEX('SC-New'!$E$157:$X$164,2,'SC-NR'!Q$49-ROUND($B$50,0)))</f>
        <v>11.490597966961509</v>
      </c>
      <c r="R51" s="250">
        <f ca="1">IF(R$49&lt;=$B$50,0,INDEX('SC-New'!$E$157:$X$164,2,'SC-NR'!R$49-ROUND($B$50,0)))</f>
        <v>11.068163315383657</v>
      </c>
      <c r="S51" s="250">
        <f ca="1">IF(S$49&lt;=$B$50,0,INDEX('SC-New'!$E$157:$X$164,2,'SC-NR'!S$49-ROUND($B$50,0)))</f>
        <v>10.664445055387404</v>
      </c>
      <c r="T51" s="250">
        <f ca="1">IF(T$49&lt;=$B$50,0,INDEX('SC-New'!$E$157:$X$164,2,'SC-NR'!T$49-ROUND($B$50,0)))</f>
        <v>10.311600933758704</v>
      </c>
      <c r="U51" s="250">
        <f ca="1">IF(U$49&lt;=$B$50,0,INDEX('SC-New'!$E$157:$X$164,2,'SC-NR'!U$49-ROUND($B$50,0)))</f>
        <v>10.706717937838725</v>
      </c>
      <c r="V51" s="250">
        <f ca="1">IF(V$49&lt;=$B$50,0,INDEX('SC-New'!$E$157:$X$164,2,'SC-NR'!V$49-ROUND($B$50,0)))</f>
        <v>10.812850847920465</v>
      </c>
      <c r="W51" s="250">
        <f ca="1">IF(W$49&lt;=$B$50,0,INDEX('SC-New'!$E$157:$X$164,2,'SC-NR'!W$49-ROUND($B$50,0)))</f>
        <v>9.7588243699127588</v>
      </c>
      <c r="X51" s="250">
        <f ca="1">IF(X$49&lt;=$B$50,0,INDEX('SC-New'!$E$157:$X$164,2,'SC-NR'!X$49-ROUND($B$50,0)))</f>
        <v>9.7816540022677216</v>
      </c>
      <c r="Y51" s="250">
        <f t="shared" ref="Y51:Y57" ca="1" si="9">SUM(E51:X51)</f>
        <v>254.99566928259333</v>
      </c>
      <c r="Z51" s="24"/>
    </row>
    <row r="52" spans="1:26">
      <c r="A52" s="24"/>
      <c r="B52" s="24"/>
      <c r="D52" t="s">
        <v>942</v>
      </c>
      <c r="E52" s="250">
        <f ca="1">IF(E$49&lt;=$B$50,0,INDEX('SC-New'!$E$157:$X$164,2,'SC-NR'!E$49-ROUND($B$50,0)))</f>
        <v>0</v>
      </c>
      <c r="F52" s="250">
        <f ca="1">IF(F$49&lt;=$B$50,0,INDEX('SC-New'!$E$157:$X$164,2,'SC-NR'!F$49-ROUND($B$50,0)))</f>
        <v>0</v>
      </c>
      <c r="G52" s="250">
        <f ca="1">IF(G$49&lt;=$B$50,0,INDEX('SC-New'!$E$157:$X$164,2,'SC-NR'!G$49-ROUND($B$50,0)))</f>
        <v>0</v>
      </c>
      <c r="H52" s="250">
        <f ca="1">IF(H$49&lt;=$B$50,0,INDEX('SC-New'!$E$157:$X$164,2,'SC-NR'!H$49-ROUND($B$50,0)))</f>
        <v>0</v>
      </c>
      <c r="I52" s="250">
        <f ca="1">IF(I$49&lt;=$B$50,0,INDEX('SC-New'!$E$157:$X$164,2,'SC-NR'!I$49-ROUND($B$50,0)))</f>
        <v>0</v>
      </c>
      <c r="J52" s="250">
        <f ca="1">IF(J$49&lt;=$B$50,0,INDEX('SC-New'!$E$157:$X$164,2,'SC-NR'!J$49-ROUND($B$50,0)))</f>
        <v>46.375704996402163</v>
      </c>
      <c r="K52" s="250">
        <f ca="1">IF(K$49&lt;=$B$50,0,INDEX('SC-New'!$E$157:$X$164,2,'SC-NR'!K$49-ROUND($B$50,0)))</f>
        <v>33.573466032801782</v>
      </c>
      <c r="L52" s="250">
        <f ca="1">IF(L$49&lt;=$B$50,0,INDEX('SC-New'!$E$157:$X$164,2,'SC-NR'!L$49-ROUND($B$50,0)))</f>
        <v>25.257062640913997</v>
      </c>
      <c r="M52" s="250">
        <f ca="1">IF(M$49&lt;=$B$50,0,INDEX('SC-New'!$E$157:$X$164,2,'SC-NR'!M$49-ROUND($B$50,0)))</f>
        <v>22.151024506593377</v>
      </c>
      <c r="N52" s="250">
        <f ca="1">IF(N$49&lt;=$B$50,0,INDEX('SC-New'!$E$157:$X$164,2,'SC-NR'!N$49-ROUND($B$50,0)))</f>
        <v>16.658576883025418</v>
      </c>
      <c r="O52" s="250">
        <f ca="1">IF(O$49&lt;=$B$50,0,INDEX('SC-New'!$E$157:$X$164,2,'SC-NR'!O$49-ROUND($B$50,0)))</f>
        <v>13.398563820718344</v>
      </c>
      <c r="P52" s="250">
        <f ca="1">IF(P$49&lt;=$B$50,0,INDEX('SC-New'!$E$157:$X$164,2,'SC-NR'!P$49-ROUND($B$50,0)))</f>
        <v>12.986415972707295</v>
      </c>
      <c r="Q52" s="250">
        <f ca="1">IF(Q$49&lt;=$B$50,0,INDEX('SC-New'!$E$157:$X$164,2,'SC-NR'!Q$49-ROUND($B$50,0)))</f>
        <v>11.490597966961509</v>
      </c>
      <c r="R52" s="250">
        <f ca="1">IF(R$49&lt;=$B$50,0,INDEX('SC-New'!$E$157:$X$164,2,'SC-NR'!R$49-ROUND($B$50,0)))</f>
        <v>11.068163315383657</v>
      </c>
      <c r="S52" s="250">
        <f ca="1">IF(S$49&lt;=$B$50,0,INDEX('SC-New'!$E$157:$X$164,2,'SC-NR'!S$49-ROUND($B$50,0)))</f>
        <v>10.664445055387404</v>
      </c>
      <c r="T52" s="250">
        <f ca="1">IF(T$49&lt;=$B$50,0,INDEX('SC-New'!$E$157:$X$164,2,'SC-NR'!T$49-ROUND($B$50,0)))</f>
        <v>10.311600933758704</v>
      </c>
      <c r="U52" s="250">
        <f ca="1">IF(U$49&lt;=$B$50,0,INDEX('SC-New'!$E$157:$X$164,2,'SC-NR'!U$49-ROUND($B$50,0)))</f>
        <v>10.706717937838725</v>
      </c>
      <c r="V52" s="250">
        <f ca="1">IF(V$49&lt;=$B$50,0,INDEX('SC-New'!$E$157:$X$164,2,'SC-NR'!V$49-ROUND($B$50,0)))</f>
        <v>10.812850847920465</v>
      </c>
      <c r="W52" s="250">
        <f ca="1">IF(W$49&lt;=$B$50,0,INDEX('SC-New'!$E$157:$X$164,2,'SC-NR'!W$49-ROUND($B$50,0)))</f>
        <v>9.7588243699127588</v>
      </c>
      <c r="X52" s="250">
        <f ca="1">IF(X$49&lt;=$B$50,0,INDEX('SC-New'!$E$157:$X$164,2,'SC-NR'!X$49-ROUND($B$50,0)))</f>
        <v>9.7816540022677216</v>
      </c>
      <c r="Y52" s="250">
        <f t="shared" ca="1" si="9"/>
        <v>254.99566928259333</v>
      </c>
      <c r="Z52" s="24"/>
    </row>
    <row r="53" spans="1:26">
      <c r="A53" s="24"/>
      <c r="B53" s="24"/>
      <c r="D53" t="s">
        <v>943</v>
      </c>
      <c r="E53" s="250">
        <f ca="1">IF(E$49&lt;=$B$50,0,INDEX('SC-New'!$E$157:$X$164,2,'SC-NR'!E$49-ROUND($B$50,0)))</f>
        <v>0</v>
      </c>
      <c r="F53" s="250">
        <f ca="1">IF(F$49&lt;=$B$50,0,INDEX('SC-New'!$E$157:$X$164,2,'SC-NR'!F$49-ROUND($B$50,0)))</f>
        <v>0</v>
      </c>
      <c r="G53" s="250">
        <f ca="1">IF(G$49&lt;=$B$50,0,INDEX('SC-New'!$E$157:$X$164,2,'SC-NR'!G$49-ROUND($B$50,0)))</f>
        <v>0</v>
      </c>
      <c r="H53" s="250">
        <f ca="1">IF(H$49&lt;=$B$50,0,INDEX('SC-New'!$E$157:$X$164,2,'SC-NR'!H$49-ROUND($B$50,0)))</f>
        <v>0</v>
      </c>
      <c r="I53" s="250">
        <f ca="1">IF(I$49&lt;=$B$50,0,INDEX('SC-New'!$E$157:$X$164,2,'SC-NR'!I$49-ROUND($B$50,0)))</f>
        <v>0</v>
      </c>
      <c r="J53" s="250">
        <f ca="1">IF(J$49&lt;=$B$50,0,INDEX('SC-New'!$E$157:$X$164,2,'SC-NR'!J$49-ROUND($B$50,0)))</f>
        <v>46.375704996402163</v>
      </c>
      <c r="K53" s="250">
        <f ca="1">IF(K$49&lt;=$B$50,0,INDEX('SC-New'!$E$157:$X$164,2,'SC-NR'!K$49-ROUND($B$50,0)))</f>
        <v>33.573466032801782</v>
      </c>
      <c r="L53" s="250">
        <f ca="1">IF(L$49&lt;=$B$50,0,INDEX('SC-New'!$E$157:$X$164,2,'SC-NR'!L$49-ROUND($B$50,0)))</f>
        <v>25.257062640913997</v>
      </c>
      <c r="M53" s="250">
        <f ca="1">IF(M$49&lt;=$B$50,0,INDEX('SC-New'!$E$157:$X$164,2,'SC-NR'!M$49-ROUND($B$50,0)))</f>
        <v>22.151024506593377</v>
      </c>
      <c r="N53" s="250">
        <f ca="1">IF(N$49&lt;=$B$50,0,INDEX('SC-New'!$E$157:$X$164,2,'SC-NR'!N$49-ROUND($B$50,0)))</f>
        <v>16.658576883025418</v>
      </c>
      <c r="O53" s="250">
        <f ca="1">IF(O$49&lt;=$B$50,0,INDEX('SC-New'!$E$157:$X$164,2,'SC-NR'!O$49-ROUND($B$50,0)))</f>
        <v>13.398563820718344</v>
      </c>
      <c r="P53" s="250">
        <f ca="1">IF(P$49&lt;=$B$50,0,INDEX('SC-New'!$E$157:$X$164,2,'SC-NR'!P$49-ROUND($B$50,0)))</f>
        <v>12.986415972707295</v>
      </c>
      <c r="Q53" s="250">
        <f ca="1">IF(Q$49&lt;=$B$50,0,INDEX('SC-New'!$E$157:$X$164,2,'SC-NR'!Q$49-ROUND($B$50,0)))</f>
        <v>11.490597966961509</v>
      </c>
      <c r="R53" s="250">
        <f ca="1">IF(R$49&lt;=$B$50,0,INDEX('SC-New'!$E$157:$X$164,2,'SC-NR'!R$49-ROUND($B$50,0)))</f>
        <v>11.068163315383657</v>
      </c>
      <c r="S53" s="250">
        <f ca="1">IF(S$49&lt;=$B$50,0,INDEX('SC-New'!$E$157:$X$164,2,'SC-NR'!S$49-ROUND($B$50,0)))</f>
        <v>10.664445055387404</v>
      </c>
      <c r="T53" s="250">
        <f ca="1">IF(T$49&lt;=$B$50,0,INDEX('SC-New'!$E$157:$X$164,2,'SC-NR'!T$49-ROUND($B$50,0)))</f>
        <v>10.311600933758704</v>
      </c>
      <c r="U53" s="250">
        <f ca="1">IF(U$49&lt;=$B$50,0,INDEX('SC-New'!$E$157:$X$164,2,'SC-NR'!U$49-ROUND($B$50,0)))</f>
        <v>10.706717937838725</v>
      </c>
      <c r="V53" s="250">
        <f ca="1">IF(V$49&lt;=$B$50,0,INDEX('SC-New'!$E$157:$X$164,2,'SC-NR'!V$49-ROUND($B$50,0)))</f>
        <v>10.812850847920465</v>
      </c>
      <c r="W53" s="250">
        <f ca="1">IF(W$49&lt;=$B$50,0,INDEX('SC-New'!$E$157:$X$164,2,'SC-NR'!W$49-ROUND($B$50,0)))</f>
        <v>9.7588243699127588</v>
      </c>
      <c r="X53" s="250">
        <f ca="1">IF(X$49&lt;=$B$50,0,INDEX('SC-New'!$E$157:$X$164,2,'SC-NR'!X$49-ROUND($B$50,0)))</f>
        <v>9.7816540022677216</v>
      </c>
      <c r="Y53" s="250">
        <f t="shared" ca="1" si="9"/>
        <v>254.99566928259333</v>
      </c>
      <c r="Z53" s="24"/>
    </row>
    <row r="54" spans="1:26">
      <c r="A54" s="24"/>
      <c r="B54" s="24"/>
      <c r="D54" t="s">
        <v>944</v>
      </c>
      <c r="E54" s="250">
        <f ca="1">IF(E$49&lt;=$B$50,0,INDEX('SC-New'!$E$157:$X$164,2,'SC-NR'!E$49-ROUND($B$50,0)))</f>
        <v>0</v>
      </c>
      <c r="F54" s="250">
        <f ca="1">IF(F$49&lt;=$B$50,0,INDEX('SC-New'!$E$157:$X$164,2,'SC-NR'!F$49-ROUND($B$50,0)))</f>
        <v>0</v>
      </c>
      <c r="G54" s="250">
        <f ca="1">IF(G$49&lt;=$B$50,0,INDEX('SC-New'!$E$157:$X$164,2,'SC-NR'!G$49-ROUND($B$50,0)))</f>
        <v>0</v>
      </c>
      <c r="H54" s="250">
        <f ca="1">IF(H$49&lt;=$B$50,0,INDEX('SC-New'!$E$157:$X$164,2,'SC-NR'!H$49-ROUND($B$50,0)))</f>
        <v>0</v>
      </c>
      <c r="I54" s="250">
        <f ca="1">IF(I$49&lt;=$B$50,0,INDEX('SC-New'!$E$157:$X$164,2,'SC-NR'!I$49-ROUND($B$50,0)))</f>
        <v>0</v>
      </c>
      <c r="J54" s="250">
        <f ca="1">IF(J$49&lt;=$B$50,0,INDEX('SC-New'!$E$157:$X$164,2,'SC-NR'!J$49-ROUND($B$50,0)))</f>
        <v>46.375704996402163</v>
      </c>
      <c r="K54" s="250">
        <f ca="1">IF(K$49&lt;=$B$50,0,INDEX('SC-New'!$E$157:$X$164,2,'SC-NR'!K$49-ROUND($B$50,0)))</f>
        <v>33.573466032801782</v>
      </c>
      <c r="L54" s="250">
        <f ca="1">IF(L$49&lt;=$B$50,0,INDEX('SC-New'!$E$157:$X$164,2,'SC-NR'!L$49-ROUND($B$50,0)))</f>
        <v>25.257062640913997</v>
      </c>
      <c r="M54" s="250">
        <f ca="1">IF(M$49&lt;=$B$50,0,INDEX('SC-New'!$E$157:$X$164,2,'SC-NR'!M$49-ROUND($B$50,0)))</f>
        <v>22.151024506593377</v>
      </c>
      <c r="N54" s="250">
        <f ca="1">IF(N$49&lt;=$B$50,0,INDEX('SC-New'!$E$157:$X$164,2,'SC-NR'!N$49-ROUND($B$50,0)))</f>
        <v>16.658576883025418</v>
      </c>
      <c r="O54" s="250">
        <f ca="1">IF(O$49&lt;=$B$50,0,INDEX('SC-New'!$E$157:$X$164,2,'SC-NR'!O$49-ROUND($B$50,0)))</f>
        <v>13.398563820718344</v>
      </c>
      <c r="P54" s="250">
        <f ca="1">IF(P$49&lt;=$B$50,0,INDEX('SC-New'!$E$157:$X$164,2,'SC-NR'!P$49-ROUND($B$50,0)))</f>
        <v>12.986415972707295</v>
      </c>
      <c r="Q54" s="250">
        <f ca="1">IF(Q$49&lt;=$B$50,0,INDEX('SC-New'!$E$157:$X$164,2,'SC-NR'!Q$49-ROUND($B$50,0)))</f>
        <v>11.490597966961509</v>
      </c>
      <c r="R54" s="250">
        <f ca="1">IF(R$49&lt;=$B$50,0,INDEX('SC-New'!$E$157:$X$164,2,'SC-NR'!R$49-ROUND($B$50,0)))</f>
        <v>11.068163315383657</v>
      </c>
      <c r="S54" s="250">
        <f ca="1">IF(S$49&lt;=$B$50,0,INDEX('SC-New'!$E$157:$X$164,2,'SC-NR'!S$49-ROUND($B$50,0)))</f>
        <v>10.664445055387404</v>
      </c>
      <c r="T54" s="250">
        <f ca="1">IF(T$49&lt;=$B$50,0,INDEX('SC-New'!$E$157:$X$164,2,'SC-NR'!T$49-ROUND($B$50,0)))</f>
        <v>10.311600933758704</v>
      </c>
      <c r="U54" s="250">
        <f ca="1">IF(U$49&lt;=$B$50,0,INDEX('SC-New'!$E$157:$X$164,2,'SC-NR'!U$49-ROUND($B$50,0)))</f>
        <v>10.706717937838725</v>
      </c>
      <c r="V54" s="250">
        <f ca="1">IF(V$49&lt;=$B$50,0,INDEX('SC-New'!$E$157:$X$164,2,'SC-NR'!V$49-ROUND($B$50,0)))</f>
        <v>10.812850847920465</v>
      </c>
      <c r="W54" s="250">
        <f ca="1">IF(W$49&lt;=$B$50,0,INDEX('SC-New'!$E$157:$X$164,2,'SC-NR'!W$49-ROUND($B$50,0)))</f>
        <v>9.7588243699127588</v>
      </c>
      <c r="X54" s="250">
        <f ca="1">IF(X$49&lt;=$B$50,0,INDEX('SC-New'!$E$157:$X$164,2,'SC-NR'!X$49-ROUND($B$50,0)))</f>
        <v>9.7816540022677216</v>
      </c>
      <c r="Y54" s="250">
        <f t="shared" ca="1" si="9"/>
        <v>254.99566928259333</v>
      </c>
      <c r="Z54" s="24"/>
    </row>
    <row r="55" spans="1:26">
      <c r="A55" s="24"/>
      <c r="B55" s="24"/>
      <c r="D55" t="s">
        <v>943</v>
      </c>
      <c r="E55" s="250">
        <f ca="1">IF(E$49&lt;=$B$50,0,INDEX('SC-New'!$E$157:$X$164,2,'SC-NR'!E$49-ROUND($B$50,0)))</f>
        <v>0</v>
      </c>
      <c r="F55" s="250">
        <f ca="1">IF(F$49&lt;=$B$50,0,INDEX('SC-New'!$E$157:$X$164,2,'SC-NR'!F$49-ROUND($B$50,0)))</f>
        <v>0</v>
      </c>
      <c r="G55" s="250">
        <f ca="1">IF(G$49&lt;=$B$50,0,INDEX('SC-New'!$E$157:$X$164,2,'SC-NR'!G$49-ROUND($B$50,0)))</f>
        <v>0</v>
      </c>
      <c r="H55" s="250">
        <f ca="1">IF(H$49&lt;=$B$50,0,INDEX('SC-New'!$E$157:$X$164,2,'SC-NR'!H$49-ROUND($B$50,0)))</f>
        <v>0</v>
      </c>
      <c r="I55" s="250">
        <f ca="1">IF(I$49&lt;=$B$50,0,INDEX('SC-New'!$E$157:$X$164,2,'SC-NR'!I$49-ROUND($B$50,0)))</f>
        <v>0</v>
      </c>
      <c r="J55" s="250">
        <f ca="1">IF(J$49&lt;=$B$50,0,INDEX('SC-New'!$E$157:$X$164,2,'SC-NR'!J$49-ROUND($B$50,0)))</f>
        <v>46.375704996402163</v>
      </c>
      <c r="K55" s="250">
        <f ca="1">IF(K$49&lt;=$B$50,0,INDEX('SC-New'!$E$157:$X$164,2,'SC-NR'!K$49-ROUND($B$50,0)))</f>
        <v>33.573466032801782</v>
      </c>
      <c r="L55" s="250">
        <f ca="1">IF(L$49&lt;=$B$50,0,INDEX('SC-New'!$E$157:$X$164,2,'SC-NR'!L$49-ROUND($B$50,0)))</f>
        <v>25.257062640913997</v>
      </c>
      <c r="M55" s="250">
        <f ca="1">IF(M$49&lt;=$B$50,0,INDEX('SC-New'!$E$157:$X$164,2,'SC-NR'!M$49-ROUND($B$50,0)))</f>
        <v>22.151024506593377</v>
      </c>
      <c r="N55" s="250">
        <f ca="1">IF(N$49&lt;=$B$50,0,INDEX('SC-New'!$E$157:$X$164,2,'SC-NR'!N$49-ROUND($B$50,0)))</f>
        <v>16.658576883025418</v>
      </c>
      <c r="O55" s="250">
        <f ca="1">IF(O$49&lt;=$B$50,0,INDEX('SC-New'!$E$157:$X$164,2,'SC-NR'!O$49-ROUND($B$50,0)))</f>
        <v>13.398563820718344</v>
      </c>
      <c r="P55" s="250">
        <f ca="1">IF(P$49&lt;=$B$50,0,INDEX('SC-New'!$E$157:$X$164,2,'SC-NR'!P$49-ROUND($B$50,0)))</f>
        <v>12.986415972707295</v>
      </c>
      <c r="Q55" s="250">
        <f ca="1">IF(Q$49&lt;=$B$50,0,INDEX('SC-New'!$E$157:$X$164,2,'SC-NR'!Q$49-ROUND($B$50,0)))</f>
        <v>11.490597966961509</v>
      </c>
      <c r="R55" s="250">
        <f ca="1">IF(R$49&lt;=$B$50,0,INDEX('SC-New'!$E$157:$X$164,2,'SC-NR'!R$49-ROUND($B$50,0)))</f>
        <v>11.068163315383657</v>
      </c>
      <c r="S55" s="250">
        <f ca="1">IF(S$49&lt;=$B$50,0,INDEX('SC-New'!$E$157:$X$164,2,'SC-NR'!S$49-ROUND($B$50,0)))</f>
        <v>10.664445055387404</v>
      </c>
      <c r="T55" s="250">
        <f ca="1">IF(T$49&lt;=$B$50,0,INDEX('SC-New'!$E$157:$X$164,2,'SC-NR'!T$49-ROUND($B$50,0)))</f>
        <v>10.311600933758704</v>
      </c>
      <c r="U55" s="250">
        <f ca="1">IF(U$49&lt;=$B$50,0,INDEX('SC-New'!$E$157:$X$164,2,'SC-NR'!U$49-ROUND($B$50,0)))</f>
        <v>10.706717937838725</v>
      </c>
      <c r="V55" s="250">
        <f ca="1">IF(V$49&lt;=$B$50,0,INDEX('SC-New'!$E$157:$X$164,2,'SC-NR'!V$49-ROUND($B$50,0)))</f>
        <v>10.812850847920465</v>
      </c>
      <c r="W55" s="250">
        <f ca="1">IF(W$49&lt;=$B$50,0,INDEX('SC-New'!$E$157:$X$164,2,'SC-NR'!W$49-ROUND($B$50,0)))</f>
        <v>9.7588243699127588</v>
      </c>
      <c r="X55" s="250">
        <f ca="1">IF(X$49&lt;=$B$50,0,INDEX('SC-New'!$E$157:$X$164,2,'SC-NR'!X$49-ROUND($B$50,0)))</f>
        <v>9.7816540022677216</v>
      </c>
      <c r="Y55" s="250">
        <f t="shared" ca="1" si="9"/>
        <v>254.99566928259333</v>
      </c>
      <c r="Z55" s="24"/>
    </row>
    <row r="56" spans="1:26">
      <c r="A56" s="24"/>
      <c r="B56" s="24"/>
      <c r="D56" t="s">
        <v>945</v>
      </c>
      <c r="E56" s="250">
        <f ca="1">IF(E$49&lt;=$B$50,0,INDEX('SC-New'!$E$157:$X$164,2,'SC-NR'!E$49-ROUND($B$50,0)))</f>
        <v>0</v>
      </c>
      <c r="F56" s="250">
        <f ca="1">IF(F$49&lt;=$B$50,0,INDEX('SC-New'!$E$157:$X$164,2,'SC-NR'!F$49-ROUND($B$50,0)))</f>
        <v>0</v>
      </c>
      <c r="G56" s="250">
        <f ca="1">IF(G$49&lt;=$B$50,0,INDEX('SC-New'!$E$157:$X$164,2,'SC-NR'!G$49-ROUND($B$50,0)))</f>
        <v>0</v>
      </c>
      <c r="H56" s="250">
        <f ca="1">IF(H$49&lt;=$B$50,0,INDEX('SC-New'!$E$157:$X$164,2,'SC-NR'!H$49-ROUND($B$50,0)))</f>
        <v>0</v>
      </c>
      <c r="I56" s="250">
        <f ca="1">IF(I$49&lt;=$B$50,0,INDEX('SC-New'!$E$157:$X$164,2,'SC-NR'!I$49-ROUND($B$50,0)))</f>
        <v>0</v>
      </c>
      <c r="J56" s="250">
        <f ca="1">IF(J$49&lt;=$B$50,0,INDEX('SC-New'!$E$157:$X$164,2,'SC-NR'!J$49-ROUND($B$50,0)))</f>
        <v>46.375704996402163</v>
      </c>
      <c r="K56" s="250">
        <f ca="1">IF(K$49&lt;=$B$50,0,INDEX('SC-New'!$E$157:$X$164,2,'SC-NR'!K$49-ROUND($B$50,0)))</f>
        <v>33.573466032801782</v>
      </c>
      <c r="L56" s="250">
        <f ca="1">IF(L$49&lt;=$B$50,0,INDEX('SC-New'!$E$157:$X$164,2,'SC-NR'!L$49-ROUND($B$50,0)))</f>
        <v>25.257062640913997</v>
      </c>
      <c r="M56" s="250">
        <f ca="1">IF(M$49&lt;=$B$50,0,INDEX('SC-New'!$E$157:$X$164,2,'SC-NR'!M$49-ROUND($B$50,0)))</f>
        <v>22.151024506593377</v>
      </c>
      <c r="N56" s="250">
        <f ca="1">IF(N$49&lt;=$B$50,0,INDEX('SC-New'!$E$157:$X$164,2,'SC-NR'!N$49-ROUND($B$50,0)))</f>
        <v>16.658576883025418</v>
      </c>
      <c r="O56" s="250">
        <f ca="1">IF(O$49&lt;=$B$50,0,INDEX('SC-New'!$E$157:$X$164,2,'SC-NR'!O$49-ROUND($B$50,0)))</f>
        <v>13.398563820718344</v>
      </c>
      <c r="P56" s="250">
        <f ca="1">IF(P$49&lt;=$B$50,0,INDEX('SC-New'!$E$157:$X$164,2,'SC-NR'!P$49-ROUND($B$50,0)))</f>
        <v>12.986415972707295</v>
      </c>
      <c r="Q56" s="250">
        <f ca="1">IF(Q$49&lt;=$B$50,0,INDEX('SC-New'!$E$157:$X$164,2,'SC-NR'!Q$49-ROUND($B$50,0)))</f>
        <v>11.490597966961509</v>
      </c>
      <c r="R56" s="250">
        <f ca="1">IF(R$49&lt;=$B$50,0,INDEX('SC-New'!$E$157:$X$164,2,'SC-NR'!R$49-ROUND($B$50,0)))</f>
        <v>11.068163315383657</v>
      </c>
      <c r="S56" s="250">
        <f ca="1">IF(S$49&lt;=$B$50,0,INDEX('SC-New'!$E$157:$X$164,2,'SC-NR'!S$49-ROUND($B$50,0)))</f>
        <v>10.664445055387404</v>
      </c>
      <c r="T56" s="250">
        <f ca="1">IF(T$49&lt;=$B$50,0,INDEX('SC-New'!$E$157:$X$164,2,'SC-NR'!T$49-ROUND($B$50,0)))</f>
        <v>10.311600933758704</v>
      </c>
      <c r="U56" s="250">
        <f ca="1">IF(U$49&lt;=$B$50,0,INDEX('SC-New'!$E$157:$X$164,2,'SC-NR'!U$49-ROUND($B$50,0)))</f>
        <v>10.706717937838725</v>
      </c>
      <c r="V56" s="250">
        <f ca="1">IF(V$49&lt;=$B$50,0,INDEX('SC-New'!$E$157:$X$164,2,'SC-NR'!V$49-ROUND($B$50,0)))</f>
        <v>10.812850847920465</v>
      </c>
      <c r="W56" s="250">
        <f ca="1">IF(W$49&lt;=$B$50,0,INDEX('SC-New'!$E$157:$X$164,2,'SC-NR'!W$49-ROUND($B$50,0)))</f>
        <v>9.7588243699127588</v>
      </c>
      <c r="X56" s="250">
        <f ca="1">IF(X$49&lt;=$B$50,0,INDEX('SC-New'!$E$157:$X$164,2,'SC-NR'!X$49-ROUND($B$50,0)))</f>
        <v>9.7816540022677216</v>
      </c>
      <c r="Y56" s="250">
        <f t="shared" ca="1" si="9"/>
        <v>254.99566928259333</v>
      </c>
      <c r="Z56" s="24"/>
    </row>
    <row r="57" spans="1:26">
      <c r="A57" s="24"/>
      <c r="B57" s="24"/>
      <c r="D57" t="s">
        <v>946</v>
      </c>
      <c r="E57" s="250">
        <f ca="1">IF(E$49&lt;=$B$50,0,INDEX('SC-New'!$E$157:$X$164,2,'SC-NR'!E$49-ROUND($B$50,0)))</f>
        <v>0</v>
      </c>
      <c r="F57" s="250">
        <f ca="1">IF(F$49&lt;=$B$50,0,INDEX('SC-New'!$E$157:$X$164,2,'SC-NR'!F$49-ROUND($B$50,0)))</f>
        <v>0</v>
      </c>
      <c r="G57" s="250">
        <f ca="1">IF(G$49&lt;=$B$50,0,INDEX('SC-New'!$E$157:$X$164,2,'SC-NR'!G$49-ROUND($B$50,0)))</f>
        <v>0</v>
      </c>
      <c r="H57" s="250">
        <f ca="1">IF(H$49&lt;=$B$50,0,INDEX('SC-New'!$E$157:$X$164,2,'SC-NR'!H$49-ROUND($B$50,0)))</f>
        <v>0</v>
      </c>
      <c r="I57" s="250">
        <f ca="1">IF(I$49&lt;=$B$50,0,INDEX('SC-New'!$E$157:$X$164,2,'SC-NR'!I$49-ROUND($B$50,0)))</f>
        <v>0</v>
      </c>
      <c r="J57" s="250">
        <f ca="1">IF(J$49&lt;=$B$50,0,INDEX('SC-New'!$E$157:$X$164,2,'SC-NR'!J$49-ROUND($B$50,0)))</f>
        <v>46.375704996402163</v>
      </c>
      <c r="K57" s="250">
        <f ca="1">IF(K$49&lt;=$B$50,0,INDEX('SC-New'!$E$157:$X$164,2,'SC-NR'!K$49-ROUND($B$50,0)))</f>
        <v>33.573466032801782</v>
      </c>
      <c r="L57" s="250">
        <f ca="1">IF(L$49&lt;=$B$50,0,INDEX('SC-New'!$E$157:$X$164,2,'SC-NR'!L$49-ROUND($B$50,0)))</f>
        <v>25.257062640913997</v>
      </c>
      <c r="M57" s="250">
        <f ca="1">IF(M$49&lt;=$B$50,0,INDEX('SC-New'!$E$157:$X$164,2,'SC-NR'!M$49-ROUND($B$50,0)))</f>
        <v>22.151024506593377</v>
      </c>
      <c r="N57" s="250">
        <f ca="1">IF(N$49&lt;=$B$50,0,INDEX('SC-New'!$E$157:$X$164,2,'SC-NR'!N$49-ROUND($B$50,0)))</f>
        <v>16.658576883025418</v>
      </c>
      <c r="O57" s="250">
        <f ca="1">IF(O$49&lt;=$B$50,0,INDEX('SC-New'!$E$157:$X$164,2,'SC-NR'!O$49-ROUND($B$50,0)))</f>
        <v>13.398563820718344</v>
      </c>
      <c r="P57" s="250">
        <f ca="1">IF(P$49&lt;=$B$50,0,INDEX('SC-New'!$E$157:$X$164,2,'SC-NR'!P$49-ROUND($B$50,0)))</f>
        <v>12.986415972707295</v>
      </c>
      <c r="Q57" s="250">
        <f ca="1">IF(Q$49&lt;=$B$50,0,INDEX('SC-New'!$E$157:$X$164,2,'SC-NR'!Q$49-ROUND($B$50,0)))</f>
        <v>11.490597966961509</v>
      </c>
      <c r="R57" s="250">
        <f ca="1">IF(R$49&lt;=$B$50,0,INDEX('SC-New'!$E$157:$X$164,2,'SC-NR'!R$49-ROUND($B$50,0)))</f>
        <v>11.068163315383657</v>
      </c>
      <c r="S57" s="250">
        <f ca="1">IF(S$49&lt;=$B$50,0,INDEX('SC-New'!$E$157:$X$164,2,'SC-NR'!S$49-ROUND($B$50,0)))</f>
        <v>10.664445055387404</v>
      </c>
      <c r="T57" s="250">
        <f ca="1">IF(T$49&lt;=$B$50,0,INDEX('SC-New'!$E$157:$X$164,2,'SC-NR'!T$49-ROUND($B$50,0)))</f>
        <v>10.311600933758704</v>
      </c>
      <c r="U57" s="250">
        <f ca="1">IF(U$49&lt;=$B$50,0,INDEX('SC-New'!$E$157:$X$164,2,'SC-NR'!U$49-ROUND($B$50,0)))</f>
        <v>10.706717937838725</v>
      </c>
      <c r="V57" s="250">
        <f ca="1">IF(V$49&lt;=$B$50,0,INDEX('SC-New'!$E$157:$X$164,2,'SC-NR'!V$49-ROUND($B$50,0)))</f>
        <v>10.812850847920465</v>
      </c>
      <c r="W57" s="250">
        <f ca="1">IF(W$49&lt;=$B$50,0,INDEX('SC-New'!$E$157:$X$164,2,'SC-NR'!W$49-ROUND($B$50,0)))</f>
        <v>9.7588243699127588</v>
      </c>
      <c r="X57" s="250">
        <f ca="1">IF(X$49&lt;=$B$50,0,INDEX('SC-New'!$E$157:$X$164,2,'SC-NR'!X$49-ROUND($B$50,0)))</f>
        <v>9.7816540022677216</v>
      </c>
      <c r="Y57" s="252">
        <f t="shared" ca="1" si="9"/>
        <v>254.99566928259333</v>
      </c>
      <c r="Z57" s="252">
        <f ca="1">Y57*$Z$12</f>
        <v>216.74631889020432</v>
      </c>
    </row>
    <row r="58" spans="1:26">
      <c r="A58" s="24"/>
      <c r="B58" s="24"/>
      <c r="D58" s="24"/>
      <c r="E58" s="250"/>
      <c r="F58" s="250"/>
      <c r="G58" s="250"/>
      <c r="H58" s="250"/>
      <c r="I58" s="250"/>
      <c r="J58" s="250"/>
      <c r="K58" s="250"/>
      <c r="L58" s="250"/>
      <c r="M58" s="250"/>
      <c r="N58" s="250"/>
      <c r="O58" s="250"/>
      <c r="P58" s="250"/>
      <c r="Q58" s="250"/>
      <c r="R58" s="250"/>
      <c r="S58" s="250"/>
      <c r="T58" s="250"/>
      <c r="U58" s="250"/>
      <c r="V58" s="250"/>
      <c r="W58" s="250"/>
      <c r="X58" s="250"/>
      <c r="Y58" s="250"/>
      <c r="Z58" s="24"/>
    </row>
    <row r="59" spans="1:26">
      <c r="A59" s="24"/>
      <c r="B59" s="24"/>
      <c r="D59" s="24"/>
      <c r="E59" s="250"/>
      <c r="F59" s="250"/>
      <c r="G59" s="250"/>
      <c r="H59" s="250"/>
      <c r="I59" s="250"/>
      <c r="J59" s="250"/>
      <c r="K59" s="250"/>
      <c r="L59" s="250"/>
      <c r="M59" s="250"/>
      <c r="N59" s="250"/>
      <c r="O59" s="250"/>
      <c r="P59" s="250"/>
      <c r="Q59" s="250"/>
      <c r="R59" s="250"/>
      <c r="S59" s="250"/>
      <c r="T59" s="250"/>
      <c r="U59" s="250"/>
      <c r="V59" s="250"/>
      <c r="W59" s="250"/>
      <c r="X59" s="250"/>
      <c r="Y59" s="250"/>
      <c r="Z59" s="24"/>
    </row>
    <row r="60" spans="1:26">
      <c r="A60" s="24"/>
      <c r="B60" s="24"/>
      <c r="C60" s="24"/>
      <c r="D60" s="198"/>
      <c r="E60" s="250"/>
      <c r="F60" s="250"/>
      <c r="G60" s="250"/>
      <c r="H60" s="250"/>
      <c r="I60" s="250"/>
      <c r="J60" s="250"/>
      <c r="K60" s="250"/>
      <c r="L60" s="250"/>
      <c r="M60" s="250"/>
      <c r="N60" s="250"/>
      <c r="O60" s="250"/>
      <c r="P60" s="250"/>
      <c r="Q60" s="250"/>
      <c r="R60" s="250"/>
      <c r="S60" s="250"/>
      <c r="T60" s="250"/>
      <c r="U60" s="250"/>
      <c r="V60" s="250"/>
      <c r="W60" s="250"/>
      <c r="X60" s="250"/>
      <c r="Y60" s="250"/>
      <c r="Z60" s="24"/>
    </row>
    <row r="61" spans="1:26">
      <c r="A61" s="24"/>
      <c r="B61" s="24"/>
      <c r="C61" s="232" t="s">
        <v>939</v>
      </c>
      <c r="D61" s="198"/>
      <c r="E61" s="250"/>
      <c r="F61" s="250"/>
      <c r="G61" s="250"/>
      <c r="H61" s="250"/>
      <c r="I61" s="250"/>
      <c r="J61" s="250"/>
      <c r="K61" s="250"/>
      <c r="L61" s="250"/>
      <c r="M61" s="250"/>
      <c r="N61" s="250"/>
      <c r="O61" s="250"/>
      <c r="P61" s="250"/>
      <c r="Q61" s="250"/>
      <c r="R61" s="250"/>
      <c r="S61" s="250"/>
      <c r="T61" s="250"/>
      <c r="U61" s="250"/>
      <c r="V61" s="250"/>
      <c r="W61" s="250"/>
      <c r="X61" s="250"/>
      <c r="Y61" s="250"/>
      <c r="Z61" s="24"/>
    </row>
    <row r="62" spans="1:26" ht="15">
      <c r="A62" s="338" t="s">
        <v>915</v>
      </c>
      <c r="B62" s="338"/>
      <c r="C62" s="24"/>
      <c r="D62" s="24" t="s">
        <v>916</v>
      </c>
      <c r="E62" s="250"/>
      <c r="F62" s="250"/>
      <c r="G62" s="250"/>
      <c r="H62" s="250"/>
      <c r="I62" s="250"/>
      <c r="J62" s="250"/>
      <c r="K62" s="250"/>
      <c r="L62" s="250"/>
      <c r="M62" s="250"/>
      <c r="N62" s="250"/>
      <c r="O62" s="250"/>
      <c r="P62" s="250"/>
      <c r="Q62" s="250"/>
      <c r="R62" s="250"/>
      <c r="S62" s="250"/>
      <c r="T62" s="250"/>
      <c r="U62" s="250"/>
      <c r="V62" s="250"/>
      <c r="W62" s="250"/>
      <c r="X62" s="250"/>
      <c r="Y62" s="24"/>
      <c r="Z62" s="24"/>
    </row>
    <row r="63" spans="1:26" ht="15">
      <c r="A63" s="259" t="s">
        <v>917</v>
      </c>
      <c r="B63" s="259" t="s">
        <v>918</v>
      </c>
      <c r="C63" s="259" t="s">
        <v>919</v>
      </c>
      <c r="D63" s="259" t="str">
        <f>$C$11</f>
        <v>Exterior Building Lighting-NR</v>
      </c>
      <c r="E63" s="339">
        <f t="shared" ref="E63:X63" si="10">E11</f>
        <v>2016</v>
      </c>
      <c r="F63" s="339">
        <f t="shared" si="10"/>
        <v>2017</v>
      </c>
      <c r="G63" s="339">
        <f t="shared" si="10"/>
        <v>2018</v>
      </c>
      <c r="H63" s="339">
        <f t="shared" si="10"/>
        <v>2019</v>
      </c>
      <c r="I63" s="339">
        <f t="shared" si="10"/>
        <v>2020</v>
      </c>
      <c r="J63" s="339">
        <f t="shared" si="10"/>
        <v>2021</v>
      </c>
      <c r="K63" s="339">
        <f t="shared" si="10"/>
        <v>2022</v>
      </c>
      <c r="L63" s="339">
        <f t="shared" si="10"/>
        <v>2023</v>
      </c>
      <c r="M63" s="339">
        <f t="shared" si="10"/>
        <v>2024</v>
      </c>
      <c r="N63" s="339">
        <f t="shared" si="10"/>
        <v>2025</v>
      </c>
      <c r="O63" s="339">
        <f t="shared" si="10"/>
        <v>2026</v>
      </c>
      <c r="P63" s="339">
        <f t="shared" si="10"/>
        <v>2027</v>
      </c>
      <c r="Q63" s="339">
        <f t="shared" si="10"/>
        <v>2028</v>
      </c>
      <c r="R63" s="339">
        <f t="shared" si="10"/>
        <v>2029</v>
      </c>
      <c r="S63" s="339">
        <f t="shared" si="10"/>
        <v>2030</v>
      </c>
      <c r="T63" s="339">
        <f t="shared" si="10"/>
        <v>2031</v>
      </c>
      <c r="U63" s="339">
        <f t="shared" si="10"/>
        <v>2032</v>
      </c>
      <c r="V63" s="339">
        <f t="shared" si="10"/>
        <v>2033</v>
      </c>
      <c r="W63" s="339">
        <f t="shared" si="10"/>
        <v>2034</v>
      </c>
      <c r="X63" s="339">
        <f t="shared" si="10"/>
        <v>2035</v>
      </c>
      <c r="Y63" s="248" t="s">
        <v>694</v>
      </c>
      <c r="Z63" s="248" t="s">
        <v>695</v>
      </c>
    </row>
    <row r="64" spans="1:26">
      <c r="A64" s="423">
        <f>1-VLOOKUP(D64,'DOE2014 Sales Pen'!$AA$5:$AE$25,5,FALSE)</f>
        <v>0.73</v>
      </c>
      <c r="B64" s="340">
        <v>1</v>
      </c>
      <c r="C64" s="340">
        <f>VLOOKUP(D50,CostMatrix,MATCH($C$61,'Savings and Cost Analysis'!$AM$12:$CV$12,0),FALSE)</f>
        <v>0.17916666666666667</v>
      </c>
      <c r="D64" t="s">
        <v>972</v>
      </c>
      <c r="E64" s="253">
        <f>E$36*$C64*$B64*$A64</f>
        <v>440.90400892039418</v>
      </c>
      <c r="F64" s="253">
        <f t="shared" ref="F64:X71" si="11">F$36*$C64*$B64*$A64</f>
        <v>439.00705674877628</v>
      </c>
      <c r="G64" s="253">
        <f t="shared" si="11"/>
        <v>437.11981868978972</v>
      </c>
      <c r="H64" s="253">
        <f t="shared" si="11"/>
        <v>435.24223485937404</v>
      </c>
      <c r="I64" s="253">
        <f t="shared" si="11"/>
        <v>433.37424580475738</v>
      </c>
      <c r="J64" s="253">
        <f t="shared" si="11"/>
        <v>431.51579250101082</v>
      </c>
      <c r="K64" s="253">
        <f t="shared" si="11"/>
        <v>429.66681634763211</v>
      </c>
      <c r="L64" s="253">
        <f t="shared" si="11"/>
        <v>427.82725916515739</v>
      </c>
      <c r="M64" s="253">
        <f t="shared" si="11"/>
        <v>425.99706319180211</v>
      </c>
      <c r="N64" s="253">
        <f t="shared" si="11"/>
        <v>424.17617108013053</v>
      </c>
      <c r="O64" s="253">
        <f t="shared" si="11"/>
        <v>422.36452589375386</v>
      </c>
      <c r="P64" s="253">
        <f t="shared" si="11"/>
        <v>420.56207110405472</v>
      </c>
      <c r="Q64" s="253">
        <f t="shared" si="11"/>
        <v>418.76875058694083</v>
      </c>
      <c r="R64" s="253">
        <f t="shared" si="11"/>
        <v>416.98450861962607</v>
      </c>
      <c r="S64" s="253">
        <f t="shared" si="11"/>
        <v>415.20928987743781</v>
      </c>
      <c r="T64" s="253">
        <f t="shared" si="11"/>
        <v>413.44303943065256</v>
      </c>
      <c r="U64" s="253">
        <f t="shared" si="11"/>
        <v>411.68570274135641</v>
      </c>
      <c r="V64" s="253">
        <f t="shared" si="11"/>
        <v>409.93722566033438</v>
      </c>
      <c r="W64" s="253">
        <f t="shared" si="11"/>
        <v>408.19755442398406</v>
      </c>
      <c r="X64" s="253">
        <f t="shared" si="11"/>
        <v>406.46663565125704</v>
      </c>
      <c r="Y64" s="252">
        <f>$Y$13*B64</f>
        <v>0</v>
      </c>
      <c r="Z64" s="337">
        <f>Y64*$Z$18</f>
        <v>0</v>
      </c>
    </row>
    <row r="65" spans="1:26">
      <c r="A65" s="423">
        <f>1-VLOOKUP(D65,'DOE2014 Sales Pen'!$AA$5:$AE$25,5,FALSE)</f>
        <v>0.64</v>
      </c>
      <c r="B65" s="340">
        <v>1</v>
      </c>
      <c r="C65" s="340">
        <f>VLOOKUP(D51,CostMatrix,MATCH($C$61,'Savings and Cost Analysis'!$AM$12:$CV$12,0),FALSE)</f>
        <v>0.26874999999999999</v>
      </c>
      <c r="D65" t="s">
        <v>1055</v>
      </c>
      <c r="E65" s="253">
        <f t="shared" ref="E65:T71" si="12">E$36*$C65*$B65*$A65</f>
        <v>579.81897063503891</v>
      </c>
      <c r="F65" s="253">
        <f t="shared" si="12"/>
        <v>577.3243486011304</v>
      </c>
      <c r="G65" s="253">
        <f t="shared" si="12"/>
        <v>574.84250129068232</v>
      </c>
      <c r="H65" s="253">
        <f t="shared" si="12"/>
        <v>572.37334995205345</v>
      </c>
      <c r="I65" s="253">
        <f t="shared" si="12"/>
        <v>569.91681640077672</v>
      </c>
      <c r="J65" s="253">
        <f t="shared" si="12"/>
        <v>567.47282301502787</v>
      </c>
      <c r="K65" s="253">
        <f t="shared" si="12"/>
        <v>565.04129273113267</v>
      </c>
      <c r="L65" s="253">
        <f t="shared" si="12"/>
        <v>562.62214903911104</v>
      </c>
      <c r="M65" s="253">
        <f t="shared" si="12"/>
        <v>560.21531597826026</v>
      </c>
      <c r="N65" s="253">
        <f t="shared" si="12"/>
        <v>557.82071813277435</v>
      </c>
      <c r="O65" s="253">
        <f t="shared" si="12"/>
        <v>555.43828062740238</v>
      </c>
      <c r="P65" s="253">
        <f t="shared" si="12"/>
        <v>553.0679291231404</v>
      </c>
      <c r="Q65" s="253">
        <f t="shared" si="12"/>
        <v>550.70958981296326</v>
      </c>
      <c r="R65" s="253">
        <f t="shared" si="12"/>
        <v>548.36318941759043</v>
      </c>
      <c r="S65" s="253">
        <f t="shared" si="12"/>
        <v>546.02865518128806</v>
      </c>
      <c r="T65" s="253">
        <f t="shared" si="12"/>
        <v>543.70591486770752</v>
      </c>
      <c r="U65" s="253">
        <f t="shared" si="11"/>
        <v>541.39489675575635</v>
      </c>
      <c r="V65" s="253">
        <f t="shared" si="11"/>
        <v>539.09552963550811</v>
      </c>
      <c r="W65" s="253">
        <f t="shared" si="11"/>
        <v>536.80774280414346</v>
      </c>
      <c r="X65" s="253">
        <f t="shared" si="11"/>
        <v>534.53146606192706</v>
      </c>
      <c r="Y65" s="252">
        <f t="shared" ref="Y65:Y68" si="13">$Y$13*B65</f>
        <v>0</v>
      </c>
      <c r="Z65" s="337">
        <f t="shared" ref="Z65:Z68" si="14">Y65*$Z$18</f>
        <v>0</v>
      </c>
    </row>
    <row r="66" spans="1:26">
      <c r="A66" s="423">
        <f>1-VLOOKUP(D66,'DOE2014 Sales Pen'!$AA$5:$AE$25,5,FALSE)</f>
        <v>0.64</v>
      </c>
      <c r="B66" s="340">
        <v>1</v>
      </c>
      <c r="C66" s="340">
        <f>VLOOKUP(D52,CostMatrix,MATCH($C$61,'Savings and Cost Analysis'!$AM$12:$CV$12,0),FALSE)</f>
        <v>0.26874999999999999</v>
      </c>
      <c r="D66" t="s">
        <v>1055</v>
      </c>
      <c r="E66" s="253">
        <f t="shared" si="12"/>
        <v>579.81897063503891</v>
      </c>
      <c r="F66" s="253">
        <f t="shared" si="11"/>
        <v>577.3243486011304</v>
      </c>
      <c r="G66" s="253">
        <f t="shared" si="11"/>
        <v>574.84250129068232</v>
      </c>
      <c r="H66" s="253">
        <f t="shared" si="11"/>
        <v>572.37334995205345</v>
      </c>
      <c r="I66" s="253">
        <f t="shared" si="11"/>
        <v>569.91681640077672</v>
      </c>
      <c r="J66" s="253">
        <f t="shared" si="11"/>
        <v>567.47282301502787</v>
      </c>
      <c r="K66" s="253">
        <f t="shared" si="11"/>
        <v>565.04129273113267</v>
      </c>
      <c r="L66" s="253">
        <f t="shared" si="11"/>
        <v>562.62214903911104</v>
      </c>
      <c r="M66" s="253">
        <f t="shared" si="11"/>
        <v>560.21531597826026</v>
      </c>
      <c r="N66" s="253">
        <f t="shared" si="11"/>
        <v>557.82071813277435</v>
      </c>
      <c r="O66" s="253">
        <f t="shared" si="11"/>
        <v>555.43828062740238</v>
      </c>
      <c r="P66" s="253">
        <f t="shared" si="11"/>
        <v>553.0679291231404</v>
      </c>
      <c r="Q66" s="253">
        <f t="shared" si="11"/>
        <v>550.70958981296326</v>
      </c>
      <c r="R66" s="253">
        <f t="shared" si="11"/>
        <v>548.36318941759043</v>
      </c>
      <c r="S66" s="253">
        <f t="shared" si="11"/>
        <v>546.02865518128806</v>
      </c>
      <c r="T66" s="253">
        <f t="shared" si="11"/>
        <v>543.70591486770752</v>
      </c>
      <c r="U66" s="253">
        <f t="shared" si="11"/>
        <v>541.39489675575635</v>
      </c>
      <c r="V66" s="253">
        <f t="shared" si="11"/>
        <v>539.09552963550811</v>
      </c>
      <c r="W66" s="253">
        <f t="shared" si="11"/>
        <v>536.80774280414346</v>
      </c>
      <c r="X66" s="253">
        <f t="shared" si="11"/>
        <v>534.53146606192706</v>
      </c>
      <c r="Y66" s="252">
        <f t="shared" si="13"/>
        <v>0</v>
      </c>
      <c r="Z66" s="337">
        <f t="shared" si="14"/>
        <v>0</v>
      </c>
    </row>
    <row r="67" spans="1:26">
      <c r="A67" s="423">
        <f>1-VLOOKUP(D67,'DOE2014 Sales Pen'!$AA$5:$AE$25,5,FALSE)</f>
        <v>0.64</v>
      </c>
      <c r="B67" s="340">
        <v>1</v>
      </c>
      <c r="C67" s="340">
        <f>VLOOKUP(D53,CostMatrix,MATCH($C$61,'Savings and Cost Analysis'!$AM$12:$CV$12,0),FALSE)</f>
        <v>0.17916666666666667</v>
      </c>
      <c r="D67" t="s">
        <v>1055</v>
      </c>
      <c r="E67" s="253">
        <f t="shared" si="12"/>
        <v>386.54598042335931</v>
      </c>
      <c r="F67" s="253">
        <f t="shared" si="11"/>
        <v>384.88289906742028</v>
      </c>
      <c r="G67" s="253">
        <f t="shared" si="11"/>
        <v>383.22833419378827</v>
      </c>
      <c r="H67" s="253">
        <f t="shared" si="11"/>
        <v>381.58223330136906</v>
      </c>
      <c r="I67" s="253">
        <f t="shared" si="11"/>
        <v>379.94454426718454</v>
      </c>
      <c r="J67" s="253">
        <f t="shared" si="11"/>
        <v>378.31521534335195</v>
      </c>
      <c r="K67" s="253">
        <f t="shared" si="11"/>
        <v>376.69419515408845</v>
      </c>
      <c r="L67" s="253">
        <f t="shared" si="11"/>
        <v>375.08143269274069</v>
      </c>
      <c r="M67" s="253">
        <f t="shared" si="11"/>
        <v>373.4768773188402</v>
      </c>
      <c r="N67" s="253">
        <f t="shared" si="11"/>
        <v>371.88047875518293</v>
      </c>
      <c r="O67" s="253">
        <f t="shared" si="11"/>
        <v>370.29218708493494</v>
      </c>
      <c r="P67" s="253">
        <f t="shared" si="11"/>
        <v>368.71195274876032</v>
      </c>
      <c r="Q67" s="253">
        <f t="shared" si="11"/>
        <v>367.13972654197556</v>
      </c>
      <c r="R67" s="253">
        <f t="shared" si="11"/>
        <v>365.57545961172701</v>
      </c>
      <c r="S67" s="253">
        <f t="shared" si="11"/>
        <v>364.01910345419208</v>
      </c>
      <c r="T67" s="253">
        <f t="shared" si="11"/>
        <v>362.47060991180501</v>
      </c>
      <c r="U67" s="253">
        <f t="shared" si="11"/>
        <v>360.92993117050429</v>
      </c>
      <c r="V67" s="253">
        <f t="shared" si="11"/>
        <v>359.39701975700547</v>
      </c>
      <c r="W67" s="253">
        <f t="shared" si="11"/>
        <v>357.87182853609562</v>
      </c>
      <c r="X67" s="253">
        <f t="shared" si="11"/>
        <v>356.35431070795136</v>
      </c>
      <c r="Y67" s="252">
        <f t="shared" si="13"/>
        <v>0</v>
      </c>
      <c r="Z67" s="337">
        <f t="shared" si="14"/>
        <v>0</v>
      </c>
    </row>
    <row r="68" spans="1:26">
      <c r="A68" s="423">
        <f>1-VLOOKUP(D68,'DOE2014 Sales Pen'!$AA$5:$AE$25,5,FALSE)</f>
        <v>0.64</v>
      </c>
      <c r="B68" s="340">
        <v>1</v>
      </c>
      <c r="C68" s="340">
        <f>VLOOKUP(D54,CostMatrix,MATCH($C$61,'Savings and Cost Analysis'!$AM$12:$CV$12,0),FALSE)</f>
        <v>0.26874999999999999</v>
      </c>
      <c r="D68" t="s">
        <v>1055</v>
      </c>
      <c r="E68" s="253">
        <f t="shared" si="12"/>
        <v>579.81897063503891</v>
      </c>
      <c r="F68" s="253">
        <f t="shared" si="11"/>
        <v>577.3243486011304</v>
      </c>
      <c r="G68" s="253">
        <f t="shared" si="11"/>
        <v>574.84250129068232</v>
      </c>
      <c r="H68" s="253">
        <f t="shared" si="11"/>
        <v>572.37334995205345</v>
      </c>
      <c r="I68" s="253">
        <f t="shared" si="11"/>
        <v>569.91681640077672</v>
      </c>
      <c r="J68" s="253">
        <f t="shared" si="11"/>
        <v>567.47282301502787</v>
      </c>
      <c r="K68" s="253">
        <f t="shared" si="11"/>
        <v>565.04129273113267</v>
      </c>
      <c r="L68" s="253">
        <f t="shared" si="11"/>
        <v>562.62214903911104</v>
      </c>
      <c r="M68" s="253">
        <f t="shared" si="11"/>
        <v>560.21531597826026</v>
      </c>
      <c r="N68" s="253">
        <f t="shared" si="11"/>
        <v>557.82071813277435</v>
      </c>
      <c r="O68" s="253">
        <f t="shared" si="11"/>
        <v>555.43828062740238</v>
      </c>
      <c r="P68" s="253">
        <f t="shared" si="11"/>
        <v>553.0679291231404</v>
      </c>
      <c r="Q68" s="253">
        <f t="shared" si="11"/>
        <v>550.70958981296326</v>
      </c>
      <c r="R68" s="253">
        <f t="shared" si="11"/>
        <v>548.36318941759043</v>
      </c>
      <c r="S68" s="253">
        <f t="shared" si="11"/>
        <v>546.02865518128806</v>
      </c>
      <c r="T68" s="253">
        <f t="shared" si="11"/>
        <v>543.70591486770752</v>
      </c>
      <c r="U68" s="253">
        <f t="shared" si="11"/>
        <v>541.39489675575635</v>
      </c>
      <c r="V68" s="253">
        <f t="shared" si="11"/>
        <v>539.09552963550811</v>
      </c>
      <c r="W68" s="253">
        <f t="shared" si="11"/>
        <v>536.80774280414346</v>
      </c>
      <c r="X68" s="253">
        <f t="shared" si="11"/>
        <v>534.53146606192706</v>
      </c>
      <c r="Y68" s="252">
        <f t="shared" si="13"/>
        <v>0</v>
      </c>
      <c r="Z68" s="337">
        <f t="shared" si="14"/>
        <v>0</v>
      </c>
    </row>
    <row r="69" spans="1:26">
      <c r="A69" s="423">
        <f>1-VLOOKUP(D69,'DOE2014 Sales Pen'!$AA$5:$AE$25,5,FALSE)</f>
        <v>0.64</v>
      </c>
      <c r="B69" s="340">
        <v>1</v>
      </c>
      <c r="C69" s="340">
        <f>VLOOKUP(D55,CostMatrix,MATCH($C$61,'Savings and Cost Analysis'!$AM$12:$CV$12,0),FALSE)</f>
        <v>0.17916666666666667</v>
      </c>
      <c r="D69" t="s">
        <v>1055</v>
      </c>
      <c r="E69" s="253">
        <f t="shared" si="12"/>
        <v>386.54598042335931</v>
      </c>
      <c r="F69" s="253">
        <f t="shared" si="11"/>
        <v>384.88289906742028</v>
      </c>
      <c r="G69" s="253">
        <f t="shared" si="11"/>
        <v>383.22833419378827</v>
      </c>
      <c r="H69" s="253">
        <f t="shared" si="11"/>
        <v>381.58223330136906</v>
      </c>
      <c r="I69" s="253">
        <f t="shared" si="11"/>
        <v>379.94454426718454</v>
      </c>
      <c r="J69" s="253">
        <f t="shared" si="11"/>
        <v>378.31521534335195</v>
      </c>
      <c r="K69" s="253">
        <f t="shared" si="11"/>
        <v>376.69419515408845</v>
      </c>
      <c r="L69" s="253">
        <f t="shared" si="11"/>
        <v>375.08143269274069</v>
      </c>
      <c r="M69" s="253">
        <f t="shared" si="11"/>
        <v>373.4768773188402</v>
      </c>
      <c r="N69" s="253">
        <f t="shared" si="11"/>
        <v>371.88047875518293</v>
      </c>
      <c r="O69" s="253">
        <f t="shared" si="11"/>
        <v>370.29218708493494</v>
      </c>
      <c r="P69" s="253">
        <f t="shared" si="11"/>
        <v>368.71195274876032</v>
      </c>
      <c r="Q69" s="253">
        <f t="shared" si="11"/>
        <v>367.13972654197556</v>
      </c>
      <c r="R69" s="253">
        <f t="shared" si="11"/>
        <v>365.57545961172701</v>
      </c>
      <c r="S69" s="253">
        <f t="shared" si="11"/>
        <v>364.01910345419208</v>
      </c>
      <c r="T69" s="253">
        <f t="shared" si="11"/>
        <v>362.47060991180501</v>
      </c>
      <c r="U69" s="253">
        <f t="shared" si="11"/>
        <v>360.92993117050429</v>
      </c>
      <c r="V69" s="253">
        <f t="shared" si="11"/>
        <v>359.39701975700547</v>
      </c>
      <c r="W69" s="253">
        <f t="shared" si="11"/>
        <v>357.87182853609562</v>
      </c>
      <c r="X69" s="253">
        <f t="shared" si="11"/>
        <v>356.35431070795136</v>
      </c>
      <c r="Y69" s="252"/>
      <c r="Z69" s="337"/>
    </row>
    <row r="70" spans="1:26">
      <c r="A70" s="423">
        <f>1-VLOOKUP(D70,'DOE2014 Sales Pen'!$AA$5:$AE$25,5,FALSE)</f>
        <v>0.73</v>
      </c>
      <c r="B70" s="340">
        <v>1</v>
      </c>
      <c r="C70" s="340">
        <f>VLOOKUP(D56,CostMatrix,MATCH($C$61,'Savings and Cost Analysis'!$AM$12:$CV$12,0),FALSE)</f>
        <v>0.17916666666666667</v>
      </c>
      <c r="D70" t="s">
        <v>972</v>
      </c>
      <c r="E70" s="253">
        <f t="shared" si="12"/>
        <v>440.90400892039418</v>
      </c>
      <c r="F70" s="253">
        <f t="shared" si="11"/>
        <v>439.00705674877628</v>
      </c>
      <c r="G70" s="253">
        <f t="shared" si="11"/>
        <v>437.11981868978972</v>
      </c>
      <c r="H70" s="253">
        <f t="shared" si="11"/>
        <v>435.24223485937404</v>
      </c>
      <c r="I70" s="253">
        <f t="shared" si="11"/>
        <v>433.37424580475738</v>
      </c>
      <c r="J70" s="253">
        <f t="shared" si="11"/>
        <v>431.51579250101082</v>
      </c>
      <c r="K70" s="253">
        <f t="shared" si="11"/>
        <v>429.66681634763211</v>
      </c>
      <c r="L70" s="253">
        <f t="shared" si="11"/>
        <v>427.82725916515739</v>
      </c>
      <c r="M70" s="253">
        <f t="shared" si="11"/>
        <v>425.99706319180211</v>
      </c>
      <c r="N70" s="253">
        <f t="shared" si="11"/>
        <v>424.17617108013053</v>
      </c>
      <c r="O70" s="253">
        <f t="shared" si="11"/>
        <v>422.36452589375386</v>
      </c>
      <c r="P70" s="253">
        <f t="shared" si="11"/>
        <v>420.56207110405472</v>
      </c>
      <c r="Q70" s="253">
        <f t="shared" si="11"/>
        <v>418.76875058694083</v>
      </c>
      <c r="R70" s="253">
        <f t="shared" si="11"/>
        <v>416.98450861962607</v>
      </c>
      <c r="S70" s="253">
        <f t="shared" si="11"/>
        <v>415.20928987743781</v>
      </c>
      <c r="T70" s="253">
        <f t="shared" si="11"/>
        <v>413.44303943065256</v>
      </c>
      <c r="U70" s="253">
        <f t="shared" si="11"/>
        <v>411.68570274135641</v>
      </c>
      <c r="V70" s="253">
        <f t="shared" si="11"/>
        <v>409.93722566033438</v>
      </c>
      <c r="W70" s="253">
        <f t="shared" si="11"/>
        <v>408.19755442398406</v>
      </c>
      <c r="X70" s="253">
        <f t="shared" si="11"/>
        <v>406.46663565125704</v>
      </c>
      <c r="Y70" s="252"/>
      <c r="Z70" s="337"/>
    </row>
    <row r="71" spans="1:26">
      <c r="A71" s="423">
        <f>1-VLOOKUP(D71,'DOE2014 Sales Pen'!$AA$5:$AE$25,5,FALSE)</f>
        <v>0.73</v>
      </c>
      <c r="B71" s="340">
        <v>1</v>
      </c>
      <c r="C71" s="340">
        <f>VLOOKUP(D57,CostMatrix,MATCH($C$61,'Savings and Cost Analysis'!$AM$12:$CV$12,0),FALSE)</f>
        <v>1</v>
      </c>
      <c r="D71" t="s">
        <v>972</v>
      </c>
      <c r="E71" s="253">
        <f t="shared" si="12"/>
        <v>2460.8595846719672</v>
      </c>
      <c r="F71" s="253">
        <f t="shared" si="11"/>
        <v>2450.2719446443325</v>
      </c>
      <c r="G71" s="253">
        <f t="shared" si="11"/>
        <v>2439.7385229197566</v>
      </c>
      <c r="H71" s="253">
        <f t="shared" si="11"/>
        <v>2429.2589852616225</v>
      </c>
      <c r="I71" s="253">
        <f t="shared" si="11"/>
        <v>2418.8329998405061</v>
      </c>
      <c r="J71" s="253">
        <f t="shared" si="11"/>
        <v>2408.4602372149438</v>
      </c>
      <c r="K71" s="253">
        <f t="shared" si="11"/>
        <v>2398.1403703123651</v>
      </c>
      <c r="L71" s="253">
        <f t="shared" si="11"/>
        <v>2387.8730744101804</v>
      </c>
      <c r="M71" s="253">
        <f t="shared" si="11"/>
        <v>2377.6580271170346</v>
      </c>
      <c r="N71" s="253">
        <f t="shared" si="11"/>
        <v>2367.4949083542169</v>
      </c>
      <c r="O71" s="253">
        <f t="shared" si="11"/>
        <v>2357.3834003372308</v>
      </c>
      <c r="P71" s="253">
        <f t="shared" si="11"/>
        <v>2347.3231875575143</v>
      </c>
      <c r="Q71" s="253">
        <f t="shared" si="11"/>
        <v>2337.3139567643207</v>
      </c>
      <c r="R71" s="253">
        <f t="shared" si="11"/>
        <v>2327.3553969467503</v>
      </c>
      <c r="S71" s="253">
        <f t="shared" si="11"/>
        <v>2317.4471993159318</v>
      </c>
      <c r="T71" s="253">
        <f t="shared" si="11"/>
        <v>2307.5890572873632</v>
      </c>
      <c r="U71" s="253">
        <f t="shared" si="11"/>
        <v>2297.7806664633845</v>
      </c>
      <c r="V71" s="253">
        <f t="shared" si="11"/>
        <v>2288.0217246158195</v>
      </c>
      <c r="W71" s="253">
        <f t="shared" si="11"/>
        <v>2278.3119316687485</v>
      </c>
      <c r="X71" s="253">
        <f t="shared" si="11"/>
        <v>2268.6509896814346</v>
      </c>
      <c r="Y71" s="252"/>
      <c r="Z71" s="337"/>
    </row>
    <row r="72" spans="1:26">
      <c r="A72" s="24"/>
      <c r="B72" s="24"/>
      <c r="C72" s="24"/>
      <c r="D72" s="198"/>
      <c r="E72" s="250"/>
      <c r="F72" s="250"/>
      <c r="G72" s="250"/>
      <c r="H72" s="250"/>
      <c r="I72" s="250"/>
      <c r="J72" s="250"/>
      <c r="K72" s="250"/>
      <c r="L72" s="250"/>
      <c r="M72" s="250"/>
      <c r="N72" s="250"/>
      <c r="O72" s="250"/>
      <c r="P72" s="250"/>
      <c r="Q72" s="250"/>
      <c r="R72" s="250"/>
      <c r="S72" s="250"/>
      <c r="T72" s="250"/>
      <c r="U72" s="250"/>
      <c r="V72" s="250"/>
      <c r="W72" s="250"/>
      <c r="X72" s="250"/>
      <c r="Y72" s="250"/>
      <c r="Z72" s="235"/>
    </row>
    <row r="73" spans="1:26">
      <c r="A73" s="24"/>
      <c r="B73" s="24"/>
      <c r="C73" s="24"/>
      <c r="D73" s="198" t="s">
        <v>920</v>
      </c>
      <c r="E73" s="250"/>
      <c r="F73" s="250"/>
      <c r="G73" s="250"/>
      <c r="H73" s="250"/>
      <c r="I73" s="250"/>
      <c r="J73" s="250"/>
      <c r="K73" s="250"/>
      <c r="L73" s="250"/>
      <c r="M73" s="250"/>
      <c r="N73" s="250"/>
      <c r="O73" s="250"/>
      <c r="P73" s="250"/>
      <c r="Q73" s="250"/>
      <c r="R73" s="250"/>
      <c r="S73" s="250"/>
      <c r="T73" s="250"/>
      <c r="U73" s="250"/>
      <c r="V73" s="250"/>
      <c r="W73" s="250"/>
      <c r="X73" s="250"/>
      <c r="Y73" s="250">
        <f>SUM(Y64:Y68)</f>
        <v>0</v>
      </c>
      <c r="Z73" s="250">
        <f>SUM(Z64:Z68)</f>
        <v>0</v>
      </c>
    </row>
    <row r="74" spans="1:26">
      <c r="A74" s="24"/>
      <c r="B74" s="24"/>
      <c r="C74" s="24"/>
      <c r="D74" s="198"/>
      <c r="E74" s="250"/>
      <c r="F74" s="250"/>
      <c r="G74" s="250"/>
      <c r="H74" s="250"/>
      <c r="I74" s="250"/>
      <c r="J74" s="250"/>
      <c r="K74" s="250"/>
      <c r="L74" s="250"/>
      <c r="M74" s="250"/>
      <c r="N74" s="250"/>
      <c r="O74" s="250"/>
      <c r="P74" s="250"/>
      <c r="Q74" s="250"/>
      <c r="R74" s="250"/>
      <c r="S74" s="250"/>
      <c r="T74" s="250"/>
      <c r="U74" s="250"/>
      <c r="V74" s="250"/>
      <c r="W74" s="250"/>
      <c r="X74" s="250"/>
      <c r="Y74" s="250"/>
      <c r="Z74" s="24"/>
    </row>
    <row r="75" spans="1:26" ht="15">
      <c r="A75" s="338" t="s">
        <v>915</v>
      </c>
      <c r="B75" s="338"/>
      <c r="C75" s="24"/>
      <c r="D75" s="24" t="s">
        <v>921</v>
      </c>
      <c r="E75" s="235"/>
      <c r="F75" s="235"/>
      <c r="G75" s="198"/>
      <c r="H75" s="198"/>
      <c r="I75" s="198"/>
      <c r="J75" s="198"/>
      <c r="K75" s="198"/>
      <c r="L75" s="198"/>
      <c r="M75" s="198"/>
      <c r="N75" s="198"/>
      <c r="O75" s="198"/>
      <c r="P75" s="198"/>
      <c r="Q75" s="198"/>
      <c r="R75" s="198"/>
      <c r="S75" s="198"/>
      <c r="T75" s="198"/>
      <c r="U75" s="198"/>
      <c r="V75" s="198"/>
      <c r="W75" s="198"/>
      <c r="X75" s="198"/>
      <c r="Y75" s="198"/>
      <c r="Z75" s="24"/>
    </row>
    <row r="76" spans="1:26" ht="15">
      <c r="A76" s="259" t="s">
        <v>917</v>
      </c>
      <c r="B76" s="259" t="s">
        <v>918</v>
      </c>
      <c r="C76" s="259" t="s">
        <v>919</v>
      </c>
      <c r="D76" s="259" t="str">
        <f>$C$11</f>
        <v>Exterior Building Lighting-NR</v>
      </c>
      <c r="E76" s="339">
        <f t="shared" ref="E76:U76" si="15">E11</f>
        <v>2016</v>
      </c>
      <c r="F76" s="339">
        <f t="shared" si="15"/>
        <v>2017</v>
      </c>
      <c r="G76" s="339">
        <f t="shared" si="15"/>
        <v>2018</v>
      </c>
      <c r="H76" s="339">
        <f t="shared" si="15"/>
        <v>2019</v>
      </c>
      <c r="I76" s="339">
        <f t="shared" si="15"/>
        <v>2020</v>
      </c>
      <c r="J76" s="339">
        <f t="shared" si="15"/>
        <v>2021</v>
      </c>
      <c r="K76" s="339">
        <f t="shared" si="15"/>
        <v>2022</v>
      </c>
      <c r="L76" s="339">
        <f t="shared" si="15"/>
        <v>2023</v>
      </c>
      <c r="M76" s="339">
        <f t="shared" si="15"/>
        <v>2024</v>
      </c>
      <c r="N76" s="339">
        <f t="shared" si="15"/>
        <v>2025</v>
      </c>
      <c r="O76" s="339">
        <f t="shared" si="15"/>
        <v>2026</v>
      </c>
      <c r="P76" s="339">
        <f t="shared" si="15"/>
        <v>2027</v>
      </c>
      <c r="Q76" s="339">
        <f t="shared" si="15"/>
        <v>2028</v>
      </c>
      <c r="R76" s="339">
        <f t="shared" si="15"/>
        <v>2029</v>
      </c>
      <c r="S76" s="339">
        <f t="shared" si="15"/>
        <v>2030</v>
      </c>
      <c r="T76" s="339">
        <f t="shared" si="15"/>
        <v>2031</v>
      </c>
      <c r="U76" s="339">
        <f t="shared" si="15"/>
        <v>2032</v>
      </c>
      <c r="V76" s="339">
        <f t="shared" ref="V76:X76" si="16">V11</f>
        <v>2033</v>
      </c>
      <c r="W76" s="339">
        <f t="shared" si="16"/>
        <v>2034</v>
      </c>
      <c r="X76" s="339">
        <f t="shared" si="16"/>
        <v>2035</v>
      </c>
      <c r="Y76" s="248" t="s">
        <v>694</v>
      </c>
      <c r="Z76" s="248" t="s">
        <v>695</v>
      </c>
    </row>
    <row r="77" spans="1:26">
      <c r="A77" s="423">
        <f>1-VLOOKUP(D77,'DOE2014 Sales Pen'!$AA$5:$AE$25,5,FALSE)</f>
        <v>0.73</v>
      </c>
      <c r="B77" s="340">
        <v>1</v>
      </c>
      <c r="C77" s="340">
        <f>VLOOKUP(D50,CostMatrix,MATCH($C$61,'Savings and Cost Analysis'!$AM$12:$CV$12,0),FALSE)</f>
        <v>0.17916666666666667</v>
      </c>
      <c r="D77" t="s">
        <v>972</v>
      </c>
      <c r="E77" s="253">
        <f ca="1">E$50*$C77*$B77*$A77</f>
        <v>0</v>
      </c>
      <c r="F77" s="253">
        <f t="shared" ref="F77:X84" ca="1" si="17">F$50*$C77*$B77*$A77</f>
        <v>0</v>
      </c>
      <c r="G77" s="253">
        <f t="shared" ca="1" si="17"/>
        <v>0</v>
      </c>
      <c r="H77" s="253">
        <f t="shared" ca="1" si="17"/>
        <v>0</v>
      </c>
      <c r="I77" s="253">
        <f t="shared" ca="1" si="17"/>
        <v>0</v>
      </c>
      <c r="J77" s="253">
        <f t="shared" ca="1" si="17"/>
        <v>6.0655557493210992</v>
      </c>
      <c r="K77" s="253">
        <f t="shared" ca="1" si="17"/>
        <v>4.3911295782068667</v>
      </c>
      <c r="L77" s="253">
        <f t="shared" ca="1" si="17"/>
        <v>3.3034133179095431</v>
      </c>
      <c r="M77" s="253">
        <f t="shared" ca="1" si="17"/>
        <v>2.8971694135915254</v>
      </c>
      <c r="N77" s="253">
        <f t="shared" ca="1" si="17"/>
        <v>2.1788030348256995</v>
      </c>
      <c r="O77" s="253">
        <f t="shared" ca="1" si="17"/>
        <v>1.7524204930514535</v>
      </c>
      <c r="P77" s="253">
        <f t="shared" ca="1" si="17"/>
        <v>1.6985149890970082</v>
      </c>
      <c r="Q77" s="253">
        <f t="shared" ca="1" si="17"/>
        <v>1.5028744590955072</v>
      </c>
      <c r="R77" s="253">
        <f t="shared" ca="1" si="17"/>
        <v>1.4476235269578874</v>
      </c>
      <c r="S77" s="253">
        <f t="shared" ca="1" si="17"/>
        <v>1.3948205428692109</v>
      </c>
      <c r="T77" s="253">
        <f t="shared" ca="1" si="17"/>
        <v>1.3486714721278572</v>
      </c>
      <c r="U77" s="253">
        <f t="shared" ca="1" si="17"/>
        <v>1.4003494836198231</v>
      </c>
      <c r="V77" s="253">
        <f t="shared" ca="1" si="17"/>
        <v>1.4142307838175974</v>
      </c>
      <c r="W77" s="253">
        <f t="shared" ca="1" si="17"/>
        <v>1.2763729040481728</v>
      </c>
      <c r="X77" s="253">
        <f t="shared" ca="1" si="17"/>
        <v>1.2793588297132656</v>
      </c>
      <c r="Y77" s="252">
        <f>$Y$16*B77</f>
        <v>0</v>
      </c>
      <c r="Z77" s="252">
        <f>Y77*$Z$18</f>
        <v>0</v>
      </c>
    </row>
    <row r="78" spans="1:26">
      <c r="A78" s="423">
        <f>1-VLOOKUP(D78,'DOE2014 Sales Pen'!$AA$5:$AE$25,5,FALSE)</f>
        <v>0.64</v>
      </c>
      <c r="B78" s="340">
        <v>1</v>
      </c>
      <c r="C78" s="340">
        <f>VLOOKUP(D51,CostMatrix,MATCH($C$61,'Savings and Cost Analysis'!$AM$12:$CV$12,0),FALSE)</f>
        <v>0.26874999999999999</v>
      </c>
      <c r="D78" t="s">
        <v>1055</v>
      </c>
      <c r="E78" s="253">
        <f t="shared" ref="E78:T84" ca="1" si="18">E$50*$C78*$B78*$A78</f>
        <v>0</v>
      </c>
      <c r="F78" s="253">
        <f t="shared" ca="1" si="18"/>
        <v>0</v>
      </c>
      <c r="G78" s="253">
        <f t="shared" ca="1" si="18"/>
        <v>0</v>
      </c>
      <c r="H78" s="253">
        <f t="shared" ca="1" si="18"/>
        <v>0</v>
      </c>
      <c r="I78" s="253">
        <f t="shared" ca="1" si="18"/>
        <v>0</v>
      </c>
      <c r="J78" s="253">
        <f t="shared" ca="1" si="18"/>
        <v>7.9766212593811714</v>
      </c>
      <c r="K78" s="253">
        <f t="shared" ca="1" si="18"/>
        <v>5.7746361576419067</v>
      </c>
      <c r="L78" s="253">
        <f t="shared" ca="1" si="18"/>
        <v>4.3442147742372077</v>
      </c>
      <c r="M78" s="253">
        <f t="shared" ca="1" si="18"/>
        <v>3.8099762151340606</v>
      </c>
      <c r="N78" s="253">
        <f t="shared" ca="1" si="18"/>
        <v>2.865275223880372</v>
      </c>
      <c r="O78" s="253">
        <f t="shared" ca="1" si="18"/>
        <v>2.3045529771635551</v>
      </c>
      <c r="P78" s="253">
        <f t="shared" ca="1" si="18"/>
        <v>2.2336635473056545</v>
      </c>
      <c r="Q78" s="253">
        <f t="shared" ca="1" si="18"/>
        <v>1.9763828503173795</v>
      </c>
      <c r="R78" s="253">
        <f t="shared" ca="1" si="18"/>
        <v>1.9037240902459891</v>
      </c>
      <c r="S78" s="253">
        <f t="shared" ca="1" si="18"/>
        <v>1.8342845495266336</v>
      </c>
      <c r="T78" s="253">
        <f t="shared" ca="1" si="18"/>
        <v>1.7735953606064971</v>
      </c>
      <c r="U78" s="253">
        <f t="shared" ca="1" si="17"/>
        <v>1.8415554853082605</v>
      </c>
      <c r="V78" s="253">
        <f t="shared" ca="1" si="17"/>
        <v>1.8598103458423199</v>
      </c>
      <c r="W78" s="253">
        <f t="shared" ca="1" si="17"/>
        <v>1.6785177916249945</v>
      </c>
      <c r="X78" s="253">
        <f t="shared" ca="1" si="17"/>
        <v>1.682444488390048</v>
      </c>
      <c r="Y78" s="252">
        <f t="shared" ref="Y78:Y86" si="19">$Y$16*B78</f>
        <v>0</v>
      </c>
      <c r="Z78" s="252">
        <f t="shared" ref="Z78:Z81" si="20">Y78*$Z$18</f>
        <v>0</v>
      </c>
    </row>
    <row r="79" spans="1:26">
      <c r="A79" s="423">
        <f>1-VLOOKUP(D79,'DOE2014 Sales Pen'!$AA$5:$AE$25,5,FALSE)</f>
        <v>0.64</v>
      </c>
      <c r="B79" s="340">
        <v>1</v>
      </c>
      <c r="C79" s="340">
        <f>VLOOKUP(D52,CostMatrix,MATCH($C$61,'Savings and Cost Analysis'!$AM$12:$CV$12,0),FALSE)</f>
        <v>0.26874999999999999</v>
      </c>
      <c r="D79" t="s">
        <v>1055</v>
      </c>
      <c r="E79" s="253">
        <f t="shared" ca="1" si="18"/>
        <v>0</v>
      </c>
      <c r="F79" s="253">
        <f t="shared" ca="1" si="17"/>
        <v>0</v>
      </c>
      <c r="G79" s="253">
        <f t="shared" ca="1" si="17"/>
        <v>0</v>
      </c>
      <c r="H79" s="253">
        <f t="shared" ca="1" si="17"/>
        <v>0</v>
      </c>
      <c r="I79" s="253">
        <f t="shared" ca="1" si="17"/>
        <v>0</v>
      </c>
      <c r="J79" s="253">
        <f t="shared" ca="1" si="17"/>
        <v>7.9766212593811714</v>
      </c>
      <c r="K79" s="253">
        <f t="shared" ca="1" si="17"/>
        <v>5.7746361576419067</v>
      </c>
      <c r="L79" s="253">
        <f t="shared" ca="1" si="17"/>
        <v>4.3442147742372077</v>
      </c>
      <c r="M79" s="253">
        <f t="shared" ca="1" si="17"/>
        <v>3.8099762151340606</v>
      </c>
      <c r="N79" s="253">
        <f t="shared" ca="1" si="17"/>
        <v>2.865275223880372</v>
      </c>
      <c r="O79" s="253">
        <f t="shared" ca="1" si="17"/>
        <v>2.3045529771635551</v>
      </c>
      <c r="P79" s="253">
        <f t="shared" ca="1" si="17"/>
        <v>2.2336635473056545</v>
      </c>
      <c r="Q79" s="253">
        <f t="shared" ca="1" si="17"/>
        <v>1.9763828503173795</v>
      </c>
      <c r="R79" s="253">
        <f t="shared" ca="1" si="17"/>
        <v>1.9037240902459891</v>
      </c>
      <c r="S79" s="253">
        <f t="shared" ca="1" si="17"/>
        <v>1.8342845495266336</v>
      </c>
      <c r="T79" s="253">
        <f t="shared" ca="1" si="17"/>
        <v>1.7735953606064971</v>
      </c>
      <c r="U79" s="253">
        <f t="shared" ca="1" si="17"/>
        <v>1.8415554853082605</v>
      </c>
      <c r="V79" s="253">
        <f t="shared" ca="1" si="17"/>
        <v>1.8598103458423199</v>
      </c>
      <c r="W79" s="253">
        <f t="shared" ca="1" si="17"/>
        <v>1.6785177916249945</v>
      </c>
      <c r="X79" s="253">
        <f t="shared" ca="1" si="17"/>
        <v>1.682444488390048</v>
      </c>
      <c r="Y79" s="252">
        <f t="shared" si="19"/>
        <v>0</v>
      </c>
      <c r="Z79" s="252">
        <f t="shared" si="20"/>
        <v>0</v>
      </c>
    </row>
    <row r="80" spans="1:26">
      <c r="A80" s="423">
        <f>1-VLOOKUP(D80,'DOE2014 Sales Pen'!$AA$5:$AE$25,5,FALSE)</f>
        <v>0.64</v>
      </c>
      <c r="B80" s="340">
        <v>1</v>
      </c>
      <c r="C80" s="340">
        <f>VLOOKUP(D53,CostMatrix,MATCH($C$61,'Savings and Cost Analysis'!$AM$12:$CV$12,0),FALSE)</f>
        <v>0.17916666666666667</v>
      </c>
      <c r="D80" t="s">
        <v>1055</v>
      </c>
      <c r="E80" s="253">
        <f t="shared" ca="1" si="18"/>
        <v>0</v>
      </c>
      <c r="F80" s="253">
        <f t="shared" ca="1" si="17"/>
        <v>0</v>
      </c>
      <c r="G80" s="253">
        <f t="shared" ca="1" si="17"/>
        <v>0</v>
      </c>
      <c r="H80" s="253">
        <f t="shared" ca="1" si="17"/>
        <v>0</v>
      </c>
      <c r="I80" s="253">
        <f t="shared" ca="1" si="17"/>
        <v>0</v>
      </c>
      <c r="J80" s="253">
        <f t="shared" ca="1" si="17"/>
        <v>5.3177475062541149</v>
      </c>
      <c r="K80" s="253">
        <f t="shared" ca="1" si="17"/>
        <v>3.8497574384279383</v>
      </c>
      <c r="L80" s="253">
        <f t="shared" ca="1" si="17"/>
        <v>2.896143182824805</v>
      </c>
      <c r="M80" s="253">
        <f t="shared" ca="1" si="17"/>
        <v>2.5399841434227075</v>
      </c>
      <c r="N80" s="253">
        <f t="shared" ca="1" si="17"/>
        <v>1.9101834825869148</v>
      </c>
      <c r="O80" s="253">
        <f t="shared" ca="1" si="17"/>
        <v>1.5363686514423702</v>
      </c>
      <c r="P80" s="253">
        <f t="shared" ca="1" si="17"/>
        <v>1.4891090315371032</v>
      </c>
      <c r="Q80" s="253">
        <f t="shared" ca="1" si="17"/>
        <v>1.317588566878253</v>
      </c>
      <c r="R80" s="253">
        <f t="shared" ca="1" si="17"/>
        <v>1.2691493934973261</v>
      </c>
      <c r="S80" s="253">
        <f t="shared" ca="1" si="17"/>
        <v>1.222856366351089</v>
      </c>
      <c r="T80" s="253">
        <f t="shared" ca="1" si="17"/>
        <v>1.1823969070709981</v>
      </c>
      <c r="U80" s="253">
        <f t="shared" ca="1" si="17"/>
        <v>1.2277036568721738</v>
      </c>
      <c r="V80" s="253">
        <f t="shared" ca="1" si="17"/>
        <v>1.2398735638948801</v>
      </c>
      <c r="W80" s="253">
        <f t="shared" ca="1" si="17"/>
        <v>1.1190118610833297</v>
      </c>
      <c r="X80" s="253">
        <f t="shared" ca="1" si="17"/>
        <v>1.1216296589266987</v>
      </c>
      <c r="Y80" s="252">
        <f t="shared" si="19"/>
        <v>0</v>
      </c>
      <c r="Z80" s="252">
        <f t="shared" si="20"/>
        <v>0</v>
      </c>
    </row>
    <row r="81" spans="1:26">
      <c r="A81" s="423">
        <f>1-VLOOKUP(D81,'DOE2014 Sales Pen'!$AA$5:$AE$25,5,FALSE)</f>
        <v>0.64</v>
      </c>
      <c r="B81" s="340">
        <v>1</v>
      </c>
      <c r="C81" s="340">
        <f>VLOOKUP(D54,CostMatrix,MATCH($C$61,'Savings and Cost Analysis'!$AM$12:$CV$12,0),FALSE)</f>
        <v>0.26874999999999999</v>
      </c>
      <c r="D81" t="s">
        <v>1055</v>
      </c>
      <c r="E81" s="253">
        <f t="shared" ca="1" si="18"/>
        <v>0</v>
      </c>
      <c r="F81" s="253">
        <f t="shared" ca="1" si="17"/>
        <v>0</v>
      </c>
      <c r="G81" s="253">
        <f t="shared" ca="1" si="17"/>
        <v>0</v>
      </c>
      <c r="H81" s="253">
        <f t="shared" ca="1" si="17"/>
        <v>0</v>
      </c>
      <c r="I81" s="253">
        <f t="shared" ca="1" si="17"/>
        <v>0</v>
      </c>
      <c r="J81" s="253">
        <f t="shared" ca="1" si="17"/>
        <v>7.9766212593811714</v>
      </c>
      <c r="K81" s="253">
        <f t="shared" ca="1" si="17"/>
        <v>5.7746361576419067</v>
      </c>
      <c r="L81" s="253">
        <f t="shared" ca="1" si="17"/>
        <v>4.3442147742372077</v>
      </c>
      <c r="M81" s="253">
        <f t="shared" ca="1" si="17"/>
        <v>3.8099762151340606</v>
      </c>
      <c r="N81" s="253">
        <f t="shared" ca="1" si="17"/>
        <v>2.865275223880372</v>
      </c>
      <c r="O81" s="253">
        <f t="shared" ca="1" si="17"/>
        <v>2.3045529771635551</v>
      </c>
      <c r="P81" s="253">
        <f t="shared" ca="1" si="17"/>
        <v>2.2336635473056545</v>
      </c>
      <c r="Q81" s="253">
        <f t="shared" ca="1" si="17"/>
        <v>1.9763828503173795</v>
      </c>
      <c r="R81" s="253">
        <f t="shared" ca="1" si="17"/>
        <v>1.9037240902459891</v>
      </c>
      <c r="S81" s="253">
        <f t="shared" ca="1" si="17"/>
        <v>1.8342845495266336</v>
      </c>
      <c r="T81" s="253">
        <f t="shared" ca="1" si="17"/>
        <v>1.7735953606064971</v>
      </c>
      <c r="U81" s="253">
        <f t="shared" ca="1" si="17"/>
        <v>1.8415554853082605</v>
      </c>
      <c r="V81" s="253">
        <f t="shared" ca="1" si="17"/>
        <v>1.8598103458423199</v>
      </c>
      <c r="W81" s="253">
        <f t="shared" ca="1" si="17"/>
        <v>1.6785177916249945</v>
      </c>
      <c r="X81" s="253">
        <f t="shared" ca="1" si="17"/>
        <v>1.682444488390048</v>
      </c>
      <c r="Y81" s="252">
        <f t="shared" si="19"/>
        <v>0</v>
      </c>
      <c r="Z81" s="252">
        <f t="shared" si="20"/>
        <v>0</v>
      </c>
    </row>
    <row r="82" spans="1:26">
      <c r="A82" s="423">
        <f>1-VLOOKUP(D82,'DOE2014 Sales Pen'!$AA$5:$AE$25,5,FALSE)</f>
        <v>0.64</v>
      </c>
      <c r="B82" s="340">
        <v>1</v>
      </c>
      <c r="C82" s="340">
        <f>VLOOKUP(D55,CostMatrix,MATCH($C$61,'Savings and Cost Analysis'!$AM$12:$CV$12,0),FALSE)</f>
        <v>0.17916666666666667</v>
      </c>
      <c r="D82" t="s">
        <v>1055</v>
      </c>
      <c r="E82" s="253">
        <f t="shared" ca="1" si="18"/>
        <v>0</v>
      </c>
      <c r="F82" s="253">
        <f t="shared" ca="1" si="17"/>
        <v>0</v>
      </c>
      <c r="G82" s="253">
        <f t="shared" ca="1" si="17"/>
        <v>0</v>
      </c>
      <c r="H82" s="253">
        <f t="shared" ca="1" si="17"/>
        <v>0</v>
      </c>
      <c r="I82" s="253">
        <f t="shared" ca="1" si="17"/>
        <v>0</v>
      </c>
      <c r="J82" s="253">
        <f t="shared" ca="1" si="17"/>
        <v>5.3177475062541149</v>
      </c>
      <c r="K82" s="253">
        <f t="shared" ca="1" si="17"/>
        <v>3.8497574384279383</v>
      </c>
      <c r="L82" s="253">
        <f t="shared" ca="1" si="17"/>
        <v>2.896143182824805</v>
      </c>
      <c r="M82" s="253">
        <f t="shared" ca="1" si="17"/>
        <v>2.5399841434227075</v>
      </c>
      <c r="N82" s="253">
        <f t="shared" ca="1" si="17"/>
        <v>1.9101834825869148</v>
      </c>
      <c r="O82" s="253">
        <f t="shared" ca="1" si="17"/>
        <v>1.5363686514423702</v>
      </c>
      <c r="P82" s="253">
        <f t="shared" ca="1" si="17"/>
        <v>1.4891090315371032</v>
      </c>
      <c r="Q82" s="253">
        <f t="shared" ca="1" si="17"/>
        <v>1.317588566878253</v>
      </c>
      <c r="R82" s="253">
        <f t="shared" ca="1" si="17"/>
        <v>1.2691493934973261</v>
      </c>
      <c r="S82" s="253">
        <f t="shared" ca="1" si="17"/>
        <v>1.222856366351089</v>
      </c>
      <c r="T82" s="253">
        <f t="shared" ca="1" si="17"/>
        <v>1.1823969070709981</v>
      </c>
      <c r="U82" s="253">
        <f t="shared" ca="1" si="17"/>
        <v>1.2277036568721738</v>
      </c>
      <c r="V82" s="253">
        <f t="shared" ca="1" si="17"/>
        <v>1.2398735638948801</v>
      </c>
      <c r="W82" s="253">
        <f t="shared" ca="1" si="17"/>
        <v>1.1190118610833297</v>
      </c>
      <c r="X82" s="253">
        <f t="shared" ca="1" si="17"/>
        <v>1.1216296589266987</v>
      </c>
      <c r="Y82" s="252"/>
      <c r="Z82" s="252"/>
    </row>
    <row r="83" spans="1:26">
      <c r="A83" s="423">
        <f>1-VLOOKUP(D83,'DOE2014 Sales Pen'!$AA$5:$AE$25,5,FALSE)</f>
        <v>0.73</v>
      </c>
      <c r="B83" s="340">
        <v>1</v>
      </c>
      <c r="C83" s="340">
        <f>VLOOKUP(D56,CostMatrix,MATCH($C$61,'Savings and Cost Analysis'!$AM$12:$CV$12,0),FALSE)</f>
        <v>0.17916666666666667</v>
      </c>
      <c r="D83" t="s">
        <v>972</v>
      </c>
      <c r="E83" s="253">
        <f t="shared" ca="1" si="18"/>
        <v>0</v>
      </c>
      <c r="F83" s="253">
        <f t="shared" ca="1" si="17"/>
        <v>0</v>
      </c>
      <c r="G83" s="253">
        <f t="shared" ca="1" si="17"/>
        <v>0</v>
      </c>
      <c r="H83" s="253">
        <f t="shared" ca="1" si="17"/>
        <v>0</v>
      </c>
      <c r="I83" s="253">
        <f t="shared" ca="1" si="17"/>
        <v>0</v>
      </c>
      <c r="J83" s="253">
        <f t="shared" ca="1" si="17"/>
        <v>6.0655557493210992</v>
      </c>
      <c r="K83" s="253">
        <f t="shared" ca="1" si="17"/>
        <v>4.3911295782068667</v>
      </c>
      <c r="L83" s="253">
        <f t="shared" ca="1" si="17"/>
        <v>3.3034133179095431</v>
      </c>
      <c r="M83" s="253">
        <f t="shared" ca="1" si="17"/>
        <v>2.8971694135915254</v>
      </c>
      <c r="N83" s="253">
        <f t="shared" ca="1" si="17"/>
        <v>2.1788030348256995</v>
      </c>
      <c r="O83" s="253">
        <f t="shared" ca="1" si="17"/>
        <v>1.7524204930514535</v>
      </c>
      <c r="P83" s="253">
        <f t="shared" ca="1" si="17"/>
        <v>1.6985149890970082</v>
      </c>
      <c r="Q83" s="253">
        <f t="shared" ca="1" si="17"/>
        <v>1.5028744590955072</v>
      </c>
      <c r="R83" s="253">
        <f t="shared" ca="1" si="17"/>
        <v>1.4476235269578874</v>
      </c>
      <c r="S83" s="253">
        <f t="shared" ca="1" si="17"/>
        <v>1.3948205428692109</v>
      </c>
      <c r="T83" s="253">
        <f t="shared" ca="1" si="17"/>
        <v>1.3486714721278572</v>
      </c>
      <c r="U83" s="253">
        <f t="shared" ca="1" si="17"/>
        <v>1.4003494836198231</v>
      </c>
      <c r="V83" s="253">
        <f t="shared" ca="1" si="17"/>
        <v>1.4142307838175974</v>
      </c>
      <c r="W83" s="253">
        <f t="shared" ca="1" si="17"/>
        <v>1.2763729040481728</v>
      </c>
      <c r="X83" s="253">
        <f t="shared" ca="1" si="17"/>
        <v>1.2793588297132656</v>
      </c>
      <c r="Y83" s="252"/>
      <c r="Z83" s="252"/>
    </row>
    <row r="84" spans="1:26">
      <c r="A84" s="423">
        <f>1-VLOOKUP(D84,'DOE2014 Sales Pen'!$AA$5:$AE$25,5,FALSE)</f>
        <v>0.73</v>
      </c>
      <c r="B84" s="340">
        <v>1</v>
      </c>
      <c r="C84" s="340">
        <f>VLOOKUP(D57,CostMatrix,MATCH($C$61,'Savings and Cost Analysis'!$AM$12:$CV$12,0),FALSE)</f>
        <v>1</v>
      </c>
      <c r="D84" t="s">
        <v>972</v>
      </c>
      <c r="E84" s="253">
        <f t="shared" ca="1" si="18"/>
        <v>0</v>
      </c>
      <c r="F84" s="253">
        <f t="shared" ca="1" si="17"/>
        <v>0</v>
      </c>
      <c r="G84" s="253">
        <f t="shared" ca="1" si="17"/>
        <v>0</v>
      </c>
      <c r="H84" s="253">
        <f t="shared" ca="1" si="17"/>
        <v>0</v>
      </c>
      <c r="I84" s="253">
        <f t="shared" ca="1" si="17"/>
        <v>0</v>
      </c>
      <c r="J84" s="253">
        <f t="shared" ca="1" si="17"/>
        <v>33.854264647373576</v>
      </c>
      <c r="K84" s="253">
        <f t="shared" ca="1" si="17"/>
        <v>24.508630203945302</v>
      </c>
      <c r="L84" s="253">
        <f t="shared" ca="1" si="17"/>
        <v>18.437655727867217</v>
      </c>
      <c r="M84" s="253">
        <f t="shared" ca="1" si="17"/>
        <v>16.170247889813165</v>
      </c>
      <c r="N84" s="253">
        <f t="shared" ca="1" si="17"/>
        <v>12.160761124608555</v>
      </c>
      <c r="O84" s="253">
        <f t="shared" ca="1" si="17"/>
        <v>9.7809515891243919</v>
      </c>
      <c r="P84" s="253">
        <f t="shared" ca="1" si="17"/>
        <v>9.4800836600763247</v>
      </c>
      <c r="Q84" s="253">
        <f t="shared" ca="1" si="17"/>
        <v>8.3881365158819019</v>
      </c>
      <c r="R84" s="253">
        <f t="shared" ca="1" si="17"/>
        <v>8.0797592202300699</v>
      </c>
      <c r="S84" s="253">
        <f t="shared" ca="1" si="17"/>
        <v>7.7850448904328049</v>
      </c>
      <c r="T84" s="253">
        <f t="shared" ca="1" si="17"/>
        <v>7.5274686816438541</v>
      </c>
      <c r="U84" s="253">
        <f t="shared" ca="1" si="17"/>
        <v>7.8159040946222689</v>
      </c>
      <c r="V84" s="253">
        <f t="shared" ca="1" si="17"/>
        <v>7.8933811189819396</v>
      </c>
      <c r="W84" s="253">
        <f t="shared" ca="1" si="17"/>
        <v>7.123941790036314</v>
      </c>
      <c r="X84" s="253">
        <f t="shared" ca="1" si="17"/>
        <v>7.1406074216554369</v>
      </c>
      <c r="Y84" s="252"/>
      <c r="Z84" s="252"/>
    </row>
    <row r="85" spans="1:26">
      <c r="A85" s="24"/>
      <c r="B85" s="24"/>
      <c r="C85" s="24"/>
      <c r="D85" s="24"/>
      <c r="E85" s="251"/>
      <c r="F85" s="251"/>
      <c r="G85" s="251"/>
      <c r="H85" s="251"/>
      <c r="I85" s="251"/>
      <c r="J85" s="251"/>
      <c r="K85" s="251"/>
      <c r="L85" s="251"/>
      <c r="M85" s="251"/>
      <c r="N85" s="251"/>
      <c r="O85" s="251"/>
      <c r="P85" s="251"/>
      <c r="Q85" s="251"/>
      <c r="R85" s="251"/>
      <c r="S85" s="251"/>
      <c r="T85" s="251"/>
      <c r="U85" s="251"/>
      <c r="V85" s="251"/>
      <c r="W85" s="251"/>
      <c r="X85" s="251"/>
      <c r="Y85" s="250">
        <f t="shared" si="19"/>
        <v>0</v>
      </c>
      <c r="Z85" s="254"/>
    </row>
    <row r="86" spans="1:26">
      <c r="A86" s="24"/>
      <c r="B86" s="24"/>
      <c r="C86" s="24"/>
      <c r="D86" s="123" t="s">
        <v>920</v>
      </c>
      <c r="E86" s="253"/>
      <c r="F86" s="253"/>
      <c r="G86" s="253"/>
      <c r="H86" s="253"/>
      <c r="I86" s="253"/>
      <c r="J86" s="253"/>
      <c r="K86" s="253"/>
      <c r="L86" s="253"/>
      <c r="M86" s="253"/>
      <c r="N86" s="253"/>
      <c r="O86" s="253"/>
      <c r="P86" s="253"/>
      <c r="Q86" s="253"/>
      <c r="R86" s="253"/>
      <c r="S86" s="253"/>
      <c r="T86" s="253"/>
      <c r="U86" s="253"/>
      <c r="V86" s="253"/>
      <c r="W86" s="253"/>
      <c r="X86" s="253"/>
      <c r="Y86" s="250">
        <f t="shared" si="19"/>
        <v>0</v>
      </c>
      <c r="Z86" s="250">
        <f>SUM(Z77:Z81)</f>
        <v>0</v>
      </c>
    </row>
    <row r="87" spans="1:26">
      <c r="A87" s="24"/>
      <c r="B87" s="24"/>
      <c r="C87" s="24"/>
      <c r="D87" s="123"/>
      <c r="E87" s="253"/>
      <c r="F87" s="253"/>
      <c r="G87" s="253"/>
      <c r="H87" s="253"/>
      <c r="I87" s="253"/>
      <c r="J87" s="253"/>
      <c r="K87" s="253"/>
      <c r="L87" s="253"/>
      <c r="M87" s="253"/>
      <c r="N87" s="253"/>
      <c r="O87" s="253"/>
      <c r="P87" s="253"/>
      <c r="Q87" s="253"/>
      <c r="R87" s="253"/>
      <c r="S87" s="253"/>
      <c r="T87" s="253"/>
      <c r="U87" s="253"/>
      <c r="V87" s="253"/>
      <c r="W87" s="253"/>
      <c r="X87" s="253"/>
      <c r="Y87" s="250"/>
      <c r="Z87" s="24"/>
    </row>
    <row r="88" spans="1:26" ht="15">
      <c r="A88" s="24"/>
      <c r="B88" s="24"/>
      <c r="C88" s="259" t="str">
        <f>VLOOKUP($D$89,[1]!ACHIEV,MATCH(E$11,$E$11:$Y$11,0)+1,FALSE)</f>
        <v>LO20Fast</v>
      </c>
      <c r="D88" s="259" t="s">
        <v>700</v>
      </c>
      <c r="E88" s="24"/>
      <c r="F88" s="24"/>
      <c r="G88" s="24"/>
      <c r="H88" s="24"/>
      <c r="I88" s="24"/>
      <c r="J88" s="24"/>
      <c r="K88" s="24"/>
      <c r="L88" s="24"/>
      <c r="M88" s="24"/>
      <c r="N88" s="24"/>
      <c r="O88" s="24"/>
      <c r="P88" s="24"/>
      <c r="Q88" s="24"/>
      <c r="R88" s="24"/>
      <c r="S88" s="24"/>
      <c r="T88" s="24"/>
      <c r="U88" s="24"/>
      <c r="V88" s="24"/>
      <c r="W88" s="24"/>
      <c r="X88" s="24"/>
      <c r="Y88" s="250"/>
      <c r="Z88" s="24"/>
    </row>
    <row r="89" spans="1:26" ht="15">
      <c r="A89" s="279" t="s">
        <v>922</v>
      </c>
      <c r="B89" s="24"/>
      <c r="C89" s="24"/>
      <c r="D89" s="259" t="str">
        <f>$C$8</f>
        <v>Exterior Building Lighting-NR</v>
      </c>
      <c r="E89" s="260">
        <f>VLOOKUP($D$89,[1]!ACHIEV,MATCH(E$11,$E$11:$Y$11,0)+2,FALSE)</f>
        <v>0.22119921692859512</v>
      </c>
      <c r="F89" s="260">
        <f>VLOOKUP($D$89,[1]!ACHIEV,MATCH(F$11,$E$11:$Y$11,0)+2,FALSE)</f>
        <v>0.37624232795148943</v>
      </c>
      <c r="G89" s="260">
        <f>VLOOKUP($D$89,[1]!ACHIEV,MATCH(G$11,$E$11:$Y$11,0)+2,FALSE)</f>
        <v>0.48357361352878442</v>
      </c>
      <c r="H89" s="260">
        <f>VLOOKUP($D$89,[1]!ACHIEV,MATCH(H$11,$E$11:$Y$11,0)+2,FALSE)</f>
        <v>0.56716330278444227</v>
      </c>
      <c r="I89" s="260">
        <f>VLOOKUP($D$89,[1]!ACHIEV,MATCH(I$11,$E$11:$Y$11,0)+2,FALSE)</f>
        <v>0.64040048266456928</v>
      </c>
      <c r="J89" s="260">
        <f>VLOOKUP($D$89,[1]!ACHIEV,MATCH(J$11,$E$11:$Y$11,0)+2,FALSE)</f>
        <v>0.70377511937632964</v>
      </c>
      <c r="K89" s="260">
        <f>VLOOKUP($D$89,[1]!ACHIEV,MATCH(K$11,$E$11:$Y$11,0)+2,FALSE)</f>
        <v>0.7580669577441127</v>
      </c>
      <c r="L89" s="260">
        <f>VLOOKUP($D$89,[1]!ACHIEV,MATCH(L$11,$E$11:$Y$11,0)+2,FALSE)</f>
        <v>0.80419335000071168</v>
      </c>
      <c r="M89" s="260">
        <f>VLOOKUP($D$89,[1]!ACHIEV,MATCH(M$11,$E$11:$Y$11,0)+2,FALSE)</f>
        <v>0.84311022627788457</v>
      </c>
      <c r="N89" s="260">
        <f>VLOOKUP($D$89,[1]!ACHIEV,MATCH(N$11,$E$11:$Y$11,0)+2,FALSE)</f>
        <v>0.87575014259103623</v>
      </c>
      <c r="O89" s="260">
        <f>VLOOKUP($D$89,[1]!ACHIEV,MATCH(O$11,$E$11:$Y$11,0)+2,FALSE)</f>
        <v>0.90298584871682319</v>
      </c>
      <c r="P89" s="260">
        <f>VLOOKUP($D$89,[1]!ACHIEV,MATCH(P$11,$E$11:$Y$11,0)+2,FALSE)</f>
        <v>0.92419703797508856</v>
      </c>
      <c r="Q89" s="260">
        <f>VLOOKUP($D$89,[1]!ACHIEV,MATCH(Q$11,$E$11:$Y$11,0)+2,FALSE)</f>
        <v>0.94071632877930145</v>
      </c>
      <c r="R89" s="260">
        <f>VLOOKUP($D$89,[1]!ACHIEV,MATCH(R$11,$E$11:$Y$11,0)+2,FALSE)</f>
        <v>0.95358156539340677</v>
      </c>
      <c r="S89" s="260">
        <f>VLOOKUP($D$89,[1]!ACHIEV,MATCH(S$11,$E$11:$Y$11,0)+2,FALSE)</f>
        <v>0.96360102174287088</v>
      </c>
      <c r="T89" s="260">
        <f>VLOOKUP($D$89,[1]!ACHIEV,MATCH(T$11,$E$11:$Y$11,0)+2,FALSE)</f>
        <v>0.97140418219378311</v>
      </c>
      <c r="U89" s="260">
        <f>VLOOKUP($D$89,[1]!ACHIEV,MATCH(U$11,$E$11:$Y$11,0)+2,FALSE)</f>
        <v>0.97748128966338554</v>
      </c>
      <c r="V89" s="260">
        <f>VLOOKUP($D$89,[1]!ACHIEV,MATCH(V$11,$E$11:$Y$11,0)+2,FALSE)</f>
        <v>0.98221414571952104</v>
      </c>
      <c r="W89" s="260">
        <f>VLOOKUP($D$89,[1]!ACHIEV,MATCH(W$11,$E$11:$Y$11,0)+2,FALSE)</f>
        <v>0.98590009772220355</v>
      </c>
      <c r="X89" s="260">
        <f>VLOOKUP($D$89,[1]!ACHIEV,MATCH(X$11,$E$11:$Y$11,0)+2,FALSE)</f>
        <v>0.98877072002825628</v>
      </c>
      <c r="Y89" s="250"/>
      <c r="Z89" s="24"/>
    </row>
    <row r="90" spans="1:26">
      <c r="A90" s="243" t="s">
        <v>699</v>
      </c>
      <c r="B90" s="24"/>
      <c r="C90" s="24"/>
      <c r="D90" s="47" t="str">
        <f t="shared" ref="D90:D97" si="21">D36</f>
        <v>Exterior Lighting: Parking Lot - HPS 250W - NR</v>
      </c>
      <c r="E90" s="253">
        <f ca="1">SUM(E64,E77)*E$89*$Z$12</f>
        <v>82.898478286789071</v>
      </c>
      <c r="F90" s="253">
        <f t="shared" ref="F90:X97" ca="1" si="22">SUM(F64,F77)*F$89*$Z$12</f>
        <v>140.39708146554753</v>
      </c>
      <c r="G90" s="253">
        <f t="shared" ca="1" si="22"/>
        <v>179.67266872853838</v>
      </c>
      <c r="H90" s="253">
        <f t="shared" ca="1" si="22"/>
        <v>209.82540991900581</v>
      </c>
      <c r="I90" s="253">
        <f t="shared" ca="1" si="22"/>
        <v>235.90311475959624</v>
      </c>
      <c r="J90" s="253">
        <f t="shared" ca="1" si="22"/>
        <v>261.76503576147269</v>
      </c>
      <c r="K90" s="253">
        <f t="shared" ca="1" si="22"/>
        <v>279.68823856976041</v>
      </c>
      <c r="L90" s="253">
        <f t="shared" ca="1" si="22"/>
        <v>294.70555682338465</v>
      </c>
      <c r="M90" s="253">
        <f t="shared" ca="1" si="22"/>
        <v>307.36434647603113</v>
      </c>
      <c r="N90" s="253">
        <f t="shared" ca="1" si="22"/>
        <v>317.3733649692349</v>
      </c>
      <c r="O90" s="253">
        <f t="shared" ca="1" si="22"/>
        <v>325.52586067003523</v>
      </c>
      <c r="P90" s="253">
        <f t="shared" ca="1" si="22"/>
        <v>331.71418548277836</v>
      </c>
      <c r="Q90" s="253">
        <f t="shared" ca="1" si="22"/>
        <v>336.05292317290559</v>
      </c>
      <c r="R90" s="253">
        <f t="shared" ca="1" si="22"/>
        <v>339.1577924457543</v>
      </c>
      <c r="S90" s="253">
        <f t="shared" ca="1" si="22"/>
        <v>341.22412449379448</v>
      </c>
      <c r="T90" s="253">
        <f t="shared" ca="1" si="22"/>
        <v>342.49084230373421</v>
      </c>
      <c r="U90" s="253">
        <f t="shared" ca="1" si="22"/>
        <v>343.21630401020246</v>
      </c>
      <c r="V90" s="253">
        <f t="shared" ca="1" si="22"/>
        <v>343.42993647450743</v>
      </c>
      <c r="W90" s="253">
        <f t="shared" ca="1" si="22"/>
        <v>343.14532722229126</v>
      </c>
      <c r="X90" s="253">
        <f t="shared" ca="1" si="22"/>
        <v>342.69220546884844</v>
      </c>
      <c r="Y90" s="250"/>
      <c r="Z90" s="24"/>
    </row>
    <row r="91" spans="1:26">
      <c r="A91" s="24"/>
      <c r="B91" s="24"/>
      <c r="C91" s="24"/>
      <c r="D91" s="47" t="str">
        <f t="shared" si="21"/>
        <v>Exterior Lighting: Walkway - HID 150W - NR</v>
      </c>
      <c r="E91" s="253">
        <f t="shared" ref="E91:T97" ca="1" si="23">SUM(E65,E78)*E$89*$Z$12</f>
        <v>109.0171769250925</v>
      </c>
      <c r="F91" s="253">
        <f t="shared" ca="1" si="23"/>
        <v>184.63177836565151</v>
      </c>
      <c r="G91" s="253">
        <f t="shared" ca="1" si="23"/>
        <v>236.28186572520113</v>
      </c>
      <c r="H91" s="253">
        <f t="shared" ca="1" si="23"/>
        <v>275.93478564691168</v>
      </c>
      <c r="I91" s="253">
        <f t="shared" ca="1" si="23"/>
        <v>310.2287536564553</v>
      </c>
      <c r="J91" s="253">
        <f t="shared" ca="1" si="23"/>
        <v>344.23895113837506</v>
      </c>
      <c r="K91" s="253">
        <f t="shared" ca="1" si="23"/>
        <v>367.80919044790414</v>
      </c>
      <c r="L91" s="253">
        <f t="shared" ca="1" si="23"/>
        <v>387.55799253486197</v>
      </c>
      <c r="M91" s="253">
        <f t="shared" ca="1" si="23"/>
        <v>404.2051679684792</v>
      </c>
      <c r="N91" s="253">
        <f t="shared" ca="1" si="23"/>
        <v>417.36771283625416</v>
      </c>
      <c r="O91" s="253">
        <f t="shared" ca="1" si="23"/>
        <v>428.0888030729231</v>
      </c>
      <c r="P91" s="253">
        <f t="shared" ca="1" si="23"/>
        <v>436.22687405954417</v>
      </c>
      <c r="Q91" s="253">
        <f t="shared" ca="1" si="23"/>
        <v>441.93261129587586</v>
      </c>
      <c r="R91" s="253">
        <f t="shared" ca="1" si="23"/>
        <v>446.01572705195082</v>
      </c>
      <c r="S91" s="253">
        <f t="shared" ca="1" si="23"/>
        <v>448.73309522471601</v>
      </c>
      <c r="T91" s="253">
        <f t="shared" ca="1" si="23"/>
        <v>450.39891590628059</v>
      </c>
      <c r="U91" s="253">
        <f t="shared" ca="1" si="22"/>
        <v>451.35294773944429</v>
      </c>
      <c r="V91" s="253">
        <f t="shared" ca="1" si="22"/>
        <v>451.63388906236588</v>
      </c>
      <c r="W91" s="253">
        <f t="shared" ca="1" si="22"/>
        <v>451.25960840191726</v>
      </c>
      <c r="X91" s="253">
        <f t="shared" ca="1" si="22"/>
        <v>450.66372226040346</v>
      </c>
      <c r="Y91" s="250"/>
      <c r="Z91" s="24"/>
    </row>
    <row r="92" spans="1:26">
      <c r="A92" s="24"/>
      <c r="B92" s="24"/>
      <c r="C92" s="24"/>
      <c r="D92" s="47" t="str">
        <f t="shared" si="21"/>
        <v>Exterior Lighting: Façade - HID 150W - NR</v>
      </c>
      <c r="E92" s="253">
        <f t="shared" ca="1" si="23"/>
        <v>109.0171769250925</v>
      </c>
      <c r="F92" s="253">
        <f t="shared" ca="1" si="22"/>
        <v>184.63177836565151</v>
      </c>
      <c r="G92" s="253">
        <f t="shared" ca="1" si="22"/>
        <v>236.28186572520113</v>
      </c>
      <c r="H92" s="253">
        <f t="shared" ca="1" si="22"/>
        <v>275.93478564691168</v>
      </c>
      <c r="I92" s="253">
        <f t="shared" ca="1" si="22"/>
        <v>310.2287536564553</v>
      </c>
      <c r="J92" s="253">
        <f t="shared" ca="1" si="22"/>
        <v>344.23895113837506</v>
      </c>
      <c r="K92" s="253">
        <f t="shared" ca="1" si="22"/>
        <v>367.80919044790414</v>
      </c>
      <c r="L92" s="253">
        <f t="shared" ca="1" si="22"/>
        <v>387.55799253486197</v>
      </c>
      <c r="M92" s="253">
        <f t="shared" ca="1" si="22"/>
        <v>404.2051679684792</v>
      </c>
      <c r="N92" s="253">
        <f t="shared" ca="1" si="22"/>
        <v>417.36771283625416</v>
      </c>
      <c r="O92" s="253">
        <f t="shared" ca="1" si="22"/>
        <v>428.0888030729231</v>
      </c>
      <c r="P92" s="253">
        <f t="shared" ca="1" si="22"/>
        <v>436.22687405954417</v>
      </c>
      <c r="Q92" s="253">
        <f t="shared" ca="1" si="22"/>
        <v>441.93261129587586</v>
      </c>
      <c r="R92" s="253">
        <f t="shared" ca="1" si="22"/>
        <v>446.01572705195082</v>
      </c>
      <c r="S92" s="253">
        <f t="shared" ca="1" si="22"/>
        <v>448.73309522471601</v>
      </c>
      <c r="T92" s="253">
        <f t="shared" ca="1" si="22"/>
        <v>450.39891590628059</v>
      </c>
      <c r="U92" s="253">
        <f t="shared" ca="1" si="22"/>
        <v>451.35294773944429</v>
      </c>
      <c r="V92" s="253">
        <f t="shared" ca="1" si="22"/>
        <v>451.63388906236588</v>
      </c>
      <c r="W92" s="253">
        <f t="shared" ca="1" si="22"/>
        <v>451.25960840191726</v>
      </c>
      <c r="X92" s="253">
        <f t="shared" ca="1" si="22"/>
        <v>450.66372226040346</v>
      </c>
      <c r="Y92" s="250"/>
      <c r="Z92" s="24"/>
    </row>
    <row r="93" spans="1:26">
      <c r="A93" s="24"/>
      <c r="B93" s="24"/>
      <c r="C93" s="24"/>
      <c r="D93" s="47" t="str">
        <f t="shared" si="21"/>
        <v>Exterior Lighting: Walkway - INC 75W - NR</v>
      </c>
      <c r="E93" s="253">
        <f t="shared" ca="1" si="23"/>
        <v>72.678117950061676</v>
      </c>
      <c r="F93" s="253">
        <f t="shared" ca="1" si="22"/>
        <v>123.08785224376768</v>
      </c>
      <c r="G93" s="253">
        <f t="shared" ca="1" si="22"/>
        <v>157.52124381680079</v>
      </c>
      <c r="H93" s="253">
        <f t="shared" ca="1" si="22"/>
        <v>183.95652376460785</v>
      </c>
      <c r="I93" s="253">
        <f t="shared" ca="1" si="22"/>
        <v>206.81916910430357</v>
      </c>
      <c r="J93" s="253">
        <f t="shared" ca="1" si="22"/>
        <v>229.49263409225006</v>
      </c>
      <c r="K93" s="253">
        <f t="shared" ca="1" si="22"/>
        <v>245.20612696526945</v>
      </c>
      <c r="L93" s="253">
        <f t="shared" ca="1" si="22"/>
        <v>258.37199502324131</v>
      </c>
      <c r="M93" s="253">
        <f t="shared" ca="1" si="22"/>
        <v>269.47011197898615</v>
      </c>
      <c r="N93" s="253">
        <f t="shared" ca="1" si="22"/>
        <v>278.24514189083607</v>
      </c>
      <c r="O93" s="253">
        <f t="shared" ca="1" si="22"/>
        <v>285.39253538194879</v>
      </c>
      <c r="P93" s="253">
        <f t="shared" ca="1" si="22"/>
        <v>290.81791603969612</v>
      </c>
      <c r="Q93" s="253">
        <f t="shared" ca="1" si="22"/>
        <v>294.62174086391735</v>
      </c>
      <c r="R93" s="253">
        <f t="shared" ca="1" si="22"/>
        <v>297.34381803463395</v>
      </c>
      <c r="S93" s="253">
        <f t="shared" ca="1" si="22"/>
        <v>299.15539681647738</v>
      </c>
      <c r="T93" s="253">
        <f t="shared" ca="1" si="22"/>
        <v>300.26594393752038</v>
      </c>
      <c r="U93" s="253">
        <f t="shared" ca="1" si="22"/>
        <v>300.90196515962953</v>
      </c>
      <c r="V93" s="253">
        <f t="shared" ca="1" si="22"/>
        <v>301.08925937491063</v>
      </c>
      <c r="W93" s="253">
        <f t="shared" ca="1" si="22"/>
        <v>300.83973893461149</v>
      </c>
      <c r="X93" s="253">
        <f t="shared" ca="1" si="22"/>
        <v>300.44248150693556</v>
      </c>
      <c r="Y93" s="250"/>
      <c r="Z93" s="24"/>
    </row>
    <row r="94" spans="1:26">
      <c r="A94" s="24"/>
      <c r="B94" s="24"/>
      <c r="C94" s="24"/>
      <c r="D94" s="47" t="str">
        <f t="shared" si="21"/>
        <v>Exterior Lighting: Façade - HID 400W - NR</v>
      </c>
      <c r="E94" s="253">
        <f t="shared" ca="1" si="23"/>
        <v>109.0171769250925</v>
      </c>
      <c r="F94" s="253">
        <f t="shared" ca="1" si="22"/>
        <v>184.63177836565151</v>
      </c>
      <c r="G94" s="253">
        <f t="shared" ca="1" si="22"/>
        <v>236.28186572520113</v>
      </c>
      <c r="H94" s="253">
        <f t="shared" ca="1" si="22"/>
        <v>275.93478564691168</v>
      </c>
      <c r="I94" s="253">
        <f t="shared" ca="1" si="22"/>
        <v>310.2287536564553</v>
      </c>
      <c r="J94" s="253">
        <f t="shared" ca="1" si="22"/>
        <v>344.23895113837506</v>
      </c>
      <c r="K94" s="253">
        <f t="shared" ca="1" si="22"/>
        <v>367.80919044790414</v>
      </c>
      <c r="L94" s="253">
        <f t="shared" ca="1" si="22"/>
        <v>387.55799253486197</v>
      </c>
      <c r="M94" s="253">
        <f t="shared" ca="1" si="22"/>
        <v>404.2051679684792</v>
      </c>
      <c r="N94" s="253">
        <f t="shared" ca="1" si="22"/>
        <v>417.36771283625416</v>
      </c>
      <c r="O94" s="253">
        <f t="shared" ca="1" si="22"/>
        <v>428.0888030729231</v>
      </c>
      <c r="P94" s="253">
        <f t="shared" ca="1" si="22"/>
        <v>436.22687405954417</v>
      </c>
      <c r="Q94" s="253">
        <f t="shared" ca="1" si="22"/>
        <v>441.93261129587586</v>
      </c>
      <c r="R94" s="253">
        <f t="shared" ca="1" si="22"/>
        <v>446.01572705195082</v>
      </c>
      <c r="S94" s="253">
        <f t="shared" ca="1" si="22"/>
        <v>448.73309522471601</v>
      </c>
      <c r="T94" s="253">
        <f t="shared" ca="1" si="22"/>
        <v>450.39891590628059</v>
      </c>
      <c r="U94" s="253">
        <f t="shared" ca="1" si="22"/>
        <v>451.35294773944429</v>
      </c>
      <c r="V94" s="253">
        <f t="shared" ca="1" si="22"/>
        <v>451.63388906236588</v>
      </c>
      <c r="W94" s="253">
        <f t="shared" ca="1" si="22"/>
        <v>451.25960840191726</v>
      </c>
      <c r="X94" s="253">
        <f t="shared" ca="1" si="22"/>
        <v>450.66372226040346</v>
      </c>
      <c r="Y94" s="250"/>
      <c r="Z94" s="24"/>
    </row>
    <row r="95" spans="1:26">
      <c r="A95" s="24"/>
      <c r="B95" s="24"/>
      <c r="C95" s="24"/>
      <c r="D95" s="47" t="str">
        <f t="shared" si="21"/>
        <v>Exterior Lighting: Walkway - CFL 26W - NR</v>
      </c>
      <c r="E95" s="253">
        <f t="shared" ca="1" si="23"/>
        <v>72.678117950061676</v>
      </c>
      <c r="F95" s="253">
        <f t="shared" ca="1" si="22"/>
        <v>123.08785224376768</v>
      </c>
      <c r="G95" s="253">
        <f t="shared" ca="1" si="22"/>
        <v>157.52124381680079</v>
      </c>
      <c r="H95" s="253">
        <f t="shared" ca="1" si="22"/>
        <v>183.95652376460785</v>
      </c>
      <c r="I95" s="253">
        <f t="shared" ca="1" si="22"/>
        <v>206.81916910430357</v>
      </c>
      <c r="J95" s="253">
        <f t="shared" ca="1" si="22"/>
        <v>229.49263409225006</v>
      </c>
      <c r="K95" s="253">
        <f t="shared" ca="1" si="22"/>
        <v>245.20612696526945</v>
      </c>
      <c r="L95" s="253">
        <f t="shared" ca="1" si="22"/>
        <v>258.37199502324131</v>
      </c>
      <c r="M95" s="253">
        <f t="shared" ca="1" si="22"/>
        <v>269.47011197898615</v>
      </c>
      <c r="N95" s="253">
        <f t="shared" ca="1" si="22"/>
        <v>278.24514189083607</v>
      </c>
      <c r="O95" s="253">
        <f t="shared" ca="1" si="22"/>
        <v>285.39253538194879</v>
      </c>
      <c r="P95" s="253">
        <f t="shared" ca="1" si="22"/>
        <v>290.81791603969612</v>
      </c>
      <c r="Q95" s="253">
        <f t="shared" ca="1" si="22"/>
        <v>294.62174086391735</v>
      </c>
      <c r="R95" s="253">
        <f t="shared" ca="1" si="22"/>
        <v>297.34381803463395</v>
      </c>
      <c r="S95" s="253">
        <f t="shared" ca="1" si="22"/>
        <v>299.15539681647738</v>
      </c>
      <c r="T95" s="253">
        <f t="shared" ca="1" si="22"/>
        <v>300.26594393752038</v>
      </c>
      <c r="U95" s="253">
        <f t="shared" ca="1" si="22"/>
        <v>300.90196515962953</v>
      </c>
      <c r="V95" s="253">
        <f t="shared" ca="1" si="22"/>
        <v>301.08925937491063</v>
      </c>
      <c r="W95" s="253">
        <f t="shared" ca="1" si="22"/>
        <v>300.83973893461149</v>
      </c>
      <c r="X95" s="253">
        <f t="shared" ca="1" si="22"/>
        <v>300.44248150693556</v>
      </c>
      <c r="Y95" s="250"/>
      <c r="Z95" s="24"/>
    </row>
    <row r="96" spans="1:26">
      <c r="A96" s="24"/>
      <c r="B96" s="24"/>
      <c r="C96" s="24"/>
      <c r="D96" s="47" t="str">
        <f t="shared" si="21"/>
        <v>Exterior Lighting: Parking Lot - MH 400W - NR</v>
      </c>
      <c r="E96" s="253">
        <f t="shared" ca="1" si="23"/>
        <v>82.898478286789071</v>
      </c>
      <c r="F96" s="253">
        <f t="shared" ca="1" si="22"/>
        <v>140.39708146554753</v>
      </c>
      <c r="G96" s="253">
        <f t="shared" ca="1" si="22"/>
        <v>179.67266872853838</v>
      </c>
      <c r="H96" s="253">
        <f t="shared" ca="1" si="22"/>
        <v>209.82540991900581</v>
      </c>
      <c r="I96" s="253">
        <f t="shared" ca="1" si="22"/>
        <v>235.90311475959624</v>
      </c>
      <c r="J96" s="253">
        <f t="shared" ca="1" si="22"/>
        <v>261.76503576147269</v>
      </c>
      <c r="K96" s="253">
        <f t="shared" ca="1" si="22"/>
        <v>279.68823856976041</v>
      </c>
      <c r="L96" s="253">
        <f t="shared" ca="1" si="22"/>
        <v>294.70555682338465</v>
      </c>
      <c r="M96" s="253">
        <f t="shared" ca="1" si="22"/>
        <v>307.36434647603113</v>
      </c>
      <c r="N96" s="253">
        <f t="shared" ca="1" si="22"/>
        <v>317.3733649692349</v>
      </c>
      <c r="O96" s="253">
        <f t="shared" ca="1" si="22"/>
        <v>325.52586067003523</v>
      </c>
      <c r="P96" s="253">
        <f t="shared" ca="1" si="22"/>
        <v>331.71418548277836</v>
      </c>
      <c r="Q96" s="253">
        <f t="shared" ca="1" si="22"/>
        <v>336.05292317290559</v>
      </c>
      <c r="R96" s="253">
        <f t="shared" ca="1" si="22"/>
        <v>339.1577924457543</v>
      </c>
      <c r="S96" s="253">
        <f t="shared" ca="1" si="22"/>
        <v>341.22412449379448</v>
      </c>
      <c r="T96" s="253">
        <f t="shared" ca="1" si="22"/>
        <v>342.49084230373421</v>
      </c>
      <c r="U96" s="253">
        <f t="shared" ca="1" si="22"/>
        <v>343.21630401020246</v>
      </c>
      <c r="V96" s="253">
        <f t="shared" ca="1" si="22"/>
        <v>343.42993647450743</v>
      </c>
      <c r="W96" s="253">
        <f t="shared" ca="1" si="22"/>
        <v>343.14532722229126</v>
      </c>
      <c r="X96" s="253">
        <f t="shared" ca="1" si="22"/>
        <v>342.69220546884844</v>
      </c>
      <c r="Y96" s="250"/>
      <c r="Z96" s="24"/>
    </row>
    <row r="97" spans="1:26">
      <c r="A97" s="24"/>
      <c r="B97" s="24"/>
      <c r="C97" s="24"/>
      <c r="D97" s="47" t="str">
        <f t="shared" si="21"/>
        <v>Exterior Lighting: Parking Lot - MH 1000W - NR</v>
      </c>
      <c r="E97" s="253">
        <f t="shared" ca="1" si="23"/>
        <v>462.68918113556697</v>
      </c>
      <c r="F97" s="253">
        <f t="shared" ca="1" si="22"/>
        <v>783.61161748212567</v>
      </c>
      <c r="G97" s="253">
        <f t="shared" ca="1" si="22"/>
        <v>1002.8241975546327</v>
      </c>
      <c r="H97" s="253">
        <f t="shared" ca="1" si="22"/>
        <v>1171.1185669897998</v>
      </c>
      <c r="I97" s="253">
        <f t="shared" ca="1" si="22"/>
        <v>1316.6685474954209</v>
      </c>
      <c r="J97" s="253">
        <f t="shared" ca="1" si="22"/>
        <v>1461.0141530872895</v>
      </c>
      <c r="K97" s="253">
        <f t="shared" ca="1" si="22"/>
        <v>1561.0506338777325</v>
      </c>
      <c r="L97" s="253">
        <f t="shared" ca="1" si="22"/>
        <v>1644.8682241305189</v>
      </c>
      <c r="M97" s="253">
        <f t="shared" ca="1" si="22"/>
        <v>1715.5219338197082</v>
      </c>
      <c r="N97" s="253">
        <f t="shared" ca="1" si="22"/>
        <v>1771.3862230841021</v>
      </c>
      <c r="O97" s="253">
        <f t="shared" ca="1" si="22"/>
        <v>1816.8885246699642</v>
      </c>
      <c r="P97" s="253">
        <f t="shared" ca="1" si="22"/>
        <v>1851.4280119969021</v>
      </c>
      <c r="Q97" s="253">
        <f t="shared" ca="1" si="22"/>
        <v>1875.6442223604035</v>
      </c>
      <c r="R97" s="253">
        <f t="shared" ca="1" si="22"/>
        <v>1892.973725278629</v>
      </c>
      <c r="S97" s="253">
        <f t="shared" ca="1" si="22"/>
        <v>1904.5067413607132</v>
      </c>
      <c r="T97" s="253">
        <f t="shared" ca="1" si="22"/>
        <v>1911.5767942534001</v>
      </c>
      <c r="U97" s="253">
        <f t="shared" ca="1" si="22"/>
        <v>1915.6258828476414</v>
      </c>
      <c r="V97" s="253">
        <f t="shared" ca="1" si="22"/>
        <v>1916.8182500902738</v>
      </c>
      <c r="W97" s="253">
        <f t="shared" ca="1" si="22"/>
        <v>1915.2297333337187</v>
      </c>
      <c r="X97" s="253">
        <f t="shared" ca="1" si="22"/>
        <v>1912.7006816865962</v>
      </c>
      <c r="Y97" s="250"/>
      <c r="Z97" s="24"/>
    </row>
    <row r="98" spans="1:26">
      <c r="A98" s="24"/>
      <c r="B98" s="24"/>
      <c r="C98" s="24"/>
      <c r="D98" s="123"/>
      <c r="E98" s="253"/>
      <c r="F98" s="253"/>
      <c r="G98" s="253"/>
      <c r="H98" s="253"/>
      <c r="I98" s="253"/>
      <c r="J98" s="253"/>
      <c r="K98" s="253"/>
      <c r="L98" s="253"/>
      <c r="M98" s="253"/>
      <c r="N98" s="253"/>
      <c r="O98" s="253"/>
      <c r="P98" s="253"/>
      <c r="Q98" s="253"/>
      <c r="R98" s="253"/>
      <c r="S98" s="253"/>
      <c r="T98" s="253"/>
      <c r="U98" s="253"/>
      <c r="V98" s="253"/>
      <c r="W98" s="253"/>
      <c r="X98" s="253"/>
      <c r="Y98" s="250"/>
      <c r="Z98" s="24"/>
    </row>
    <row r="99" spans="1:26">
      <c r="A99" s="24"/>
      <c r="B99" s="24"/>
      <c r="C99" s="24"/>
      <c r="D99" s="123" t="s">
        <v>923</v>
      </c>
      <c r="E99" s="253">
        <f ca="1">SUM(E90:E94)</f>
        <v>482.62812701212823</v>
      </c>
      <c r="F99" s="253">
        <f t="shared" ref="F99:X99" ca="1" si="24">SUM(F90:F94)</f>
        <v>817.38026880626967</v>
      </c>
      <c r="G99" s="253">
        <f t="shared" ca="1" si="24"/>
        <v>1046.0395097209425</v>
      </c>
      <c r="H99" s="253">
        <f t="shared" ca="1" si="24"/>
        <v>1221.5862906243487</v>
      </c>
      <c r="I99" s="253">
        <f t="shared" ca="1" si="24"/>
        <v>1373.4085448332658</v>
      </c>
      <c r="J99" s="253">
        <f t="shared" ca="1" si="24"/>
        <v>1523.9745232688479</v>
      </c>
      <c r="K99" s="253">
        <f t="shared" ca="1" si="24"/>
        <v>1628.3219368787422</v>
      </c>
      <c r="L99" s="253">
        <f t="shared" ca="1" si="24"/>
        <v>1715.7515294512118</v>
      </c>
      <c r="M99" s="253">
        <f t="shared" ca="1" si="24"/>
        <v>1789.4499623604547</v>
      </c>
      <c r="N99" s="253">
        <f t="shared" ca="1" si="24"/>
        <v>1847.7216453688336</v>
      </c>
      <c r="O99" s="253">
        <f t="shared" ca="1" si="24"/>
        <v>1895.1848052707535</v>
      </c>
      <c r="P99" s="253">
        <f t="shared" ca="1" si="24"/>
        <v>1931.2127237011068</v>
      </c>
      <c r="Q99" s="253">
        <f t="shared" ca="1" si="24"/>
        <v>1956.4724979244504</v>
      </c>
      <c r="R99" s="253">
        <f t="shared" ca="1" si="24"/>
        <v>1974.5487916362408</v>
      </c>
      <c r="S99" s="253">
        <f t="shared" ca="1" si="24"/>
        <v>1986.5788069844198</v>
      </c>
      <c r="T99" s="253">
        <f t="shared" ca="1" si="24"/>
        <v>1993.9535339600964</v>
      </c>
      <c r="U99" s="253">
        <f t="shared" ca="1" si="24"/>
        <v>1998.1771123881649</v>
      </c>
      <c r="V99" s="253">
        <f t="shared" ca="1" si="24"/>
        <v>1999.4208630365156</v>
      </c>
      <c r="W99" s="253">
        <f t="shared" ca="1" si="24"/>
        <v>1997.7638913626547</v>
      </c>
      <c r="X99" s="253">
        <f t="shared" ca="1" si="24"/>
        <v>1995.1258537569943</v>
      </c>
      <c r="Y99" s="250"/>
      <c r="Z99" s="24"/>
    </row>
    <row r="100" spans="1:26">
      <c r="A100" s="24"/>
      <c r="B100" s="24"/>
      <c r="C100" s="24"/>
      <c r="D100" s="123"/>
      <c r="E100" s="253"/>
      <c r="F100" s="253"/>
      <c r="G100" s="253"/>
      <c r="H100" s="253"/>
      <c r="I100" s="253"/>
      <c r="J100" s="253"/>
      <c r="K100" s="253"/>
      <c r="L100" s="253"/>
      <c r="M100" s="253"/>
      <c r="N100" s="253"/>
      <c r="O100" s="253"/>
      <c r="P100" s="253"/>
      <c r="Q100" s="253"/>
      <c r="R100" s="253"/>
      <c r="S100" s="253"/>
      <c r="T100" s="253"/>
      <c r="U100" s="253"/>
      <c r="V100" s="253"/>
      <c r="W100" s="253"/>
      <c r="X100" s="253"/>
      <c r="Y100" s="250"/>
      <c r="Z100" s="24"/>
    </row>
    <row r="101" spans="1:26">
      <c r="A101" s="24"/>
      <c r="B101" s="24"/>
      <c r="C101" s="24"/>
      <c r="D101" s="123"/>
      <c r="E101" s="253"/>
      <c r="F101" s="253"/>
      <c r="G101" s="253"/>
      <c r="H101" s="253"/>
      <c r="I101" s="253"/>
      <c r="J101" s="253"/>
      <c r="K101" s="253"/>
      <c r="L101" s="253"/>
      <c r="M101" s="253"/>
      <c r="N101" s="253"/>
      <c r="O101" s="253"/>
      <c r="P101" s="253"/>
      <c r="Q101" s="253"/>
      <c r="R101" s="253"/>
      <c r="S101" s="253"/>
      <c r="T101" s="253"/>
      <c r="U101" s="253"/>
      <c r="V101" s="253"/>
      <c r="W101" s="253"/>
      <c r="X101" s="253"/>
      <c r="Y101" s="250"/>
      <c r="Z101" s="24"/>
    </row>
    <row r="102" spans="1:26" ht="15">
      <c r="A102" s="279" t="s">
        <v>924</v>
      </c>
      <c r="B102" s="24"/>
      <c r="C102" s="24"/>
      <c r="D102" s="259" t="str">
        <f>$C$8</f>
        <v>Exterior Building Lighting-NR</v>
      </c>
      <c r="E102" s="259">
        <v>1</v>
      </c>
      <c r="F102" s="259">
        <v>2</v>
      </c>
      <c r="G102" s="259">
        <v>3</v>
      </c>
      <c r="H102" s="259">
        <v>4</v>
      </c>
      <c r="I102" s="259">
        <v>5</v>
      </c>
      <c r="J102" s="259">
        <v>6</v>
      </c>
      <c r="K102" s="259">
        <v>7</v>
      </c>
      <c r="L102" s="259">
        <v>8</v>
      </c>
      <c r="M102" s="259">
        <v>9</v>
      </c>
      <c r="N102" s="259">
        <v>10</v>
      </c>
      <c r="O102" s="259">
        <v>11</v>
      </c>
      <c r="P102" s="259">
        <v>12</v>
      </c>
      <c r="Q102" s="259">
        <v>13</v>
      </c>
      <c r="R102" s="259">
        <v>14</v>
      </c>
      <c r="S102" s="259">
        <v>15</v>
      </c>
      <c r="T102" s="259">
        <v>16</v>
      </c>
      <c r="U102" s="259">
        <v>17</v>
      </c>
      <c r="V102" s="259">
        <v>18</v>
      </c>
      <c r="W102" s="259">
        <v>19</v>
      </c>
      <c r="X102" s="259">
        <v>20</v>
      </c>
      <c r="Y102" s="250"/>
      <c r="Z102" s="24"/>
    </row>
    <row r="103" spans="1:26">
      <c r="A103" s="243" t="s">
        <v>699</v>
      </c>
      <c r="B103" s="24"/>
      <c r="D103" s="47" t="str">
        <f t="shared" ref="D103:D110" si="25">D36</f>
        <v>Exterior Lighting: Parking Lot - HPS 250W - NR</v>
      </c>
      <c r="E103" s="253">
        <f ca="1">E90</f>
        <v>82.898478286789071</v>
      </c>
      <c r="F103" s="253">
        <f ca="1">E103+F90</f>
        <v>223.2955597523366</v>
      </c>
      <c r="G103" s="253">
        <f t="shared" ref="G103:X110" ca="1" si="26">F103+G90</f>
        <v>402.96822848087498</v>
      </c>
      <c r="H103" s="253">
        <f t="shared" ca="1" si="26"/>
        <v>612.79363839988082</v>
      </c>
      <c r="I103" s="253">
        <f t="shared" ca="1" si="26"/>
        <v>848.69675315947711</v>
      </c>
      <c r="J103" s="253">
        <f t="shared" ca="1" si="26"/>
        <v>1110.4617889209499</v>
      </c>
      <c r="K103" s="253">
        <f t="shared" ca="1" si="26"/>
        <v>1390.1500274907103</v>
      </c>
      <c r="L103" s="253">
        <f t="shared" ca="1" si="26"/>
        <v>1684.8555843140948</v>
      </c>
      <c r="M103" s="253">
        <f t="shared" ca="1" si="26"/>
        <v>1992.219930790126</v>
      </c>
      <c r="N103" s="253">
        <f t="shared" ca="1" si="26"/>
        <v>2309.5932957593609</v>
      </c>
      <c r="O103" s="253">
        <f t="shared" ca="1" si="26"/>
        <v>2635.1191564293963</v>
      </c>
      <c r="P103" s="253">
        <f t="shared" ca="1" si="26"/>
        <v>2966.8333419121745</v>
      </c>
      <c r="Q103" s="253">
        <f t="shared" ca="1" si="26"/>
        <v>3302.8862650850801</v>
      </c>
      <c r="R103" s="253">
        <f t="shared" ca="1" si="26"/>
        <v>3642.0440575308344</v>
      </c>
      <c r="S103" s="253">
        <f t="shared" ca="1" si="26"/>
        <v>3983.2681820246289</v>
      </c>
      <c r="T103" s="253">
        <f t="shared" ca="1" si="26"/>
        <v>4325.759024328363</v>
      </c>
      <c r="U103" s="253">
        <f t="shared" ca="1" si="26"/>
        <v>4668.9753283385653</v>
      </c>
      <c r="V103" s="253">
        <f t="shared" ca="1" si="26"/>
        <v>5012.4052648130728</v>
      </c>
      <c r="W103" s="253">
        <f t="shared" ca="1" si="26"/>
        <v>5355.5505920353644</v>
      </c>
      <c r="X103" s="253">
        <f t="shared" ca="1" si="26"/>
        <v>5698.2427975042128</v>
      </c>
      <c r="Y103" s="250"/>
      <c r="Z103" s="24"/>
    </row>
    <row r="104" spans="1:26">
      <c r="A104" s="24"/>
      <c r="D104" s="47" t="str">
        <f t="shared" si="25"/>
        <v>Exterior Lighting: Walkway - HID 150W - NR</v>
      </c>
      <c r="E104" s="253">
        <f t="shared" ref="E104:E110" ca="1" si="27">E91</f>
        <v>109.0171769250925</v>
      </c>
      <c r="F104" s="253">
        <f t="shared" ref="F104:U110" ca="1" si="28">E104+F91</f>
        <v>293.64895529074403</v>
      </c>
      <c r="G104" s="253">
        <f t="shared" ca="1" si="28"/>
        <v>529.93082101594518</v>
      </c>
      <c r="H104" s="253">
        <f t="shared" ca="1" si="28"/>
        <v>805.86560666285686</v>
      </c>
      <c r="I104" s="253">
        <f t="shared" ca="1" si="28"/>
        <v>1116.0943603193123</v>
      </c>
      <c r="J104" s="253">
        <f t="shared" ca="1" si="28"/>
        <v>1460.3333114576874</v>
      </c>
      <c r="K104" s="253">
        <f t="shared" ca="1" si="28"/>
        <v>1828.1425019055914</v>
      </c>
      <c r="L104" s="253">
        <f t="shared" ca="1" si="28"/>
        <v>2215.7004944404534</v>
      </c>
      <c r="M104" s="253">
        <f t="shared" ca="1" si="28"/>
        <v>2619.9056624089326</v>
      </c>
      <c r="N104" s="253">
        <f t="shared" ca="1" si="28"/>
        <v>3037.2733752451868</v>
      </c>
      <c r="O104" s="253">
        <f t="shared" ca="1" si="28"/>
        <v>3465.3621783181097</v>
      </c>
      <c r="P104" s="253">
        <f t="shared" ca="1" si="28"/>
        <v>3901.5890523776538</v>
      </c>
      <c r="Q104" s="253">
        <f t="shared" ca="1" si="28"/>
        <v>4343.5216636735295</v>
      </c>
      <c r="R104" s="253">
        <f t="shared" ca="1" si="28"/>
        <v>4789.5373907254807</v>
      </c>
      <c r="S104" s="253">
        <f t="shared" ca="1" si="28"/>
        <v>5238.2704859501964</v>
      </c>
      <c r="T104" s="253">
        <f t="shared" ca="1" si="28"/>
        <v>5688.6694018564767</v>
      </c>
      <c r="U104" s="253">
        <f t="shared" ca="1" si="28"/>
        <v>6140.0223495959208</v>
      </c>
      <c r="V104" s="253">
        <f t="shared" ca="1" si="26"/>
        <v>6591.6562386582864</v>
      </c>
      <c r="W104" s="253">
        <f t="shared" ca="1" si="26"/>
        <v>7042.9158470602033</v>
      </c>
      <c r="X104" s="253">
        <f t="shared" ca="1" si="26"/>
        <v>7493.5795693206064</v>
      </c>
      <c r="Y104" s="250"/>
      <c r="Z104" s="24"/>
    </row>
    <row r="105" spans="1:26">
      <c r="A105" s="24"/>
      <c r="D105" s="47" t="str">
        <f t="shared" si="25"/>
        <v>Exterior Lighting: Façade - HID 150W - NR</v>
      </c>
      <c r="E105" s="253">
        <f t="shared" ca="1" si="27"/>
        <v>109.0171769250925</v>
      </c>
      <c r="F105" s="253">
        <f t="shared" ca="1" si="28"/>
        <v>293.64895529074403</v>
      </c>
      <c r="G105" s="253">
        <f t="shared" ca="1" si="26"/>
        <v>529.93082101594518</v>
      </c>
      <c r="H105" s="253">
        <f t="shared" ca="1" si="26"/>
        <v>805.86560666285686</v>
      </c>
      <c r="I105" s="253">
        <f t="shared" ca="1" si="26"/>
        <v>1116.0943603193123</v>
      </c>
      <c r="J105" s="253">
        <f t="shared" ca="1" si="26"/>
        <v>1460.3333114576874</v>
      </c>
      <c r="K105" s="253">
        <f t="shared" ca="1" si="26"/>
        <v>1828.1425019055914</v>
      </c>
      <c r="L105" s="253">
        <f t="shared" ca="1" si="26"/>
        <v>2215.7004944404534</v>
      </c>
      <c r="M105" s="253">
        <f t="shared" ca="1" si="26"/>
        <v>2619.9056624089326</v>
      </c>
      <c r="N105" s="253">
        <f t="shared" ca="1" si="26"/>
        <v>3037.2733752451868</v>
      </c>
      <c r="O105" s="253">
        <f t="shared" ca="1" si="26"/>
        <v>3465.3621783181097</v>
      </c>
      <c r="P105" s="253">
        <f t="shared" ca="1" si="26"/>
        <v>3901.5890523776538</v>
      </c>
      <c r="Q105" s="253">
        <f t="shared" ca="1" si="26"/>
        <v>4343.5216636735295</v>
      </c>
      <c r="R105" s="253">
        <f t="shared" ca="1" si="26"/>
        <v>4789.5373907254807</v>
      </c>
      <c r="S105" s="253">
        <f t="shared" ca="1" si="26"/>
        <v>5238.2704859501964</v>
      </c>
      <c r="T105" s="253">
        <f t="shared" ca="1" si="26"/>
        <v>5688.6694018564767</v>
      </c>
      <c r="U105" s="253">
        <f t="shared" ca="1" si="26"/>
        <v>6140.0223495959208</v>
      </c>
      <c r="V105" s="253">
        <f t="shared" ca="1" si="26"/>
        <v>6591.6562386582864</v>
      </c>
      <c r="W105" s="253">
        <f t="shared" ca="1" si="26"/>
        <v>7042.9158470602033</v>
      </c>
      <c r="X105" s="253">
        <f t="shared" ca="1" si="26"/>
        <v>7493.5795693206064</v>
      </c>
      <c r="Y105" s="250"/>
      <c r="Z105" s="24"/>
    </row>
    <row r="106" spans="1:26">
      <c r="A106" s="24"/>
      <c r="D106" s="47" t="str">
        <f t="shared" si="25"/>
        <v>Exterior Lighting: Walkway - INC 75W - NR</v>
      </c>
      <c r="E106" s="253">
        <f t="shared" ca="1" si="27"/>
        <v>72.678117950061676</v>
      </c>
      <c r="F106" s="253">
        <f t="shared" ca="1" si="28"/>
        <v>195.76597019382936</v>
      </c>
      <c r="G106" s="253">
        <f t="shared" ca="1" si="26"/>
        <v>353.28721401063012</v>
      </c>
      <c r="H106" s="253">
        <f t="shared" ca="1" si="26"/>
        <v>537.24373777523795</v>
      </c>
      <c r="I106" s="253">
        <f t="shared" ca="1" si="26"/>
        <v>744.06290687954152</v>
      </c>
      <c r="J106" s="253">
        <f t="shared" ca="1" si="26"/>
        <v>973.55554097179152</v>
      </c>
      <c r="K106" s="253">
        <f t="shared" ca="1" si="26"/>
        <v>1218.761667937061</v>
      </c>
      <c r="L106" s="253">
        <f t="shared" ca="1" si="26"/>
        <v>1477.1336629603024</v>
      </c>
      <c r="M106" s="253">
        <f t="shared" ca="1" si="26"/>
        <v>1746.6037749392885</v>
      </c>
      <c r="N106" s="253">
        <f t="shared" ca="1" si="26"/>
        <v>2024.8489168301246</v>
      </c>
      <c r="O106" s="253">
        <f t="shared" ca="1" si="26"/>
        <v>2310.2414522120735</v>
      </c>
      <c r="P106" s="253">
        <f t="shared" ca="1" si="26"/>
        <v>2601.0593682517697</v>
      </c>
      <c r="Q106" s="253">
        <f t="shared" ca="1" si="26"/>
        <v>2895.6811091156869</v>
      </c>
      <c r="R106" s="253">
        <f t="shared" ca="1" si="26"/>
        <v>3193.0249271503208</v>
      </c>
      <c r="S106" s="253">
        <f t="shared" ca="1" si="26"/>
        <v>3492.1803239667979</v>
      </c>
      <c r="T106" s="253">
        <f t="shared" ca="1" si="26"/>
        <v>3792.4462679043181</v>
      </c>
      <c r="U106" s="253">
        <f t="shared" ca="1" si="26"/>
        <v>4093.3482330639476</v>
      </c>
      <c r="V106" s="253">
        <f t="shared" ca="1" si="26"/>
        <v>4394.4374924388585</v>
      </c>
      <c r="W106" s="253">
        <f t="shared" ca="1" si="26"/>
        <v>4695.2772313734704</v>
      </c>
      <c r="X106" s="253">
        <f t="shared" ca="1" si="26"/>
        <v>4995.7197128804055</v>
      </c>
      <c r="Y106" s="250"/>
      <c r="Z106" s="24"/>
    </row>
    <row r="107" spans="1:26">
      <c r="A107" s="24"/>
      <c r="D107" s="47" t="str">
        <f t="shared" si="25"/>
        <v>Exterior Lighting: Façade - HID 400W - NR</v>
      </c>
      <c r="E107" s="253">
        <f t="shared" ca="1" si="27"/>
        <v>109.0171769250925</v>
      </c>
      <c r="F107" s="253">
        <f t="shared" ca="1" si="28"/>
        <v>293.64895529074403</v>
      </c>
      <c r="G107" s="253">
        <f t="shared" ca="1" si="26"/>
        <v>529.93082101594518</v>
      </c>
      <c r="H107" s="253">
        <f t="shared" ca="1" si="26"/>
        <v>805.86560666285686</v>
      </c>
      <c r="I107" s="253">
        <f t="shared" ca="1" si="26"/>
        <v>1116.0943603193123</v>
      </c>
      <c r="J107" s="253">
        <f t="shared" ca="1" si="26"/>
        <v>1460.3333114576874</v>
      </c>
      <c r="K107" s="253">
        <f t="shared" ca="1" si="26"/>
        <v>1828.1425019055914</v>
      </c>
      <c r="L107" s="253">
        <f t="shared" ca="1" si="26"/>
        <v>2215.7004944404534</v>
      </c>
      <c r="M107" s="253">
        <f t="shared" ca="1" si="26"/>
        <v>2619.9056624089326</v>
      </c>
      <c r="N107" s="253">
        <f t="shared" ca="1" si="26"/>
        <v>3037.2733752451868</v>
      </c>
      <c r="O107" s="253">
        <f t="shared" ca="1" si="26"/>
        <v>3465.3621783181097</v>
      </c>
      <c r="P107" s="253">
        <f t="shared" ca="1" si="26"/>
        <v>3901.5890523776538</v>
      </c>
      <c r="Q107" s="253">
        <f t="shared" ca="1" si="26"/>
        <v>4343.5216636735295</v>
      </c>
      <c r="R107" s="253">
        <f t="shared" ca="1" si="26"/>
        <v>4789.5373907254807</v>
      </c>
      <c r="S107" s="253">
        <f t="shared" ca="1" si="26"/>
        <v>5238.2704859501964</v>
      </c>
      <c r="T107" s="253">
        <f t="shared" ca="1" si="26"/>
        <v>5688.6694018564767</v>
      </c>
      <c r="U107" s="253">
        <f t="shared" ca="1" si="26"/>
        <v>6140.0223495959208</v>
      </c>
      <c r="V107" s="253">
        <f t="shared" ca="1" si="26"/>
        <v>6591.6562386582864</v>
      </c>
      <c r="W107" s="253">
        <f t="shared" ca="1" si="26"/>
        <v>7042.9158470602033</v>
      </c>
      <c r="X107" s="253">
        <f t="shared" ca="1" si="26"/>
        <v>7493.5795693206064</v>
      </c>
      <c r="Y107" s="250"/>
      <c r="Z107" s="24"/>
    </row>
    <row r="108" spans="1:26">
      <c r="A108" s="24"/>
      <c r="D108" s="47" t="str">
        <f t="shared" si="25"/>
        <v>Exterior Lighting: Walkway - CFL 26W - NR</v>
      </c>
      <c r="E108" s="253">
        <f t="shared" ca="1" si="27"/>
        <v>72.678117950061676</v>
      </c>
      <c r="F108" s="253">
        <f t="shared" ca="1" si="28"/>
        <v>195.76597019382936</v>
      </c>
      <c r="G108" s="253">
        <f t="shared" ca="1" si="26"/>
        <v>353.28721401063012</v>
      </c>
      <c r="H108" s="253">
        <f t="shared" ca="1" si="26"/>
        <v>537.24373777523795</v>
      </c>
      <c r="I108" s="253">
        <f t="shared" ca="1" si="26"/>
        <v>744.06290687954152</v>
      </c>
      <c r="J108" s="253">
        <f t="shared" ca="1" si="26"/>
        <v>973.55554097179152</v>
      </c>
      <c r="K108" s="253">
        <f t="shared" ca="1" si="26"/>
        <v>1218.761667937061</v>
      </c>
      <c r="L108" s="253">
        <f t="shared" ca="1" si="26"/>
        <v>1477.1336629603024</v>
      </c>
      <c r="M108" s="253">
        <f t="shared" ca="1" si="26"/>
        <v>1746.6037749392885</v>
      </c>
      <c r="N108" s="253">
        <f t="shared" ca="1" si="26"/>
        <v>2024.8489168301246</v>
      </c>
      <c r="O108" s="253">
        <f t="shared" ca="1" si="26"/>
        <v>2310.2414522120735</v>
      </c>
      <c r="P108" s="253">
        <f t="shared" ca="1" si="26"/>
        <v>2601.0593682517697</v>
      </c>
      <c r="Q108" s="253">
        <f t="shared" ca="1" si="26"/>
        <v>2895.6811091156869</v>
      </c>
      <c r="R108" s="253">
        <f t="shared" ca="1" si="26"/>
        <v>3193.0249271503208</v>
      </c>
      <c r="S108" s="253">
        <f t="shared" ca="1" si="26"/>
        <v>3492.1803239667979</v>
      </c>
      <c r="T108" s="253">
        <f t="shared" ca="1" si="26"/>
        <v>3792.4462679043181</v>
      </c>
      <c r="U108" s="253">
        <f t="shared" ca="1" si="26"/>
        <v>4093.3482330639476</v>
      </c>
      <c r="V108" s="253">
        <f t="shared" ca="1" si="26"/>
        <v>4394.4374924388585</v>
      </c>
      <c r="W108" s="253">
        <f t="shared" ca="1" si="26"/>
        <v>4695.2772313734704</v>
      </c>
      <c r="X108" s="253">
        <f t="shared" ca="1" si="26"/>
        <v>4995.7197128804055</v>
      </c>
      <c r="Y108" s="250"/>
      <c r="Z108" s="24"/>
    </row>
    <row r="109" spans="1:26">
      <c r="A109" s="24"/>
      <c r="D109" s="47" t="str">
        <f t="shared" si="25"/>
        <v>Exterior Lighting: Parking Lot - MH 400W - NR</v>
      </c>
      <c r="E109" s="253">
        <f t="shared" ca="1" si="27"/>
        <v>82.898478286789071</v>
      </c>
      <c r="F109" s="253">
        <f t="shared" ca="1" si="28"/>
        <v>223.2955597523366</v>
      </c>
      <c r="G109" s="253">
        <f t="shared" ca="1" si="26"/>
        <v>402.96822848087498</v>
      </c>
      <c r="H109" s="253">
        <f t="shared" ca="1" si="26"/>
        <v>612.79363839988082</v>
      </c>
      <c r="I109" s="253">
        <f t="shared" ca="1" si="26"/>
        <v>848.69675315947711</v>
      </c>
      <c r="J109" s="253">
        <f t="shared" ca="1" si="26"/>
        <v>1110.4617889209499</v>
      </c>
      <c r="K109" s="253">
        <f t="shared" ca="1" si="26"/>
        <v>1390.1500274907103</v>
      </c>
      <c r="L109" s="253">
        <f t="shared" ca="1" si="26"/>
        <v>1684.8555843140948</v>
      </c>
      <c r="M109" s="253">
        <f t="shared" ca="1" si="26"/>
        <v>1992.219930790126</v>
      </c>
      <c r="N109" s="253">
        <f t="shared" ca="1" si="26"/>
        <v>2309.5932957593609</v>
      </c>
      <c r="O109" s="253">
        <f t="shared" ca="1" si="26"/>
        <v>2635.1191564293963</v>
      </c>
      <c r="P109" s="253">
        <f t="shared" ca="1" si="26"/>
        <v>2966.8333419121745</v>
      </c>
      <c r="Q109" s="253">
        <f t="shared" ca="1" si="26"/>
        <v>3302.8862650850801</v>
      </c>
      <c r="R109" s="253">
        <f t="shared" ca="1" si="26"/>
        <v>3642.0440575308344</v>
      </c>
      <c r="S109" s="253">
        <f t="shared" ca="1" si="26"/>
        <v>3983.2681820246289</v>
      </c>
      <c r="T109" s="253">
        <f t="shared" ca="1" si="26"/>
        <v>4325.759024328363</v>
      </c>
      <c r="U109" s="253">
        <f t="shared" ca="1" si="26"/>
        <v>4668.9753283385653</v>
      </c>
      <c r="V109" s="253">
        <f t="shared" ca="1" si="26"/>
        <v>5012.4052648130728</v>
      </c>
      <c r="W109" s="253">
        <f t="shared" ca="1" si="26"/>
        <v>5355.5505920353644</v>
      </c>
      <c r="X109" s="253">
        <f t="shared" ca="1" si="26"/>
        <v>5698.2427975042128</v>
      </c>
      <c r="Y109" s="250"/>
      <c r="Z109" s="24"/>
    </row>
    <row r="110" spans="1:26">
      <c r="A110" s="24"/>
      <c r="D110" s="47" t="str">
        <f t="shared" si="25"/>
        <v>Exterior Lighting: Parking Lot - MH 1000W - NR</v>
      </c>
      <c r="E110" s="253">
        <f t="shared" ca="1" si="27"/>
        <v>462.68918113556697</v>
      </c>
      <c r="F110" s="253">
        <f t="shared" ca="1" si="28"/>
        <v>1246.3007986176926</v>
      </c>
      <c r="G110" s="253">
        <f t="shared" ca="1" si="26"/>
        <v>2249.1249961723252</v>
      </c>
      <c r="H110" s="253">
        <f t="shared" ca="1" si="26"/>
        <v>3420.2435631621247</v>
      </c>
      <c r="I110" s="253">
        <f t="shared" ca="1" si="26"/>
        <v>4736.9121106575458</v>
      </c>
      <c r="J110" s="253">
        <f t="shared" ca="1" si="26"/>
        <v>6197.9262637448355</v>
      </c>
      <c r="K110" s="253">
        <f t="shared" ca="1" si="26"/>
        <v>7758.9768976225678</v>
      </c>
      <c r="L110" s="253">
        <f t="shared" ca="1" si="26"/>
        <v>9403.8451217530874</v>
      </c>
      <c r="M110" s="253">
        <f t="shared" ca="1" si="26"/>
        <v>11119.367055572795</v>
      </c>
      <c r="N110" s="253">
        <f t="shared" ca="1" si="26"/>
        <v>12890.753278656897</v>
      </c>
      <c r="O110" s="253">
        <f t="shared" ca="1" si="26"/>
        <v>14707.641803326862</v>
      </c>
      <c r="P110" s="253">
        <f t="shared" ca="1" si="26"/>
        <v>16559.069815323764</v>
      </c>
      <c r="Q110" s="253">
        <f t="shared" ca="1" si="26"/>
        <v>18434.714037684167</v>
      </c>
      <c r="R110" s="253">
        <f t="shared" ca="1" si="26"/>
        <v>20327.687762962796</v>
      </c>
      <c r="S110" s="253">
        <f t="shared" ca="1" si="26"/>
        <v>22232.19450432351</v>
      </c>
      <c r="T110" s="253">
        <f t="shared" ca="1" si="26"/>
        <v>24143.77129857691</v>
      </c>
      <c r="U110" s="253">
        <f t="shared" ca="1" si="26"/>
        <v>26059.397181424552</v>
      </c>
      <c r="V110" s="253">
        <f t="shared" ca="1" si="26"/>
        <v>27976.215431514825</v>
      </c>
      <c r="W110" s="253">
        <f t="shared" ca="1" si="26"/>
        <v>29891.445164848545</v>
      </c>
      <c r="X110" s="253">
        <f t="shared" ca="1" si="26"/>
        <v>31804.145846535142</v>
      </c>
      <c r="Y110" s="250"/>
      <c r="Z110" s="24"/>
    </row>
    <row r="111" spans="1:26">
      <c r="A111" s="24"/>
      <c r="C111" s="24"/>
      <c r="D111" s="123"/>
      <c r="E111" s="24"/>
      <c r="F111" s="24"/>
      <c r="G111" s="24"/>
      <c r="H111" s="24"/>
      <c r="I111" s="24"/>
      <c r="J111" s="24"/>
      <c r="K111" s="24"/>
      <c r="L111" s="24"/>
      <c r="M111" s="24"/>
      <c r="N111" s="24"/>
      <c r="O111" s="24"/>
      <c r="P111" s="24"/>
      <c r="Q111" s="24"/>
      <c r="R111" s="24"/>
      <c r="S111" s="24"/>
      <c r="T111" s="24"/>
      <c r="U111" s="24"/>
      <c r="V111" s="24"/>
      <c r="W111" s="24"/>
      <c r="X111" s="24"/>
      <c r="Y111" s="250"/>
      <c r="Z111" s="24"/>
    </row>
    <row r="112" spans="1:26">
      <c r="A112" s="24"/>
      <c r="B112" s="24"/>
      <c r="C112" s="24"/>
      <c r="D112" s="123" t="s">
        <v>923</v>
      </c>
      <c r="E112" s="253">
        <f ca="1">SUM(E103:E107)</f>
        <v>482.62812701212823</v>
      </c>
      <c r="F112" s="253">
        <f t="shared" ref="F112:X112" ca="1" si="29">SUM(F103:F107)</f>
        <v>1300.008395818398</v>
      </c>
      <c r="G112" s="253">
        <f t="shared" ca="1" si="29"/>
        <v>2346.0479055393407</v>
      </c>
      <c r="H112" s="253">
        <f t="shared" ca="1" si="29"/>
        <v>3567.6341961636895</v>
      </c>
      <c r="I112" s="253">
        <f t="shared" ca="1" si="29"/>
        <v>4941.0427409969561</v>
      </c>
      <c r="J112" s="253">
        <f t="shared" ca="1" si="29"/>
        <v>6465.0172642658035</v>
      </c>
      <c r="K112" s="253">
        <f t="shared" ca="1" si="29"/>
        <v>8093.3392011445458</v>
      </c>
      <c r="L112" s="253">
        <f t="shared" ca="1" si="29"/>
        <v>9809.0907305957589</v>
      </c>
      <c r="M112" s="253">
        <f t="shared" ca="1" si="29"/>
        <v>11598.540692956212</v>
      </c>
      <c r="N112" s="253">
        <f t="shared" ca="1" si="29"/>
        <v>13446.262338325043</v>
      </c>
      <c r="O112" s="253">
        <f t="shared" ca="1" si="29"/>
        <v>15341.447143595798</v>
      </c>
      <c r="P112" s="253">
        <f t="shared" ca="1" si="29"/>
        <v>17272.659867296905</v>
      </c>
      <c r="Q112" s="253">
        <f t="shared" ca="1" si="29"/>
        <v>19229.132365221354</v>
      </c>
      <c r="R112" s="253">
        <f t="shared" ca="1" si="29"/>
        <v>21203.681156857594</v>
      </c>
      <c r="S112" s="253">
        <f t="shared" ca="1" si="29"/>
        <v>23190.259963842018</v>
      </c>
      <c r="T112" s="253">
        <f t="shared" ca="1" si="29"/>
        <v>25184.213497802113</v>
      </c>
      <c r="U112" s="253">
        <f t="shared" ca="1" si="29"/>
        <v>27182.390610190279</v>
      </c>
      <c r="V112" s="253">
        <f t="shared" ca="1" si="29"/>
        <v>29181.811473226786</v>
      </c>
      <c r="W112" s="253">
        <f t="shared" ca="1" si="29"/>
        <v>31179.575364589444</v>
      </c>
      <c r="X112" s="253">
        <f t="shared" ca="1" si="29"/>
        <v>33174.701218346439</v>
      </c>
      <c r="Y112" s="250"/>
      <c r="Z112" s="24"/>
    </row>
    <row r="113" spans="1:26">
      <c r="A113" s="24"/>
      <c r="B113" s="24"/>
      <c r="C113" s="24"/>
      <c r="D113" s="123"/>
      <c r="E113" s="253"/>
      <c r="F113" s="253"/>
      <c r="G113" s="253"/>
      <c r="H113" s="253"/>
      <c r="I113" s="253"/>
      <c r="J113" s="253"/>
      <c r="K113" s="253"/>
      <c r="L113" s="253"/>
      <c r="M113" s="253"/>
      <c r="N113" s="253"/>
      <c r="O113" s="253"/>
      <c r="P113" s="253"/>
      <c r="Q113" s="253"/>
      <c r="R113" s="253"/>
      <c r="S113" s="253"/>
      <c r="T113" s="253"/>
      <c r="U113" s="253"/>
      <c r="V113" s="253"/>
      <c r="W113" s="253"/>
      <c r="X113" s="253"/>
      <c r="Y113" s="250"/>
      <c r="Z113" s="24"/>
    </row>
    <row r="114" spans="1:26">
      <c r="A114" s="24"/>
      <c r="B114" s="24"/>
      <c r="C114" s="24"/>
      <c r="D114" s="24"/>
      <c r="E114" s="24"/>
      <c r="F114" s="24"/>
      <c r="G114" s="24"/>
      <c r="H114" s="24"/>
      <c r="I114" s="24"/>
      <c r="J114" s="24"/>
      <c r="K114" s="24"/>
      <c r="L114" s="24"/>
      <c r="M114" s="24"/>
      <c r="N114" s="24"/>
      <c r="O114" s="24"/>
      <c r="P114" s="24"/>
      <c r="Q114" s="24"/>
      <c r="R114" s="24"/>
      <c r="S114" s="24"/>
      <c r="T114" s="24"/>
      <c r="U114" s="24"/>
      <c r="V114" s="24"/>
      <c r="W114" s="24"/>
      <c r="X114" s="24"/>
      <c r="Y114" s="24"/>
      <c r="Z114" s="24"/>
    </row>
    <row r="115" spans="1:26" ht="15">
      <c r="A115" s="279" t="s">
        <v>703</v>
      </c>
      <c r="B115" s="24"/>
      <c r="C115" s="280"/>
      <c r="D115" s="262" t="s">
        <v>303</v>
      </c>
      <c r="E115" s="344" t="s">
        <v>872</v>
      </c>
      <c r="F115" s="24"/>
      <c r="G115" s="24"/>
      <c r="H115" s="24"/>
      <c r="I115" s="24"/>
      <c r="J115" s="24"/>
      <c r="K115" s="24"/>
      <c r="L115" s="24"/>
      <c r="M115" s="24"/>
      <c r="N115" s="24"/>
      <c r="O115" s="24"/>
      <c r="P115" s="24"/>
      <c r="Q115" s="24"/>
      <c r="R115" s="24"/>
      <c r="S115" s="24"/>
      <c r="T115" s="24"/>
      <c r="U115" s="24"/>
      <c r="V115" s="24"/>
      <c r="W115" s="24"/>
      <c r="X115" s="24"/>
      <c r="Y115" s="24"/>
      <c r="Z115" s="24"/>
    </row>
    <row r="116" spans="1:26" ht="15">
      <c r="A116" s="259" t="s">
        <v>925</v>
      </c>
      <c r="B116" s="259" t="s">
        <v>397</v>
      </c>
      <c r="C116" s="259"/>
      <c r="D116" s="259">
        <v>1000</v>
      </c>
      <c r="E116" s="263">
        <f t="shared" ref="E116:X116" si="30">E11</f>
        <v>2016</v>
      </c>
      <c r="F116" s="263">
        <f t="shared" si="30"/>
        <v>2017</v>
      </c>
      <c r="G116" s="263">
        <f t="shared" si="30"/>
        <v>2018</v>
      </c>
      <c r="H116" s="263">
        <f t="shared" si="30"/>
        <v>2019</v>
      </c>
      <c r="I116" s="263">
        <f t="shared" si="30"/>
        <v>2020</v>
      </c>
      <c r="J116" s="263">
        <f t="shared" si="30"/>
        <v>2021</v>
      </c>
      <c r="K116" s="263">
        <f t="shared" si="30"/>
        <v>2022</v>
      </c>
      <c r="L116" s="263">
        <f t="shared" si="30"/>
        <v>2023</v>
      </c>
      <c r="M116" s="263">
        <f t="shared" si="30"/>
        <v>2024</v>
      </c>
      <c r="N116" s="263">
        <f t="shared" si="30"/>
        <v>2025</v>
      </c>
      <c r="O116" s="263">
        <f t="shared" si="30"/>
        <v>2026</v>
      </c>
      <c r="P116" s="263">
        <f t="shared" si="30"/>
        <v>2027</v>
      </c>
      <c r="Q116" s="263">
        <f t="shared" si="30"/>
        <v>2028</v>
      </c>
      <c r="R116" s="263">
        <f t="shared" si="30"/>
        <v>2029</v>
      </c>
      <c r="S116" s="263">
        <f t="shared" si="30"/>
        <v>2030</v>
      </c>
      <c r="T116" s="263">
        <f t="shared" si="30"/>
        <v>2031</v>
      </c>
      <c r="U116" s="263">
        <f t="shared" si="30"/>
        <v>2032</v>
      </c>
      <c r="V116" s="263">
        <f t="shared" si="30"/>
        <v>2033</v>
      </c>
      <c r="W116" s="263">
        <f t="shared" si="30"/>
        <v>2034</v>
      </c>
      <c r="X116" s="263">
        <f t="shared" si="30"/>
        <v>2035</v>
      </c>
      <c r="Y116" s="248" t="s">
        <v>695</v>
      </c>
    </row>
    <row r="117" spans="1:26" ht="15">
      <c r="A117" s="259" t="s">
        <v>389</v>
      </c>
      <c r="B117" s="259" t="s">
        <v>705</v>
      </c>
      <c r="C117" s="259" t="s">
        <v>706</v>
      </c>
      <c r="D117" s="259" t="s">
        <v>707</v>
      </c>
      <c r="E117" s="265" t="str">
        <f>CONCATENATE("aMW_",E$11)</f>
        <v>aMW_2016</v>
      </c>
      <c r="F117" s="265" t="str">
        <f t="shared" ref="F117:X117" si="31">CONCATENATE("aMW_",F$11)</f>
        <v>aMW_2017</v>
      </c>
      <c r="G117" s="265" t="str">
        <f t="shared" si="31"/>
        <v>aMW_2018</v>
      </c>
      <c r="H117" s="265" t="str">
        <f t="shared" si="31"/>
        <v>aMW_2019</v>
      </c>
      <c r="I117" s="265" t="str">
        <f t="shared" si="31"/>
        <v>aMW_2020</v>
      </c>
      <c r="J117" s="265" t="str">
        <f t="shared" si="31"/>
        <v>aMW_2021</v>
      </c>
      <c r="K117" s="265" t="str">
        <f t="shared" si="31"/>
        <v>aMW_2022</v>
      </c>
      <c r="L117" s="265" t="str">
        <f t="shared" si="31"/>
        <v>aMW_2023</v>
      </c>
      <c r="M117" s="265" t="str">
        <f t="shared" si="31"/>
        <v>aMW_2024</v>
      </c>
      <c r="N117" s="265" t="str">
        <f t="shared" si="31"/>
        <v>aMW_2025</v>
      </c>
      <c r="O117" s="265" t="str">
        <f t="shared" si="31"/>
        <v>aMW_2026</v>
      </c>
      <c r="P117" s="265" t="str">
        <f t="shared" si="31"/>
        <v>aMW_2027</v>
      </c>
      <c r="Q117" s="265" t="str">
        <f t="shared" si="31"/>
        <v>aMW_2028</v>
      </c>
      <c r="R117" s="265" t="str">
        <f t="shared" si="31"/>
        <v>aMW_2029</v>
      </c>
      <c r="S117" s="265" t="str">
        <f t="shared" si="31"/>
        <v>aMW_2030</v>
      </c>
      <c r="T117" s="265" t="str">
        <f t="shared" si="31"/>
        <v>aMW_2031</v>
      </c>
      <c r="U117" s="265" t="str">
        <f t="shared" si="31"/>
        <v>aMW_2032</v>
      </c>
      <c r="V117" s="265" t="str">
        <f t="shared" si="31"/>
        <v>aMW_2033</v>
      </c>
      <c r="W117" s="265" t="str">
        <f t="shared" si="31"/>
        <v>aMW_2034</v>
      </c>
      <c r="X117" s="265" t="str">
        <f t="shared" si="31"/>
        <v>aMW_2035</v>
      </c>
      <c r="Y117" s="248" t="s">
        <v>695</v>
      </c>
    </row>
    <row r="118" spans="1:26">
      <c r="A118" s="267">
        <f>VLOOKUP(D118,M_Input_Out!$A$1:$AM$3999,3,FALSE)</f>
        <v>139.58339165168746</v>
      </c>
      <c r="B118" s="268">
        <f>VLOOKUP(D118,M_Input_Out!$A$1:$AM$3999,11,FALSE)</f>
        <v>27.876513737276195</v>
      </c>
      <c r="C118" t="s">
        <v>900</v>
      </c>
      <c r="D118" s="24" t="str">
        <f t="shared" ref="D118:D125" si="32">D36</f>
        <v>Exterior Lighting: Parking Lot - HPS 250W - NR</v>
      </c>
      <c r="E118" s="269">
        <f ca="1">E90*$D$116*$A118/8760/1000</f>
        <v>1.320919036761848</v>
      </c>
      <c r="F118" s="269">
        <f t="shared" ref="F118:X125" ca="1" si="33">F90*$D$116*$A118/8760/1000</f>
        <v>2.2371119644930815</v>
      </c>
      <c r="G118" s="269">
        <f t="shared" ca="1" si="33"/>
        <v>2.8629361287944604</v>
      </c>
      <c r="H118" s="269">
        <f t="shared" ca="1" si="33"/>
        <v>3.3433952478539335</v>
      </c>
      <c r="I118" s="269">
        <f t="shared" ca="1" si="33"/>
        <v>3.7589220159065864</v>
      </c>
      <c r="J118" s="269">
        <f t="shared" ca="1" si="33"/>
        <v>4.1710104460515538</v>
      </c>
      <c r="K118" s="269">
        <f t="shared" ca="1" si="33"/>
        <v>4.4566019343211716</v>
      </c>
      <c r="L118" s="269">
        <f t="shared" ca="1" si="33"/>
        <v>4.6958905433798099</v>
      </c>
      <c r="M118" s="269">
        <f t="shared" ca="1" si="33"/>
        <v>4.8975979399462108</v>
      </c>
      <c r="N118" s="269">
        <f t="shared" ca="1" si="33"/>
        <v>5.0570834135062395</v>
      </c>
      <c r="O118" s="269">
        <f t="shared" ca="1" si="33"/>
        <v>5.1869867240477365</v>
      </c>
      <c r="P118" s="269">
        <f t="shared" ca="1" si="33"/>
        <v>5.285592587746935</v>
      </c>
      <c r="Q118" s="269">
        <f t="shared" ca="1" si="33"/>
        <v>5.3547268026185062</v>
      </c>
      <c r="R118" s="269">
        <f t="shared" ca="1" si="33"/>
        <v>5.404200339575052</v>
      </c>
      <c r="S118" s="269">
        <f t="shared" ca="1" si="33"/>
        <v>5.4371256404362409</v>
      </c>
      <c r="T118" s="269">
        <f t="shared" ca="1" si="33"/>
        <v>5.4573097463925189</v>
      </c>
      <c r="U118" s="269">
        <f t="shared" ca="1" si="33"/>
        <v>5.4688693817238274</v>
      </c>
      <c r="V118" s="269">
        <f t="shared" ca="1" si="33"/>
        <v>5.4722734392506069</v>
      </c>
      <c r="W118" s="269">
        <f t="shared" ca="1" si="33"/>
        <v>5.4677384250131889</v>
      </c>
      <c r="X118" s="269">
        <f t="shared" ca="1" si="33"/>
        <v>5.4605183027327433</v>
      </c>
      <c r="Y118" s="252">
        <f ca="1">($Z$46+$Z$57)*$A118*$D$116/8760/1000</f>
        <v>45.545076575389174</v>
      </c>
    </row>
    <row r="119" spans="1:26">
      <c r="A119" s="267">
        <f>VLOOKUP(D119,M_Input_Out!$A$1:$AM$3999,3,FALSE)</f>
        <v>70.745011721527277</v>
      </c>
      <c r="B119" s="268">
        <f>VLOOKUP(D119,M_Input_Out!$A$1:$AM$3999,11,FALSE)</f>
        <v>7.5069814065752967</v>
      </c>
      <c r="C119" t="s">
        <v>831</v>
      </c>
      <c r="D119" s="24" t="str">
        <f t="shared" si="32"/>
        <v>Exterior Lighting: Walkway - HID 150W - NR</v>
      </c>
      <c r="E119" s="269">
        <f t="shared" ref="E119:T125" ca="1" si="34">E91*$D$116*$A119/8760/1000</f>
        <v>0.88041340860884498</v>
      </c>
      <c r="F119" s="269">
        <f t="shared" ca="1" si="34"/>
        <v>1.4910704708498221</v>
      </c>
      <c r="G119" s="269">
        <f t="shared" ca="1" si="34"/>
        <v>1.9081921644193707</v>
      </c>
      <c r="H119" s="269">
        <f t="shared" ca="1" si="34"/>
        <v>2.228425758557977</v>
      </c>
      <c r="I119" s="269">
        <f t="shared" ca="1" si="34"/>
        <v>2.5053809148151518</v>
      </c>
      <c r="J119" s="269">
        <f t="shared" ca="1" si="34"/>
        <v>2.7800443645308901</v>
      </c>
      <c r="K119" s="269">
        <f t="shared" ca="1" si="34"/>
        <v>2.9703956038267623</v>
      </c>
      <c r="L119" s="269">
        <f t="shared" ca="1" si="34"/>
        <v>3.129885242539999</v>
      </c>
      <c r="M119" s="269">
        <f t="shared" ca="1" si="34"/>
        <v>3.2643264093415483</v>
      </c>
      <c r="N119" s="269">
        <f t="shared" ca="1" si="34"/>
        <v>3.3706259973502086</v>
      </c>
      <c r="O119" s="269">
        <f t="shared" ca="1" si="34"/>
        <v>3.4572086063069096</v>
      </c>
      <c r="P119" s="269">
        <f t="shared" ca="1" si="34"/>
        <v>3.5229309724415132</v>
      </c>
      <c r="Q119" s="269">
        <f t="shared" ca="1" si="34"/>
        <v>3.5690100189785272</v>
      </c>
      <c r="R119" s="269">
        <f t="shared" ca="1" si="34"/>
        <v>3.6019849130451793</v>
      </c>
      <c r="S119" s="269">
        <f t="shared" ca="1" si="34"/>
        <v>3.6239301462910674</v>
      </c>
      <c r="T119" s="269">
        <f t="shared" ca="1" si="34"/>
        <v>3.6373831718211185</v>
      </c>
      <c r="U119" s="269">
        <f t="shared" ca="1" si="33"/>
        <v>3.6450878514124283</v>
      </c>
      <c r="V119" s="269">
        <f t="shared" ca="1" si="33"/>
        <v>3.6473567095383586</v>
      </c>
      <c r="W119" s="269">
        <f t="shared" ca="1" si="33"/>
        <v>3.644334050895599</v>
      </c>
      <c r="X119" s="269">
        <f t="shared" ca="1" si="33"/>
        <v>3.6395217253172776</v>
      </c>
      <c r="Y119" s="252">
        <f t="shared" ref="Y119:Y124" ca="1" si="35">($Z$46+$Z$57)*$A119*$D$116/8760/1000</f>
        <v>23.083598543185364</v>
      </c>
    </row>
    <row r="120" spans="1:26">
      <c r="A120" s="267">
        <f>VLOOKUP(D120,M_Input_Out!$A$1:$AM$3999,3,FALSE)</f>
        <v>71.761669722483219</v>
      </c>
      <c r="B120" s="268">
        <f>VLOOKUP(D120,M_Input_Out!$A$1:$AM$3999,11,FALSE)</f>
        <v>9.22053043459732</v>
      </c>
      <c r="C120" t="s">
        <v>831</v>
      </c>
      <c r="D120" s="24" t="str">
        <f t="shared" si="32"/>
        <v>Exterior Lighting: Façade - HID 150W - NR</v>
      </c>
      <c r="E120" s="269">
        <f t="shared" ca="1" si="34"/>
        <v>0.89306559869589119</v>
      </c>
      <c r="F120" s="269">
        <f t="shared" ca="1" si="33"/>
        <v>1.5124982533505258</v>
      </c>
      <c r="G120" s="269">
        <f t="shared" ca="1" si="33"/>
        <v>1.9356142933315079</v>
      </c>
      <c r="H120" s="269">
        <f t="shared" ca="1" si="33"/>
        <v>2.2604498804266981</v>
      </c>
      <c r="I120" s="269">
        <f t="shared" ca="1" si="33"/>
        <v>2.5413850865653145</v>
      </c>
      <c r="J120" s="269">
        <f t="shared" ca="1" si="33"/>
        <v>2.8199956526490992</v>
      </c>
      <c r="K120" s="269">
        <f t="shared" ca="1" si="33"/>
        <v>3.0130823796594099</v>
      </c>
      <c r="L120" s="269">
        <f t="shared" ca="1" si="33"/>
        <v>3.1748640021227601</v>
      </c>
      <c r="M120" s="269">
        <f t="shared" ca="1" si="33"/>
        <v>3.3112371876569471</v>
      </c>
      <c r="N120" s="269">
        <f t="shared" ca="1" si="33"/>
        <v>3.4190643791533666</v>
      </c>
      <c r="O120" s="269">
        <f t="shared" ca="1" si="33"/>
        <v>3.5068912440653275</v>
      </c>
      <c r="P120" s="269">
        <f t="shared" ca="1" si="33"/>
        <v>3.5735580890790288</v>
      </c>
      <c r="Q120" s="269">
        <f t="shared" ca="1" si="33"/>
        <v>3.6202993255033333</v>
      </c>
      <c r="R120" s="269">
        <f t="shared" ca="1" si="33"/>
        <v>3.6537480931204702</v>
      </c>
      <c r="S120" s="269">
        <f t="shared" ca="1" si="33"/>
        <v>3.6760086955552147</v>
      </c>
      <c r="T120" s="269">
        <f t="shared" ca="1" si="33"/>
        <v>3.6896550509852739</v>
      </c>
      <c r="U120" s="269">
        <f t="shared" ca="1" si="33"/>
        <v>3.6974704525053914</v>
      </c>
      <c r="V120" s="269">
        <f t="shared" ca="1" si="33"/>
        <v>3.6997719157961328</v>
      </c>
      <c r="W120" s="269">
        <f t="shared" ca="1" si="33"/>
        <v>3.6967058193191211</v>
      </c>
      <c r="X120" s="269">
        <f t="shared" ca="1" si="33"/>
        <v>3.6918243370726009</v>
      </c>
      <c r="Y120" s="252">
        <f t="shared" ca="1" si="35"/>
        <v>23.415326881038517</v>
      </c>
    </row>
    <row r="121" spans="1:26">
      <c r="A121" s="267">
        <f>VLOOKUP(D121,M_Input_Out!$A$1:$AM$3999,3,FALSE)</f>
        <v>1.8393233905827586</v>
      </c>
      <c r="B121" s="268">
        <f>VLOOKUP(D121,M_Input_Out!$A$1:$AM$3999,11,FALSE)</f>
        <v>-127.85722269419684</v>
      </c>
      <c r="C121" t="s">
        <v>831</v>
      </c>
      <c r="D121" s="24" t="str">
        <f t="shared" si="32"/>
        <v>Exterior Lighting: Walkway - INC 75W - NR</v>
      </c>
      <c r="E121" s="269">
        <f t="shared" ca="1" si="34"/>
        <v>1.5260109854917932E-2</v>
      </c>
      <c r="F121" s="269">
        <f t="shared" ca="1" si="33"/>
        <v>2.5844562297780409E-2</v>
      </c>
      <c r="G121" s="269">
        <f t="shared" ca="1" si="33"/>
        <v>3.3074487244969343E-2</v>
      </c>
      <c r="H121" s="269">
        <f t="shared" ca="1" si="33"/>
        <v>3.8625061302572643E-2</v>
      </c>
      <c r="I121" s="269">
        <f t="shared" ca="1" si="33"/>
        <v>4.3425494903474492E-2</v>
      </c>
      <c r="J121" s="269">
        <f t="shared" ca="1" si="33"/>
        <v>4.8186206604146777E-2</v>
      </c>
      <c r="K121" s="269">
        <f t="shared" ca="1" si="33"/>
        <v>5.1485543931669611E-2</v>
      </c>
      <c r="L121" s="269">
        <f t="shared" ca="1" si="33"/>
        <v>5.4249960492897244E-2</v>
      </c>
      <c r="M121" s="269">
        <f t="shared" ca="1" si="33"/>
        <v>5.6580214614829268E-2</v>
      </c>
      <c r="N121" s="269">
        <f t="shared" ca="1" si="33"/>
        <v>5.8422693812309745E-2</v>
      </c>
      <c r="O121" s="269">
        <f t="shared" ca="1" si="33"/>
        <v>5.9923420756362561E-2</v>
      </c>
      <c r="P121" s="269">
        <f t="shared" ca="1" si="33"/>
        <v>6.106257938040479E-2</v>
      </c>
      <c r="Q121" s="269">
        <f t="shared" ca="1" si="33"/>
        <v>6.1861262482330516E-2</v>
      </c>
      <c r="R121" s="269">
        <f t="shared" ca="1" si="33"/>
        <v>6.2432812734735811E-2</v>
      </c>
      <c r="S121" s="269">
        <f t="shared" ca="1" si="33"/>
        <v>6.2813187075754992E-2</v>
      </c>
      <c r="T121" s="269">
        <f t="shared" ca="1" si="33"/>
        <v>6.3046366904074488E-2</v>
      </c>
      <c r="U121" s="269">
        <f t="shared" ca="1" si="33"/>
        <v>6.3179911277445766E-2</v>
      </c>
      <c r="V121" s="269">
        <f t="shared" ca="1" si="33"/>
        <v>6.321923714857447E-2</v>
      </c>
      <c r="W121" s="269">
        <f t="shared" ca="1" si="33"/>
        <v>6.3166845735073238E-2</v>
      </c>
      <c r="X121" s="269">
        <f t="shared" ca="1" si="33"/>
        <v>6.3083434219227671E-2</v>
      </c>
      <c r="Y121" s="252">
        <f t="shared" ca="1" si="35"/>
        <v>0.6001582543576448</v>
      </c>
    </row>
    <row r="122" spans="1:26">
      <c r="A122" s="267">
        <f>VLOOKUP(D122,M_Input_Out!$A$1:$AM$3999,3,FALSE)</f>
        <v>30.963239695039977</v>
      </c>
      <c r="B122" s="268">
        <f>VLOOKUP(D122,M_Input_Out!$A$1:$AM$3999,11,FALSE)</f>
        <v>2.7380662328742003</v>
      </c>
      <c r="C122" t="s">
        <v>831</v>
      </c>
      <c r="D122" s="24" t="str">
        <f t="shared" si="32"/>
        <v>Exterior Lighting: Façade - HID 400W - NR</v>
      </c>
      <c r="E122" s="269">
        <f t="shared" ca="1" si="34"/>
        <v>0.38533390182742239</v>
      </c>
      <c r="F122" s="269">
        <f t="shared" ca="1" si="33"/>
        <v>0.65260251242661693</v>
      </c>
      <c r="G122" s="269">
        <f t="shared" ca="1" si="33"/>
        <v>0.83516575845212937</v>
      </c>
      <c r="H122" s="269">
        <f t="shared" ca="1" si="33"/>
        <v>0.97532361965579939</v>
      </c>
      <c r="I122" s="269">
        <f t="shared" ca="1" si="33"/>
        <v>1.0965396415249242</v>
      </c>
      <c r="J122" s="269">
        <f t="shared" ca="1" si="33"/>
        <v>1.2167526434322671</v>
      </c>
      <c r="K122" s="269">
        <f t="shared" ca="1" si="33"/>
        <v>1.3000643979311719</v>
      </c>
      <c r="L122" s="269">
        <f t="shared" ca="1" si="33"/>
        <v>1.3698688377380646</v>
      </c>
      <c r="M122" s="269">
        <f t="shared" ca="1" si="33"/>
        <v>1.4287102170983923</v>
      </c>
      <c r="N122" s="269">
        <f t="shared" ca="1" si="33"/>
        <v>1.4752347641004053</v>
      </c>
      <c r="O122" s="269">
        <f t="shared" ca="1" si="33"/>
        <v>1.5131297055148041</v>
      </c>
      <c r="P122" s="269">
        <f t="shared" ca="1" si="33"/>
        <v>1.5418946647173155</v>
      </c>
      <c r="Q122" s="269">
        <f t="shared" ca="1" si="33"/>
        <v>1.5620622571471618</v>
      </c>
      <c r="R122" s="269">
        <f t="shared" ca="1" si="33"/>
        <v>1.5764945050761505</v>
      </c>
      <c r="S122" s="269">
        <f t="shared" ca="1" si="33"/>
        <v>1.5860993591940733</v>
      </c>
      <c r="T122" s="269">
        <f t="shared" ca="1" si="33"/>
        <v>1.5919873963004931</v>
      </c>
      <c r="U122" s="269">
        <f t="shared" ca="1" si="33"/>
        <v>1.5953595328674961</v>
      </c>
      <c r="V122" s="269">
        <f t="shared" ca="1" si="33"/>
        <v>1.5963525526759279</v>
      </c>
      <c r="W122" s="269">
        <f t="shared" ca="1" si="33"/>
        <v>1.5950296141139773</v>
      </c>
      <c r="X122" s="269">
        <f t="shared" ca="1" si="33"/>
        <v>1.5929233851835383</v>
      </c>
      <c r="Y122" s="252">
        <f t="shared" ca="1" si="35"/>
        <v>10.103086808864463</v>
      </c>
    </row>
    <row r="123" spans="1:26">
      <c r="A123" s="267">
        <f>VLOOKUP(D123,M_Input_Out!$A$1:$AM$3999,3,FALSE)</f>
        <v>2.4778634129914572</v>
      </c>
      <c r="B123" s="268">
        <f>VLOOKUP(D123,M_Input_Out!$A$1:$AM$3999,11,FALSE)</f>
        <v>-40.758354707123942</v>
      </c>
      <c r="C123" t="s">
        <v>831</v>
      </c>
      <c r="D123" s="24" t="str">
        <f t="shared" si="32"/>
        <v>Exterior Lighting: Walkway - CFL 26W - NR</v>
      </c>
      <c r="E123" s="269">
        <f t="shared" ca="1" si="34"/>
        <v>2.0557813857709533E-2</v>
      </c>
      <c r="F123" s="269">
        <f t="shared" ca="1" si="33"/>
        <v>3.481676776923863E-2</v>
      </c>
      <c r="G123" s="269">
        <f t="shared" ca="1" si="33"/>
        <v>4.455663548202711E-2</v>
      </c>
      <c r="H123" s="269">
        <f t="shared" ca="1" si="33"/>
        <v>5.2034148380983483E-2</v>
      </c>
      <c r="I123" s="269">
        <f t="shared" ca="1" si="33"/>
        <v>5.8501101852608109E-2</v>
      </c>
      <c r="J123" s="269">
        <f t="shared" ca="1" si="33"/>
        <v>6.4914543558016249E-2</v>
      </c>
      <c r="K123" s="269">
        <f t="shared" ca="1" si="33"/>
        <v>6.9359279754404007E-2</v>
      </c>
      <c r="L123" s="269">
        <f t="shared" ca="1" si="33"/>
        <v>7.3083391941746637E-2</v>
      </c>
      <c r="M123" s="269">
        <f t="shared" ca="1" si="33"/>
        <v>7.6222617736009218E-2</v>
      </c>
      <c r="N123" s="269">
        <f t="shared" ca="1" si="33"/>
        <v>7.8704732526703125E-2</v>
      </c>
      <c r="O123" s="269">
        <f t="shared" ca="1" si="33"/>
        <v>8.072645225614164E-2</v>
      </c>
      <c r="P123" s="269">
        <f t="shared" ca="1" si="33"/>
        <v>8.2261081506527917E-2</v>
      </c>
      <c r="Q123" s="269">
        <f t="shared" ca="1" si="33"/>
        <v>8.3337035657368816E-2</v>
      </c>
      <c r="R123" s="269">
        <f t="shared" ca="1" si="33"/>
        <v>8.4107005455160824E-2</v>
      </c>
      <c r="S123" s="269">
        <f t="shared" ca="1" si="33"/>
        <v>8.4619430658731773E-2</v>
      </c>
      <c r="T123" s="269">
        <f t="shared" ca="1" si="33"/>
        <v>8.4933561261429882E-2</v>
      </c>
      <c r="U123" s="269">
        <f t="shared" ca="1" si="33"/>
        <v>8.511346693678952E-2</v>
      </c>
      <c r="V123" s="269">
        <f t="shared" ca="1" si="33"/>
        <v>8.5166445188331746E-2</v>
      </c>
      <c r="W123" s="269">
        <f t="shared" ca="1" si="33"/>
        <v>8.509586555707481E-2</v>
      </c>
      <c r="X123" s="269">
        <f t="shared" ca="1" si="33"/>
        <v>8.4983496876072845E-2</v>
      </c>
      <c r="Y123" s="252">
        <f t="shared" ca="1" si="35"/>
        <v>0.80850936169874021</v>
      </c>
    </row>
    <row r="124" spans="1:26">
      <c r="A124" s="267">
        <f>VLOOKUP(D124,M_Input_Out!$A$1:$AM$3999,3,FALSE)</f>
        <v>55.109130131336691</v>
      </c>
      <c r="B124" s="268">
        <f>VLOOKUP(D124,M_Input_Out!$A$1:$AM$3999,11,FALSE)</f>
        <v>16.413183473026312</v>
      </c>
      <c r="C124" t="s">
        <v>900</v>
      </c>
      <c r="D124" s="24" t="str">
        <f t="shared" si="32"/>
        <v>Exterior Lighting: Parking Lot - MH 400W - NR</v>
      </c>
      <c r="E124" s="269">
        <f t="shared" ca="1" si="34"/>
        <v>0.52151404424616987</v>
      </c>
      <c r="F124" s="269">
        <f t="shared" ca="1" si="33"/>
        <v>0.88323756079277826</v>
      </c>
      <c r="G124" s="269">
        <f t="shared" ca="1" si="33"/>
        <v>1.1303201463476678</v>
      </c>
      <c r="H124" s="269">
        <f t="shared" ca="1" si="33"/>
        <v>1.3200109383661593</v>
      </c>
      <c r="I124" s="269">
        <f t="shared" ca="1" si="33"/>
        <v>1.4840656906020824</v>
      </c>
      <c r="J124" s="269">
        <f t="shared" ca="1" si="33"/>
        <v>1.6467629474444063</v>
      </c>
      <c r="K124" s="269">
        <f t="shared" ca="1" si="33"/>
        <v>1.7595177551992316</v>
      </c>
      <c r="L124" s="269">
        <f t="shared" ca="1" si="33"/>
        <v>1.8539916531287608</v>
      </c>
      <c r="M124" s="269">
        <f t="shared" ca="1" si="33"/>
        <v>1.9336280556713308</v>
      </c>
      <c r="N124" s="269">
        <f t="shared" ca="1" si="33"/>
        <v>1.9965947568846782</v>
      </c>
      <c r="O124" s="269">
        <f t="shared" ca="1" si="33"/>
        <v>2.0478820795411359</v>
      </c>
      <c r="P124" s="269">
        <f t="shared" ca="1" si="33"/>
        <v>2.0868128098379897</v>
      </c>
      <c r="Q124" s="269">
        <f t="shared" ca="1" si="33"/>
        <v>2.1141077938529391</v>
      </c>
      <c r="R124" s="269">
        <f t="shared" ca="1" si="33"/>
        <v>2.1336405158618668</v>
      </c>
      <c r="S124" s="269">
        <f t="shared" ca="1" si="33"/>
        <v>2.1466398037305878</v>
      </c>
      <c r="T124" s="269">
        <f t="shared" ca="1" si="33"/>
        <v>2.1546087211538358</v>
      </c>
      <c r="U124" s="269">
        <f t="shared" ca="1" si="33"/>
        <v>2.1591725982756467</v>
      </c>
      <c r="V124" s="269">
        <f t="shared" ca="1" si="33"/>
        <v>2.1605165593801741</v>
      </c>
      <c r="W124" s="269">
        <f t="shared" ca="1" si="33"/>
        <v>2.158726083544904</v>
      </c>
      <c r="X124" s="269">
        <f t="shared" ca="1" si="33"/>
        <v>2.1558754961389885</v>
      </c>
      <c r="Y124" s="252">
        <f t="shared" ca="1" si="35"/>
        <v>17.981720619728708</v>
      </c>
    </row>
    <row r="125" spans="1:26">
      <c r="A125" s="267">
        <f>VLOOKUP(D125,M_Input_Out!$A$1:$AM$3999,3,FALSE)</f>
        <v>6.702605615817987</v>
      </c>
      <c r="B125" s="268">
        <f>VLOOKUP(D125,M_Input_Out!$A$1:$AM$3999,11,FALSE)</f>
        <v>24.604269484975482</v>
      </c>
      <c r="C125" t="s">
        <v>900</v>
      </c>
      <c r="D125" s="24" t="str">
        <f t="shared" si="32"/>
        <v>Exterior Lighting: Parking Lot - MH 1000W - NR</v>
      </c>
      <c r="E125" s="269">
        <f t="shared" ca="1" si="34"/>
        <v>0.35402090226683525</v>
      </c>
      <c r="F125" s="269">
        <f t="shared" ca="1" si="33"/>
        <v>0.59957073378492143</v>
      </c>
      <c r="G125" s="269">
        <f t="shared" ca="1" si="33"/>
        <v>0.76729852719267666</v>
      </c>
      <c r="H125" s="269">
        <f t="shared" ca="1" si="33"/>
        <v>0.89606688172312154</v>
      </c>
      <c r="I125" s="269">
        <f t="shared" ca="1" si="33"/>
        <v>1.0074326484718856</v>
      </c>
      <c r="J125" s="269">
        <f t="shared" ca="1" si="33"/>
        <v>1.1178769026566697</v>
      </c>
      <c r="K125" s="269">
        <f t="shared" ca="1" si="33"/>
        <v>1.1944185782197623</v>
      </c>
      <c r="L125" s="269">
        <f t="shared" ca="1" si="33"/>
        <v>1.2585505703581934</v>
      </c>
      <c r="M125" s="269">
        <f t="shared" ca="1" si="33"/>
        <v>1.3126103821551267</v>
      </c>
      <c r="N125" s="269">
        <f t="shared" ca="1" si="33"/>
        <v>1.3553542518979584</v>
      </c>
      <c r="O125" s="269">
        <f t="shared" ca="1" si="33"/>
        <v>1.3901697749735342</v>
      </c>
      <c r="P125" s="269">
        <f t="shared" ca="1" si="33"/>
        <v>1.4165972363576675</v>
      </c>
      <c r="Q125" s="269">
        <f t="shared" ca="1" si="33"/>
        <v>1.4351259700992469</v>
      </c>
      <c r="R125" s="269">
        <f t="shared" ca="1" si="33"/>
        <v>1.4483854248457118</v>
      </c>
      <c r="S125" s="269">
        <f t="shared" ca="1" si="33"/>
        <v>1.4572097694072526</v>
      </c>
      <c r="T125" s="269">
        <f t="shared" ca="1" si="33"/>
        <v>1.4626193329029891</v>
      </c>
      <c r="U125" s="269">
        <f t="shared" ca="1" si="33"/>
        <v>1.465717442943024</v>
      </c>
      <c r="V125" s="269">
        <f t="shared" ca="1" si="33"/>
        <v>1.4666297679860132</v>
      </c>
      <c r="W125" s="269">
        <f t="shared" ca="1" si="33"/>
        <v>1.465414334043855</v>
      </c>
      <c r="X125" s="269">
        <f t="shared" ca="1" si="33"/>
        <v>1.4634792614670631</v>
      </c>
      <c r="Y125" s="252">
        <f ca="1">($Z$46+$Z$57)*$A125*$D$116/8760/1000</f>
        <v>2.1870129563037684</v>
      </c>
    </row>
    <row r="126" spans="1:26">
      <c r="A126" s="24"/>
      <c r="B126" s="24"/>
      <c r="C126" s="24"/>
      <c r="D126" s="24"/>
      <c r="E126" s="269"/>
      <c r="F126" s="269"/>
      <c r="G126" s="269"/>
      <c r="H126" s="269"/>
      <c r="I126" s="269"/>
      <c r="J126" s="269"/>
      <c r="K126" s="269"/>
      <c r="L126" s="269"/>
      <c r="M126" s="269"/>
      <c r="N126" s="269"/>
      <c r="O126" s="269"/>
      <c r="P126" s="269"/>
      <c r="Q126" s="269"/>
      <c r="R126" s="269"/>
      <c r="S126" s="269"/>
      <c r="T126" s="269"/>
      <c r="U126" s="269"/>
      <c r="V126" s="269"/>
      <c r="W126" s="269"/>
      <c r="X126" s="269"/>
      <c r="Y126" s="341"/>
    </row>
    <row r="127" spans="1:26">
      <c r="A127" s="24"/>
      <c r="B127" s="268">
        <f>SUMPRODUCT(B118:B122,A118:A122)/SUM(A118:A122)</f>
        <v>15.667146627275269</v>
      </c>
      <c r="C127" s="24"/>
      <c r="D127" s="24" t="s">
        <v>926</v>
      </c>
      <c r="E127" s="198">
        <f ca="1">SUM(E118:E125)</f>
        <v>4.3910848161196387</v>
      </c>
      <c r="F127" s="198">
        <f t="shared" ref="F127:X127" ca="1" si="36">SUM(F118:F125)</f>
        <v>7.4367528257647644</v>
      </c>
      <c r="G127" s="198">
        <f t="shared" ca="1" si="36"/>
        <v>9.5171581412648099</v>
      </c>
      <c r="H127" s="198">
        <f t="shared" ca="1" si="36"/>
        <v>11.114331536267246</v>
      </c>
      <c r="I127" s="198">
        <f t="shared" ca="1" si="36"/>
        <v>12.495652594642026</v>
      </c>
      <c r="J127" s="198">
        <f t="shared" ca="1" si="36"/>
        <v>13.865543706927049</v>
      </c>
      <c r="K127" s="198">
        <f t="shared" ca="1" si="36"/>
        <v>14.814925472843582</v>
      </c>
      <c r="L127" s="198">
        <f t="shared" ca="1" si="36"/>
        <v>15.610384201702233</v>
      </c>
      <c r="M127" s="198">
        <f t="shared" ca="1" si="36"/>
        <v>16.280913024220393</v>
      </c>
      <c r="N127" s="198">
        <f t="shared" ca="1" si="36"/>
        <v>16.811084989231865</v>
      </c>
      <c r="O127" s="198">
        <f t="shared" ca="1" si="36"/>
        <v>17.242918007461952</v>
      </c>
      <c r="P127" s="198">
        <f t="shared" ca="1" si="36"/>
        <v>17.570710021067381</v>
      </c>
      <c r="Q127" s="198">
        <f t="shared" ca="1" si="36"/>
        <v>17.800530466339413</v>
      </c>
      <c r="R127" s="198">
        <f t="shared" ca="1" si="36"/>
        <v>17.964993609714327</v>
      </c>
      <c r="S127" s="198">
        <f t="shared" ca="1" si="36"/>
        <v>18.074446032348924</v>
      </c>
      <c r="T127" s="198">
        <f t="shared" ca="1" si="36"/>
        <v>18.141543347721733</v>
      </c>
      <c r="U127" s="198">
        <f t="shared" ca="1" si="36"/>
        <v>18.179970637942048</v>
      </c>
      <c r="V127" s="198">
        <f t="shared" ca="1" si="36"/>
        <v>18.191286626964121</v>
      </c>
      <c r="W127" s="198">
        <f t="shared" ca="1" si="36"/>
        <v>18.176211038222796</v>
      </c>
      <c r="X127" s="198">
        <f t="shared" ca="1" si="36"/>
        <v>18.152209439007514</v>
      </c>
      <c r="Y127" s="252">
        <f ca="1">SUM(Y118:Y122)</f>
        <v>102.74724706283516</v>
      </c>
    </row>
    <row r="128" spans="1:26">
      <c r="A128" s="24"/>
      <c r="B128" s="24"/>
      <c r="C128" s="24"/>
      <c r="D128" s="24"/>
      <c r="E128" s="24"/>
      <c r="F128" s="24"/>
      <c r="G128" s="24"/>
      <c r="H128" s="24"/>
      <c r="I128" s="24"/>
      <c r="J128" s="24"/>
      <c r="K128" s="24"/>
      <c r="L128" s="24"/>
      <c r="M128" s="24"/>
      <c r="N128" s="24"/>
      <c r="O128" s="24"/>
      <c r="P128" s="24"/>
      <c r="Q128" s="24"/>
      <c r="R128" s="24"/>
      <c r="S128" s="24"/>
      <c r="T128" s="24"/>
      <c r="U128" s="24"/>
      <c r="V128" s="24"/>
      <c r="W128" s="24"/>
      <c r="X128" s="24"/>
      <c r="Y128" s="24"/>
      <c r="Z128" s="24"/>
    </row>
    <row r="129" spans="1:26">
      <c r="A129" s="24"/>
      <c r="B129" s="24"/>
      <c r="C129" s="24"/>
      <c r="D129" s="24"/>
      <c r="E129" s="24"/>
      <c r="F129" s="24"/>
      <c r="G129" s="24"/>
      <c r="H129" s="24"/>
      <c r="I129" s="24"/>
      <c r="J129" s="24"/>
      <c r="K129" s="24"/>
      <c r="L129" s="24"/>
      <c r="M129" s="24"/>
      <c r="N129" s="24"/>
      <c r="O129" s="24"/>
      <c r="P129" s="24"/>
      <c r="Q129" s="24"/>
      <c r="R129" s="24"/>
      <c r="S129" s="24"/>
      <c r="T129" s="24"/>
      <c r="U129" s="24"/>
      <c r="V129" s="24"/>
      <c r="W129" s="24"/>
      <c r="X129" s="24"/>
      <c r="Y129" s="24"/>
      <c r="Z129" s="24"/>
    </row>
    <row r="130" spans="1:26" ht="15">
      <c r="A130" s="342" t="s">
        <v>709</v>
      </c>
      <c r="B130" s="342"/>
      <c r="C130" s="24"/>
      <c r="D130" s="24"/>
      <c r="E130" s="24"/>
      <c r="F130" s="24"/>
      <c r="G130" s="24"/>
      <c r="H130" s="24"/>
      <c r="I130" s="24"/>
      <c r="J130" s="24"/>
      <c r="K130" s="24"/>
      <c r="L130" s="24"/>
      <c r="M130" s="24"/>
      <c r="N130" s="24"/>
      <c r="O130" s="24"/>
      <c r="P130" s="24"/>
      <c r="Q130" s="24"/>
      <c r="R130" s="24"/>
      <c r="S130" s="24"/>
      <c r="T130" s="24"/>
      <c r="U130" s="24"/>
      <c r="V130" s="24"/>
      <c r="W130" s="24"/>
      <c r="X130" s="24"/>
      <c r="Y130" s="24"/>
      <c r="Z130" s="24"/>
    </row>
    <row r="131" spans="1:26" ht="15">
      <c r="A131" s="24"/>
      <c r="B131" s="24"/>
      <c r="C131" s="24"/>
      <c r="D131" s="24"/>
      <c r="E131" s="263">
        <f t="shared" ref="E131:X131" si="37">E11</f>
        <v>2016</v>
      </c>
      <c r="F131" s="263">
        <f t="shared" si="37"/>
        <v>2017</v>
      </c>
      <c r="G131" s="263">
        <f t="shared" si="37"/>
        <v>2018</v>
      </c>
      <c r="H131" s="263">
        <f t="shared" si="37"/>
        <v>2019</v>
      </c>
      <c r="I131" s="263">
        <f t="shared" si="37"/>
        <v>2020</v>
      </c>
      <c r="J131" s="263">
        <f t="shared" si="37"/>
        <v>2021</v>
      </c>
      <c r="K131" s="263">
        <f t="shared" si="37"/>
        <v>2022</v>
      </c>
      <c r="L131" s="263">
        <f t="shared" si="37"/>
        <v>2023</v>
      </c>
      <c r="M131" s="263">
        <f t="shared" si="37"/>
        <v>2024</v>
      </c>
      <c r="N131" s="263">
        <f t="shared" si="37"/>
        <v>2025</v>
      </c>
      <c r="O131" s="263">
        <f t="shared" si="37"/>
        <v>2026</v>
      </c>
      <c r="P131" s="263">
        <f t="shared" si="37"/>
        <v>2027</v>
      </c>
      <c r="Q131" s="263">
        <f t="shared" si="37"/>
        <v>2028</v>
      </c>
      <c r="R131" s="263">
        <f t="shared" si="37"/>
        <v>2029</v>
      </c>
      <c r="S131" s="263">
        <f t="shared" si="37"/>
        <v>2030</v>
      </c>
      <c r="T131" s="263">
        <f t="shared" si="37"/>
        <v>2031</v>
      </c>
      <c r="U131" s="263">
        <f t="shared" si="37"/>
        <v>2032</v>
      </c>
      <c r="V131" s="263">
        <f t="shared" si="37"/>
        <v>2033</v>
      </c>
      <c r="W131" s="263">
        <f t="shared" si="37"/>
        <v>2034</v>
      </c>
      <c r="X131" s="263">
        <f t="shared" si="37"/>
        <v>2035</v>
      </c>
      <c r="Y131" s="248" t="s">
        <v>695</v>
      </c>
    </row>
    <row r="132" spans="1:26" ht="15">
      <c r="A132" s="24"/>
      <c r="B132" s="24"/>
      <c r="C132" s="271" t="s">
        <v>705</v>
      </c>
      <c r="D132" s="271" t="s">
        <v>705</v>
      </c>
      <c r="E132" s="265" t="str">
        <f>CONCATENATE("aMW_",E$11)</f>
        <v>aMW_2016</v>
      </c>
      <c r="F132" s="265" t="str">
        <f t="shared" ref="F132:X132" si="38">CONCATENATE("aMW_",F$11)</f>
        <v>aMW_2017</v>
      </c>
      <c r="G132" s="265" t="str">
        <f t="shared" si="38"/>
        <v>aMW_2018</v>
      </c>
      <c r="H132" s="265" t="str">
        <f t="shared" si="38"/>
        <v>aMW_2019</v>
      </c>
      <c r="I132" s="265" t="str">
        <f t="shared" si="38"/>
        <v>aMW_2020</v>
      </c>
      <c r="J132" s="265" t="str">
        <f t="shared" si="38"/>
        <v>aMW_2021</v>
      </c>
      <c r="K132" s="265" t="str">
        <f t="shared" si="38"/>
        <v>aMW_2022</v>
      </c>
      <c r="L132" s="265" t="str">
        <f t="shared" si="38"/>
        <v>aMW_2023</v>
      </c>
      <c r="M132" s="265" t="str">
        <f t="shared" si="38"/>
        <v>aMW_2024</v>
      </c>
      <c r="N132" s="265" t="str">
        <f t="shared" si="38"/>
        <v>aMW_2025</v>
      </c>
      <c r="O132" s="265" t="str">
        <f t="shared" si="38"/>
        <v>aMW_2026</v>
      </c>
      <c r="P132" s="265" t="str">
        <f t="shared" si="38"/>
        <v>aMW_2027</v>
      </c>
      <c r="Q132" s="265" t="str">
        <f t="shared" si="38"/>
        <v>aMW_2028</v>
      </c>
      <c r="R132" s="265" t="str">
        <f t="shared" si="38"/>
        <v>aMW_2029</v>
      </c>
      <c r="S132" s="265" t="str">
        <f t="shared" si="38"/>
        <v>aMW_2030</v>
      </c>
      <c r="T132" s="265" t="str">
        <f t="shared" si="38"/>
        <v>aMW_2031</v>
      </c>
      <c r="U132" s="265" t="str">
        <f t="shared" si="38"/>
        <v>aMW_2032</v>
      </c>
      <c r="V132" s="265" t="str">
        <f t="shared" si="38"/>
        <v>aMW_2033</v>
      </c>
      <c r="W132" s="265" t="str">
        <f t="shared" si="38"/>
        <v>aMW_2034</v>
      </c>
      <c r="X132" s="265" t="str">
        <f t="shared" si="38"/>
        <v>aMW_2035</v>
      </c>
      <c r="Y132" s="248" t="s">
        <v>695</v>
      </c>
    </row>
    <row r="133" spans="1:26">
      <c r="A133" s="24"/>
      <c r="B133" s="24" t="s">
        <v>641</v>
      </c>
      <c r="C133" s="272" t="s">
        <v>710</v>
      </c>
      <c r="D133" s="272" t="s">
        <v>711</v>
      </c>
      <c r="E133" s="273">
        <f ca="1">DSUM($B$117:$Y$125,E$132,$C$132:$D133)</f>
        <v>3.5817923712627465E-2</v>
      </c>
      <c r="F133" s="273">
        <f ca="1">DSUM($B$117:$Y$125,F$132,$C$132:$D133)</f>
        <v>6.0661330067019043E-2</v>
      </c>
      <c r="G133" s="273">
        <f ca="1">DSUM($B$117:$Y$125,G$132,$C$132:$D133)</f>
        <v>7.763112272699646E-2</v>
      </c>
      <c r="H133" s="273">
        <f ca="1">DSUM($B$117:$Y$125,H$132,$C$132:$D133)</f>
        <v>9.0659209683556119E-2</v>
      </c>
      <c r="I133" s="273">
        <f ca="1">DSUM($B$117:$Y$125,I$132,$C$132:$D133)</f>
        <v>0.10192659675608259</v>
      </c>
      <c r="J133" s="273">
        <f ca="1">DSUM($B$117:$Y$125,J$132,$C$132:$D133)</f>
        <v>0.11310075016216303</v>
      </c>
      <c r="K133" s="273">
        <f ca="1">DSUM($B$117:$Y$125,K$132,$C$132:$D133)</f>
        <v>0.12084482368607362</v>
      </c>
      <c r="L133" s="273">
        <f ca="1">DSUM($B$117:$Y$125,L$132,$C$132:$D133)</f>
        <v>0.12733335243464389</v>
      </c>
      <c r="M133" s="273">
        <f ca="1">DSUM($B$117:$Y$125,M$132,$C$132:$D133)</f>
        <v>0.13280283235083848</v>
      </c>
      <c r="N133" s="273">
        <f ca="1">DSUM($B$117:$Y$125,N$132,$C$132:$D133)</f>
        <v>0.13712742633901287</v>
      </c>
      <c r="O133" s="273">
        <f ca="1">DSUM($B$117:$Y$125,O$132,$C$132:$D133)</f>
        <v>0.1406498730125042</v>
      </c>
      <c r="P133" s="273">
        <f ca="1">DSUM($B$117:$Y$125,P$132,$C$132:$D133)</f>
        <v>0.14332366088693271</v>
      </c>
      <c r="Q133" s="273">
        <f ca="1">DSUM($B$117:$Y$125,Q$132,$C$132:$D133)</f>
        <v>0.14519829813969934</v>
      </c>
      <c r="R133" s="273">
        <f ca="1">DSUM($B$117:$Y$125,R$132,$C$132:$D133)</f>
        <v>0.14653981818989664</v>
      </c>
      <c r="S133" s="273">
        <f ca="1">DSUM($B$117:$Y$125,S$132,$C$132:$D133)</f>
        <v>0.14743261773448676</v>
      </c>
      <c r="T133" s="273">
        <f ca="1">DSUM($B$117:$Y$125,T$132,$C$132:$D133)</f>
        <v>0.14797992816550437</v>
      </c>
      <c r="U133" s="273">
        <f ca="1">DSUM($B$117:$Y$125,U$132,$C$132:$D133)</f>
        <v>0.14829337821423527</v>
      </c>
      <c r="V133" s="273">
        <f ca="1">DSUM($B$117:$Y$125,V$132,$C$132:$D133)</f>
        <v>0.14838568233690622</v>
      </c>
      <c r="W133" s="273">
        <f ca="1">DSUM($B$117:$Y$125,W$132,$C$132:$D133)</f>
        <v>0.14826271129214805</v>
      </c>
      <c r="X133" s="273">
        <f ca="1">DSUM($B$117:$Y$125,X$132,$C$132:$D133)</f>
        <v>0.1480669310953005</v>
      </c>
      <c r="Y133" s="198">
        <f ca="1">DSUM($B$117:$Y$125,Y$117,$C$132:$D133)</f>
        <v>1.4086676160563849</v>
      </c>
    </row>
    <row r="134" spans="1:26">
      <c r="A134" s="24"/>
      <c r="B134" s="24" t="s">
        <v>642</v>
      </c>
      <c r="C134" s="272" t="s">
        <v>712</v>
      </c>
      <c r="D134" s="272" t="s">
        <v>713</v>
      </c>
      <c r="E134" s="273">
        <f ca="1">DSUM($B$117:$Y$125,E$132,$C$132:$D134)</f>
        <v>2.1946308328447857</v>
      </c>
      <c r="F134" s="273">
        <f ca="1">DSUM($B$117:$Y$125,F$132,$C$132:$D134)</f>
        <v>3.7168325666939843</v>
      </c>
      <c r="G134" s="273">
        <f ca="1">DSUM($B$117:$Y$125,G$132,$C$132:$D134)</f>
        <v>4.7566033389300042</v>
      </c>
      <c r="H134" s="273">
        <f ca="1">DSUM($B$117:$Y$125,H$132,$C$132:$D134)</f>
        <v>5.5548584683240305</v>
      </c>
      <c r="I134" s="273">
        <f ca="1">DSUM($B$117:$Y$125,I$132,$C$132:$D134)</f>
        <v>6.2452322396614726</v>
      </c>
      <c r="J134" s="273">
        <f ca="1">DSUM($B$117:$Y$125,J$132,$C$132:$D134)</f>
        <v>6.9298934107744188</v>
      </c>
      <c r="K134" s="273">
        <f ca="1">DSUM($B$117:$Y$125,K$132,$C$132:$D134)</f>
        <v>7.4043872051034176</v>
      </c>
      <c r="L134" s="273">
        <f ca="1">DSUM($B$117:$Y$125,L$132,$C$132:$D134)</f>
        <v>7.8019514348354679</v>
      </c>
      <c r="M134" s="273">
        <f ca="1">DSUM($B$117:$Y$125,M$132,$C$132:$D134)</f>
        <v>8.137076646447726</v>
      </c>
      <c r="N134" s="273">
        <f ca="1">DSUM($B$117:$Y$125,N$132,$C$132:$D134)</f>
        <v>8.4020525669429933</v>
      </c>
      <c r="O134" s="273">
        <f ca="1">DSUM($B$117:$Y$125,O$132,$C$132:$D134)</f>
        <v>8.6178794288995473</v>
      </c>
      <c r="P134" s="273">
        <f ca="1">DSUM($B$117:$Y$125,P$132,$C$132:$D134)</f>
        <v>8.7817073871247899</v>
      </c>
      <c r="Q134" s="273">
        <f ca="1">DSUM($B$117:$Y$125,Q$132,$C$132:$D134)</f>
        <v>8.8965698997687213</v>
      </c>
      <c r="R134" s="273">
        <f ca="1">DSUM($B$117:$Y$125,R$132,$C$132:$D134)</f>
        <v>8.9787673294316974</v>
      </c>
      <c r="S134" s="273">
        <f ca="1">DSUM($B$117:$Y$125,S$132,$C$132:$D134)</f>
        <v>9.0334708187748429</v>
      </c>
      <c r="T134" s="273">
        <f ca="1">DSUM($B$117:$Y$125,T$132,$C$132:$D134)</f>
        <v>9.0670055472723892</v>
      </c>
      <c r="U134" s="273">
        <f ca="1">DSUM($B$117:$Y$125,U$132,$C$132:$D134)</f>
        <v>9.0862112149995511</v>
      </c>
      <c r="V134" s="273">
        <f ca="1">DSUM($B$117:$Y$125,V$132,$C$132:$D134)</f>
        <v>9.0918668603473254</v>
      </c>
      <c r="W134" s="273">
        <f ca="1">DSUM($B$117:$Y$125,W$132,$C$132:$D134)</f>
        <v>9.0843321956208438</v>
      </c>
      <c r="X134" s="273">
        <f ca="1">DSUM($B$117:$Y$125,X$132,$C$132:$D134)</f>
        <v>9.0723363786687159</v>
      </c>
      <c r="Y134" s="198">
        <f ca="1">DSUM($B$117:$Y$125,Y$117,$C$132:$D134)</f>
        <v>58.010679849144729</v>
      </c>
    </row>
    <row r="135" spans="1:26">
      <c r="A135" s="24"/>
      <c r="B135" s="24" t="s">
        <v>643</v>
      </c>
      <c r="C135" s="272" t="s">
        <v>714</v>
      </c>
      <c r="D135" s="272" t="s">
        <v>715</v>
      </c>
      <c r="E135" s="273">
        <f ca="1">DSUM($B$117:$Y$125,E$132,$C$132:$D135)</f>
        <v>2.7161448770909553</v>
      </c>
      <c r="F135" s="273">
        <f ca="1">DSUM($B$117:$Y$125,F$132,$C$132:$D135)</f>
        <v>4.600070127486763</v>
      </c>
      <c r="G135" s="273">
        <f ca="1">DSUM($B$117:$Y$125,G$132,$C$132:$D135)</f>
        <v>5.8869234852776717</v>
      </c>
      <c r="H135" s="273">
        <f ca="1">DSUM($B$117:$Y$125,H$132,$C$132:$D135)</f>
        <v>6.8748694066901894</v>
      </c>
      <c r="I135" s="273">
        <f ca="1">DSUM($B$117:$Y$125,I$132,$C$132:$D135)</f>
        <v>7.7292979302635549</v>
      </c>
      <c r="J135" s="273">
        <f ca="1">DSUM($B$117:$Y$125,J$132,$C$132:$D135)</f>
        <v>8.5766563582188251</v>
      </c>
      <c r="K135" s="273">
        <f ca="1">DSUM($B$117:$Y$125,K$132,$C$132:$D135)</f>
        <v>9.1639049603026486</v>
      </c>
      <c r="L135" s="273">
        <f ca="1">DSUM($B$117:$Y$125,L$132,$C$132:$D135)</f>
        <v>9.6559430879642285</v>
      </c>
      <c r="M135" s="273">
        <f ca="1">DSUM($B$117:$Y$125,M$132,$C$132:$D135)</f>
        <v>10.070704702119057</v>
      </c>
      <c r="N135" s="273">
        <f ca="1">DSUM($B$117:$Y$125,N$132,$C$132:$D135)</f>
        <v>10.398647323827671</v>
      </c>
      <c r="O135" s="273">
        <f ca="1">DSUM($B$117:$Y$125,O$132,$C$132:$D135)</f>
        <v>10.665761508440683</v>
      </c>
      <c r="P135" s="273">
        <f ca="1">DSUM($B$117:$Y$125,P$132,$C$132:$D135)</f>
        <v>10.86852019696278</v>
      </c>
      <c r="Q135" s="273">
        <f ca="1">DSUM($B$117:$Y$125,Q$132,$C$132:$D135)</f>
        <v>11.010677693621661</v>
      </c>
      <c r="R135" s="273">
        <f ca="1">DSUM($B$117:$Y$125,R$132,$C$132:$D135)</f>
        <v>11.112407845293564</v>
      </c>
      <c r="S135" s="273">
        <f ca="1">DSUM($B$117:$Y$125,S$132,$C$132:$D135)</f>
        <v>11.180110622505431</v>
      </c>
      <c r="T135" s="273">
        <f ca="1">DSUM($B$117:$Y$125,T$132,$C$132:$D135)</f>
        <v>11.221614268426226</v>
      </c>
      <c r="U135" s="273">
        <f ca="1">DSUM($B$117:$Y$125,U$132,$C$132:$D135)</f>
        <v>11.245383813275197</v>
      </c>
      <c r="V135" s="273">
        <f ca="1">DSUM($B$117:$Y$125,V$132,$C$132:$D135)</f>
        <v>11.252383419727499</v>
      </c>
      <c r="W135" s="273">
        <f ca="1">DSUM($B$117:$Y$125,W$132,$C$132:$D135)</f>
        <v>11.243058279165748</v>
      </c>
      <c r="X135" s="273">
        <f ca="1">DSUM($B$117:$Y$125,X$132,$C$132:$D135)</f>
        <v>11.228211874807705</v>
      </c>
      <c r="Y135" s="198">
        <f ca="1">DSUM($B$117:$Y$125,Y$117,$C$132:$D135)</f>
        <v>75.992400468873441</v>
      </c>
    </row>
    <row r="136" spans="1:26">
      <c r="A136" s="24"/>
      <c r="B136" s="24" t="s">
        <v>644</v>
      </c>
      <c r="C136" s="272" t="s">
        <v>716</v>
      </c>
      <c r="D136" s="272" t="s">
        <v>717</v>
      </c>
      <c r="E136" s="273">
        <f ca="1">DSUM($B$117:$Y$125,E$132,$C$132:$D136)</f>
        <v>4.3910848161196387</v>
      </c>
      <c r="F136" s="273">
        <f ca="1">DSUM($B$117:$Y$125,F$132,$C$132:$D136)</f>
        <v>7.4367528257647644</v>
      </c>
      <c r="G136" s="273">
        <f ca="1">DSUM($B$117:$Y$125,G$132,$C$132:$D136)</f>
        <v>9.5171581412648099</v>
      </c>
      <c r="H136" s="273">
        <f ca="1">DSUM($B$117:$Y$125,H$132,$C$132:$D136)</f>
        <v>11.114331536267246</v>
      </c>
      <c r="I136" s="273">
        <f ca="1">DSUM($B$117:$Y$125,I$132,$C$132:$D136)</f>
        <v>12.495652594642026</v>
      </c>
      <c r="J136" s="273">
        <f ca="1">DSUM($B$117:$Y$125,J$132,$C$132:$D136)</f>
        <v>13.865543706927049</v>
      </c>
      <c r="K136" s="273">
        <f ca="1">DSUM($B$117:$Y$125,K$132,$C$132:$D136)</f>
        <v>14.814925472843582</v>
      </c>
      <c r="L136" s="273">
        <f ca="1">DSUM($B$117:$Y$125,L$132,$C$132:$D136)</f>
        <v>15.610384201702233</v>
      </c>
      <c r="M136" s="273">
        <f ca="1">DSUM($B$117:$Y$125,M$132,$C$132:$D136)</f>
        <v>16.280913024220393</v>
      </c>
      <c r="N136" s="273">
        <f ca="1">DSUM($B$117:$Y$125,N$132,$C$132:$D136)</f>
        <v>16.811084989231865</v>
      </c>
      <c r="O136" s="273">
        <f ca="1">DSUM($B$117:$Y$125,O$132,$C$132:$D136)</f>
        <v>17.242918007461952</v>
      </c>
      <c r="P136" s="273">
        <f ca="1">DSUM($B$117:$Y$125,P$132,$C$132:$D136)</f>
        <v>17.570710021067381</v>
      </c>
      <c r="Q136" s="273">
        <f ca="1">DSUM($B$117:$Y$125,Q$132,$C$132:$D136)</f>
        <v>17.800530466339413</v>
      </c>
      <c r="R136" s="273">
        <f ca="1">DSUM($B$117:$Y$125,R$132,$C$132:$D136)</f>
        <v>17.964993609714327</v>
      </c>
      <c r="S136" s="273">
        <f ca="1">DSUM($B$117:$Y$125,S$132,$C$132:$D136)</f>
        <v>18.074446032348924</v>
      </c>
      <c r="T136" s="273">
        <f ca="1">DSUM($B$117:$Y$125,T$132,$C$132:$D136)</f>
        <v>18.141543347721733</v>
      </c>
      <c r="U136" s="273">
        <f ca="1">DSUM($B$117:$Y$125,U$132,$C$132:$D136)</f>
        <v>18.179970637942048</v>
      </c>
      <c r="V136" s="273">
        <f ca="1">DSUM($B$117:$Y$125,V$132,$C$132:$D136)</f>
        <v>18.191286626964121</v>
      </c>
      <c r="W136" s="273">
        <f ca="1">DSUM($B$117:$Y$125,W$132,$C$132:$D136)</f>
        <v>18.176211038222796</v>
      </c>
      <c r="X136" s="273">
        <f ca="1">DSUM($B$117:$Y$125,X$132,$C$132:$D136)</f>
        <v>18.152209439007514</v>
      </c>
      <c r="Y136" s="198">
        <f ca="1">DSUM($B$117:$Y$125,Y$117,$C$132:$D136)</f>
        <v>123.72449000056638</v>
      </c>
    </row>
    <row r="137" spans="1:26">
      <c r="A137" s="24"/>
      <c r="B137" s="24" t="s">
        <v>645</v>
      </c>
      <c r="C137" s="272" t="s">
        <v>718</v>
      </c>
      <c r="D137" s="272" t="s">
        <v>719</v>
      </c>
      <c r="E137" s="273">
        <f ca="1">DSUM($B$117:$Y$125,E$132,$C$132:$D137)</f>
        <v>4.3910848161196387</v>
      </c>
      <c r="F137" s="273">
        <f ca="1">DSUM($B$117:$Y$125,F$132,$C$132:$D137)</f>
        <v>7.4367528257647644</v>
      </c>
      <c r="G137" s="273">
        <f ca="1">DSUM($B$117:$Y$125,G$132,$C$132:$D137)</f>
        <v>9.5171581412648099</v>
      </c>
      <c r="H137" s="273">
        <f ca="1">DSUM($B$117:$Y$125,H$132,$C$132:$D137)</f>
        <v>11.114331536267246</v>
      </c>
      <c r="I137" s="273">
        <f ca="1">DSUM($B$117:$Y$125,I$132,$C$132:$D137)</f>
        <v>12.495652594642026</v>
      </c>
      <c r="J137" s="273">
        <f ca="1">DSUM($B$117:$Y$125,J$132,$C$132:$D137)</f>
        <v>13.865543706927049</v>
      </c>
      <c r="K137" s="273">
        <f ca="1">DSUM($B$117:$Y$125,K$132,$C$132:$D137)</f>
        <v>14.814925472843582</v>
      </c>
      <c r="L137" s="273">
        <f ca="1">DSUM($B$117:$Y$125,L$132,$C$132:$D137)</f>
        <v>15.610384201702233</v>
      </c>
      <c r="M137" s="273">
        <f ca="1">DSUM($B$117:$Y$125,M$132,$C$132:$D137)</f>
        <v>16.280913024220393</v>
      </c>
      <c r="N137" s="273">
        <f ca="1">DSUM($B$117:$Y$125,N$132,$C$132:$D137)</f>
        <v>16.811084989231865</v>
      </c>
      <c r="O137" s="273">
        <f ca="1">DSUM($B$117:$Y$125,O$132,$C$132:$D137)</f>
        <v>17.242918007461952</v>
      </c>
      <c r="P137" s="273">
        <f ca="1">DSUM($B$117:$Y$125,P$132,$C$132:$D137)</f>
        <v>17.570710021067381</v>
      </c>
      <c r="Q137" s="273">
        <f ca="1">DSUM($B$117:$Y$125,Q$132,$C$132:$D137)</f>
        <v>17.800530466339413</v>
      </c>
      <c r="R137" s="273">
        <f ca="1">DSUM($B$117:$Y$125,R$132,$C$132:$D137)</f>
        <v>17.964993609714327</v>
      </c>
      <c r="S137" s="273">
        <f ca="1">DSUM($B$117:$Y$125,S$132,$C$132:$D137)</f>
        <v>18.074446032348924</v>
      </c>
      <c r="T137" s="273">
        <f ca="1">DSUM($B$117:$Y$125,T$132,$C$132:$D137)</f>
        <v>18.141543347721733</v>
      </c>
      <c r="U137" s="273">
        <f ca="1">DSUM($B$117:$Y$125,U$132,$C$132:$D137)</f>
        <v>18.179970637942048</v>
      </c>
      <c r="V137" s="273">
        <f ca="1">DSUM($B$117:$Y$125,V$132,$C$132:$D137)</f>
        <v>18.191286626964121</v>
      </c>
      <c r="W137" s="273">
        <f ca="1">DSUM($B$117:$Y$125,W$132,$C$132:$D137)</f>
        <v>18.176211038222796</v>
      </c>
      <c r="X137" s="273">
        <f ca="1">DSUM($B$117:$Y$125,X$132,$C$132:$D137)</f>
        <v>18.152209439007514</v>
      </c>
      <c r="Y137" s="198">
        <f ca="1">DSUM($B$117:$Y$125,Y$117,$C$132:$D137)</f>
        <v>123.72449000056638</v>
      </c>
    </row>
    <row r="138" spans="1:26">
      <c r="A138" s="24"/>
      <c r="B138" s="24" t="s">
        <v>646</v>
      </c>
      <c r="C138" s="272" t="s">
        <v>720</v>
      </c>
      <c r="D138" s="272" t="s">
        <v>721</v>
      </c>
      <c r="E138" s="273">
        <f ca="1">DSUM($B$117:$Y$125,E$132,$C$132:$D138)</f>
        <v>4.3910848161196387</v>
      </c>
      <c r="F138" s="273">
        <f ca="1">DSUM($B$117:$Y$125,F$132,$C$132:$D138)</f>
        <v>7.4367528257647644</v>
      </c>
      <c r="G138" s="273">
        <f ca="1">DSUM($B$117:$Y$125,G$132,$C$132:$D138)</f>
        <v>9.5171581412648099</v>
      </c>
      <c r="H138" s="273">
        <f ca="1">DSUM($B$117:$Y$125,H$132,$C$132:$D138)</f>
        <v>11.114331536267246</v>
      </c>
      <c r="I138" s="273">
        <f ca="1">DSUM($B$117:$Y$125,I$132,$C$132:$D138)</f>
        <v>12.495652594642026</v>
      </c>
      <c r="J138" s="273">
        <f ca="1">DSUM($B$117:$Y$125,J$132,$C$132:$D138)</f>
        <v>13.865543706927049</v>
      </c>
      <c r="K138" s="273">
        <f ca="1">DSUM($B$117:$Y$125,K$132,$C$132:$D138)</f>
        <v>14.814925472843582</v>
      </c>
      <c r="L138" s="273">
        <f ca="1">DSUM($B$117:$Y$125,L$132,$C$132:$D138)</f>
        <v>15.610384201702233</v>
      </c>
      <c r="M138" s="273">
        <f ca="1">DSUM($B$117:$Y$125,M$132,$C$132:$D138)</f>
        <v>16.280913024220393</v>
      </c>
      <c r="N138" s="273">
        <f ca="1">DSUM($B$117:$Y$125,N$132,$C$132:$D138)</f>
        <v>16.811084989231865</v>
      </c>
      <c r="O138" s="273">
        <f ca="1">DSUM($B$117:$Y$125,O$132,$C$132:$D138)</f>
        <v>17.242918007461952</v>
      </c>
      <c r="P138" s="273">
        <f ca="1">DSUM($B$117:$Y$125,P$132,$C$132:$D138)</f>
        <v>17.570710021067381</v>
      </c>
      <c r="Q138" s="273">
        <f ca="1">DSUM($B$117:$Y$125,Q$132,$C$132:$D138)</f>
        <v>17.800530466339413</v>
      </c>
      <c r="R138" s="273">
        <f ca="1">DSUM($B$117:$Y$125,R$132,$C$132:$D138)</f>
        <v>17.964993609714327</v>
      </c>
      <c r="S138" s="273">
        <f ca="1">DSUM($B$117:$Y$125,S$132,$C$132:$D138)</f>
        <v>18.074446032348924</v>
      </c>
      <c r="T138" s="273">
        <f ca="1">DSUM($B$117:$Y$125,T$132,$C$132:$D138)</f>
        <v>18.141543347721733</v>
      </c>
      <c r="U138" s="273">
        <f ca="1">DSUM($B$117:$Y$125,U$132,$C$132:$D138)</f>
        <v>18.179970637942048</v>
      </c>
      <c r="V138" s="273">
        <f ca="1">DSUM($B$117:$Y$125,V$132,$C$132:$D138)</f>
        <v>18.191286626964121</v>
      </c>
      <c r="W138" s="273">
        <f ca="1">DSUM($B$117:$Y$125,W$132,$C$132:$D138)</f>
        <v>18.176211038222796</v>
      </c>
      <c r="X138" s="273">
        <f ca="1">DSUM($B$117:$Y$125,X$132,$C$132:$D138)</f>
        <v>18.152209439007514</v>
      </c>
      <c r="Y138" s="198">
        <f ca="1">DSUM($B$117:$Y$125,Y$117,$C$132:$D138)</f>
        <v>123.72449000056638</v>
      </c>
    </row>
    <row r="139" spans="1:26">
      <c r="A139" s="24"/>
      <c r="B139" s="24" t="s">
        <v>647</v>
      </c>
      <c r="C139" s="272" t="s">
        <v>722</v>
      </c>
      <c r="D139" s="272" t="s">
        <v>723</v>
      </c>
      <c r="E139" s="273">
        <f ca="1">DSUM($B$117:$Y$125,E$132,$C$132:$D139)</f>
        <v>4.3910848161196387</v>
      </c>
      <c r="F139" s="273">
        <f ca="1">DSUM($B$117:$Y$125,F$132,$C$132:$D139)</f>
        <v>7.4367528257647644</v>
      </c>
      <c r="G139" s="273">
        <f ca="1">DSUM($B$117:$Y$125,G$132,$C$132:$D139)</f>
        <v>9.5171581412648099</v>
      </c>
      <c r="H139" s="273">
        <f ca="1">DSUM($B$117:$Y$125,H$132,$C$132:$D139)</f>
        <v>11.114331536267246</v>
      </c>
      <c r="I139" s="273">
        <f ca="1">DSUM($B$117:$Y$125,I$132,$C$132:$D139)</f>
        <v>12.495652594642026</v>
      </c>
      <c r="J139" s="273">
        <f ca="1">DSUM($B$117:$Y$125,J$132,$C$132:$D139)</f>
        <v>13.865543706927049</v>
      </c>
      <c r="K139" s="273">
        <f ca="1">DSUM($B$117:$Y$125,K$132,$C$132:$D139)</f>
        <v>14.814925472843582</v>
      </c>
      <c r="L139" s="273">
        <f ca="1">DSUM($B$117:$Y$125,L$132,$C$132:$D139)</f>
        <v>15.610384201702233</v>
      </c>
      <c r="M139" s="273">
        <f ca="1">DSUM($B$117:$Y$125,M$132,$C$132:$D139)</f>
        <v>16.280913024220393</v>
      </c>
      <c r="N139" s="273">
        <f ca="1">DSUM($B$117:$Y$125,N$132,$C$132:$D139)</f>
        <v>16.811084989231865</v>
      </c>
      <c r="O139" s="273">
        <f ca="1">DSUM($B$117:$Y$125,O$132,$C$132:$D139)</f>
        <v>17.242918007461952</v>
      </c>
      <c r="P139" s="273">
        <f ca="1">DSUM($B$117:$Y$125,P$132,$C$132:$D139)</f>
        <v>17.570710021067381</v>
      </c>
      <c r="Q139" s="273">
        <f ca="1">DSUM($B$117:$Y$125,Q$132,$C$132:$D139)</f>
        <v>17.800530466339413</v>
      </c>
      <c r="R139" s="273">
        <f ca="1">DSUM($B$117:$Y$125,R$132,$C$132:$D139)</f>
        <v>17.964993609714327</v>
      </c>
      <c r="S139" s="273">
        <f ca="1">DSUM($B$117:$Y$125,S$132,$C$132:$D139)</f>
        <v>18.074446032348924</v>
      </c>
      <c r="T139" s="273">
        <f ca="1">DSUM($B$117:$Y$125,T$132,$C$132:$D139)</f>
        <v>18.141543347721733</v>
      </c>
      <c r="U139" s="273">
        <f ca="1">DSUM($B$117:$Y$125,U$132,$C$132:$D139)</f>
        <v>18.179970637942048</v>
      </c>
      <c r="V139" s="273">
        <f ca="1">DSUM($B$117:$Y$125,V$132,$C$132:$D139)</f>
        <v>18.191286626964121</v>
      </c>
      <c r="W139" s="273">
        <f ca="1">DSUM($B$117:$Y$125,W$132,$C$132:$D139)</f>
        <v>18.176211038222796</v>
      </c>
      <c r="X139" s="273">
        <f ca="1">DSUM($B$117:$Y$125,X$132,$C$132:$D139)</f>
        <v>18.152209439007514</v>
      </c>
      <c r="Y139" s="198">
        <f ca="1">DSUM($B$117:$Y$125,Y$117,$C$132:$D139)</f>
        <v>123.72449000056638</v>
      </c>
    </row>
    <row r="140" spans="1:26">
      <c r="A140" s="24"/>
      <c r="B140" s="24" t="s">
        <v>648</v>
      </c>
      <c r="C140" s="272" t="s">
        <v>724</v>
      </c>
      <c r="D140" s="272" t="s">
        <v>725</v>
      </c>
      <c r="E140" s="273">
        <f ca="1">DSUM($B$117:$Y$125,E$132,$C$132:$D140)</f>
        <v>4.3910848161196387</v>
      </c>
      <c r="F140" s="273">
        <f ca="1">DSUM($B$117:$Y$125,F$132,$C$132:$D140)</f>
        <v>7.4367528257647644</v>
      </c>
      <c r="G140" s="273">
        <f ca="1">DSUM($B$117:$Y$125,G$132,$C$132:$D140)</f>
        <v>9.5171581412648099</v>
      </c>
      <c r="H140" s="273">
        <f ca="1">DSUM($B$117:$Y$125,H$132,$C$132:$D140)</f>
        <v>11.114331536267246</v>
      </c>
      <c r="I140" s="273">
        <f ca="1">DSUM($B$117:$Y$125,I$132,$C$132:$D140)</f>
        <v>12.495652594642026</v>
      </c>
      <c r="J140" s="273">
        <f ca="1">DSUM($B$117:$Y$125,J$132,$C$132:$D140)</f>
        <v>13.865543706927049</v>
      </c>
      <c r="K140" s="273">
        <f ca="1">DSUM($B$117:$Y$125,K$132,$C$132:$D140)</f>
        <v>14.814925472843582</v>
      </c>
      <c r="L140" s="273">
        <f ca="1">DSUM($B$117:$Y$125,L$132,$C$132:$D140)</f>
        <v>15.610384201702233</v>
      </c>
      <c r="M140" s="273">
        <f ca="1">DSUM($B$117:$Y$125,M$132,$C$132:$D140)</f>
        <v>16.280913024220393</v>
      </c>
      <c r="N140" s="273">
        <f ca="1">DSUM($B$117:$Y$125,N$132,$C$132:$D140)</f>
        <v>16.811084989231865</v>
      </c>
      <c r="O140" s="273">
        <f ca="1">DSUM($B$117:$Y$125,O$132,$C$132:$D140)</f>
        <v>17.242918007461952</v>
      </c>
      <c r="P140" s="273">
        <f ca="1">DSUM($B$117:$Y$125,P$132,$C$132:$D140)</f>
        <v>17.570710021067381</v>
      </c>
      <c r="Q140" s="273">
        <f ca="1">DSUM($B$117:$Y$125,Q$132,$C$132:$D140)</f>
        <v>17.800530466339413</v>
      </c>
      <c r="R140" s="273">
        <f ca="1">DSUM($B$117:$Y$125,R$132,$C$132:$D140)</f>
        <v>17.964993609714327</v>
      </c>
      <c r="S140" s="273">
        <f ca="1">DSUM($B$117:$Y$125,S$132,$C$132:$D140)</f>
        <v>18.074446032348924</v>
      </c>
      <c r="T140" s="273">
        <f ca="1">DSUM($B$117:$Y$125,T$132,$C$132:$D140)</f>
        <v>18.141543347721733</v>
      </c>
      <c r="U140" s="273">
        <f ca="1">DSUM($B$117:$Y$125,U$132,$C$132:$D140)</f>
        <v>18.179970637942048</v>
      </c>
      <c r="V140" s="273">
        <f ca="1">DSUM($B$117:$Y$125,V$132,$C$132:$D140)</f>
        <v>18.191286626964121</v>
      </c>
      <c r="W140" s="273">
        <f ca="1">DSUM($B$117:$Y$125,W$132,$C$132:$D140)</f>
        <v>18.176211038222796</v>
      </c>
      <c r="X140" s="273">
        <f ca="1">DSUM($B$117:$Y$125,X$132,$C$132:$D140)</f>
        <v>18.152209439007514</v>
      </c>
      <c r="Y140" s="198">
        <f ca="1">DSUM($B$117:$Y$125,Y$117,$C$132:$D140)</f>
        <v>123.72449000056638</v>
      </c>
    </row>
    <row r="141" spans="1:26">
      <c r="A141" s="24"/>
      <c r="B141" s="24" t="s">
        <v>649</v>
      </c>
      <c r="C141" s="272" t="s">
        <v>726</v>
      </c>
      <c r="D141" s="272" t="s">
        <v>727</v>
      </c>
      <c r="E141" s="273">
        <f ca="1">DSUM($B$117:$Y$125,E$132,$C$132:$D141)</f>
        <v>4.3910848161196387</v>
      </c>
      <c r="F141" s="273">
        <f ca="1">DSUM($B$117:$Y$125,F$132,$C$132:$D141)</f>
        <v>7.4367528257647644</v>
      </c>
      <c r="G141" s="273">
        <f ca="1">DSUM($B$117:$Y$125,G$132,$C$132:$D141)</f>
        <v>9.5171581412648099</v>
      </c>
      <c r="H141" s="273">
        <f ca="1">DSUM($B$117:$Y$125,H$132,$C$132:$D141)</f>
        <v>11.114331536267246</v>
      </c>
      <c r="I141" s="273">
        <f ca="1">DSUM($B$117:$Y$125,I$132,$C$132:$D141)</f>
        <v>12.495652594642026</v>
      </c>
      <c r="J141" s="273">
        <f ca="1">DSUM($B$117:$Y$125,J$132,$C$132:$D141)</f>
        <v>13.865543706927049</v>
      </c>
      <c r="K141" s="273">
        <f ca="1">DSUM($B$117:$Y$125,K$132,$C$132:$D141)</f>
        <v>14.814925472843582</v>
      </c>
      <c r="L141" s="273">
        <f ca="1">DSUM($B$117:$Y$125,L$132,$C$132:$D141)</f>
        <v>15.610384201702233</v>
      </c>
      <c r="M141" s="273">
        <f ca="1">DSUM($B$117:$Y$125,M$132,$C$132:$D141)</f>
        <v>16.280913024220393</v>
      </c>
      <c r="N141" s="273">
        <f ca="1">DSUM($B$117:$Y$125,N$132,$C$132:$D141)</f>
        <v>16.811084989231865</v>
      </c>
      <c r="O141" s="273">
        <f ca="1">DSUM($B$117:$Y$125,O$132,$C$132:$D141)</f>
        <v>17.242918007461952</v>
      </c>
      <c r="P141" s="273">
        <f ca="1">DSUM($B$117:$Y$125,P$132,$C$132:$D141)</f>
        <v>17.570710021067381</v>
      </c>
      <c r="Q141" s="273">
        <f ca="1">DSUM($B$117:$Y$125,Q$132,$C$132:$D141)</f>
        <v>17.800530466339413</v>
      </c>
      <c r="R141" s="273">
        <f ca="1">DSUM($B$117:$Y$125,R$132,$C$132:$D141)</f>
        <v>17.964993609714327</v>
      </c>
      <c r="S141" s="273">
        <f ca="1">DSUM($B$117:$Y$125,S$132,$C$132:$D141)</f>
        <v>18.074446032348924</v>
      </c>
      <c r="T141" s="273">
        <f ca="1">DSUM($B$117:$Y$125,T$132,$C$132:$D141)</f>
        <v>18.141543347721733</v>
      </c>
      <c r="U141" s="273">
        <f ca="1">DSUM($B$117:$Y$125,U$132,$C$132:$D141)</f>
        <v>18.179970637942048</v>
      </c>
      <c r="V141" s="273">
        <f ca="1">DSUM($B$117:$Y$125,V$132,$C$132:$D141)</f>
        <v>18.191286626964121</v>
      </c>
      <c r="W141" s="273">
        <f ca="1">DSUM($B$117:$Y$125,W$132,$C$132:$D141)</f>
        <v>18.176211038222796</v>
      </c>
      <c r="X141" s="273">
        <f ca="1">DSUM($B$117:$Y$125,X$132,$C$132:$D141)</f>
        <v>18.152209439007514</v>
      </c>
      <c r="Y141" s="198">
        <f ca="1">DSUM($B$117:$Y$125,Y$117,$C$132:$D141)</f>
        <v>123.72449000056638</v>
      </c>
    </row>
    <row r="142" spans="1:26">
      <c r="A142" s="24"/>
      <c r="B142" s="24" t="s">
        <v>650</v>
      </c>
      <c r="C142" s="272" t="s">
        <v>728</v>
      </c>
      <c r="D142" s="272" t="s">
        <v>729</v>
      </c>
      <c r="E142" s="273">
        <f ca="1">DSUM($B$117:$Y$125,E$132,$C$132:$D142)</f>
        <v>4.3910848161196387</v>
      </c>
      <c r="F142" s="273">
        <f ca="1">DSUM($B$117:$Y$125,F$132,$C$132:$D142)</f>
        <v>7.4367528257647644</v>
      </c>
      <c r="G142" s="273">
        <f ca="1">DSUM($B$117:$Y$125,G$132,$C$132:$D142)</f>
        <v>9.5171581412648099</v>
      </c>
      <c r="H142" s="273">
        <f ca="1">DSUM($B$117:$Y$125,H$132,$C$132:$D142)</f>
        <v>11.114331536267246</v>
      </c>
      <c r="I142" s="273">
        <f ca="1">DSUM($B$117:$Y$125,I$132,$C$132:$D142)</f>
        <v>12.495652594642026</v>
      </c>
      <c r="J142" s="273">
        <f ca="1">DSUM($B$117:$Y$125,J$132,$C$132:$D142)</f>
        <v>13.865543706927049</v>
      </c>
      <c r="K142" s="273">
        <f ca="1">DSUM($B$117:$Y$125,K$132,$C$132:$D142)</f>
        <v>14.814925472843582</v>
      </c>
      <c r="L142" s="273">
        <f ca="1">DSUM($B$117:$Y$125,L$132,$C$132:$D142)</f>
        <v>15.610384201702233</v>
      </c>
      <c r="M142" s="273">
        <f ca="1">DSUM($B$117:$Y$125,M$132,$C$132:$D142)</f>
        <v>16.280913024220393</v>
      </c>
      <c r="N142" s="273">
        <f ca="1">DSUM($B$117:$Y$125,N$132,$C$132:$D142)</f>
        <v>16.811084989231865</v>
      </c>
      <c r="O142" s="273">
        <f ca="1">DSUM($B$117:$Y$125,O$132,$C$132:$D142)</f>
        <v>17.242918007461952</v>
      </c>
      <c r="P142" s="273">
        <f ca="1">DSUM($B$117:$Y$125,P$132,$C$132:$D142)</f>
        <v>17.570710021067381</v>
      </c>
      <c r="Q142" s="273">
        <f ca="1">DSUM($B$117:$Y$125,Q$132,$C$132:$D142)</f>
        <v>17.800530466339413</v>
      </c>
      <c r="R142" s="273">
        <f ca="1">DSUM($B$117:$Y$125,R$132,$C$132:$D142)</f>
        <v>17.964993609714327</v>
      </c>
      <c r="S142" s="273">
        <f ca="1">DSUM($B$117:$Y$125,S$132,$C$132:$D142)</f>
        <v>18.074446032348924</v>
      </c>
      <c r="T142" s="273">
        <f ca="1">DSUM($B$117:$Y$125,T$132,$C$132:$D142)</f>
        <v>18.141543347721733</v>
      </c>
      <c r="U142" s="273">
        <f ca="1">DSUM($B$117:$Y$125,U$132,$C$132:$D142)</f>
        <v>18.179970637942048</v>
      </c>
      <c r="V142" s="273">
        <f ca="1">DSUM($B$117:$Y$125,V$132,$C$132:$D142)</f>
        <v>18.191286626964121</v>
      </c>
      <c r="W142" s="273">
        <f ca="1">DSUM($B$117:$Y$125,W$132,$C$132:$D142)</f>
        <v>18.176211038222796</v>
      </c>
      <c r="X142" s="273">
        <f ca="1">DSUM($B$117:$Y$125,X$132,$C$132:$D142)</f>
        <v>18.152209439007514</v>
      </c>
      <c r="Y142" s="198">
        <f ca="1">DSUM($B$117:$Y$125,Y$117,$C$132:$D142)</f>
        <v>123.72449000056638</v>
      </c>
    </row>
    <row r="143" spans="1:26">
      <c r="A143" s="24"/>
      <c r="B143" s="24" t="s">
        <v>651</v>
      </c>
      <c r="C143" s="272" t="s">
        <v>730</v>
      </c>
      <c r="D143" s="272" t="s">
        <v>731</v>
      </c>
      <c r="E143" s="273">
        <f ca="1">DSUM($B$117:$Y$125,E$132,$C$132:$D143)</f>
        <v>4.3910848161196387</v>
      </c>
      <c r="F143" s="273">
        <f ca="1">DSUM($B$117:$Y$125,F$132,$C$132:$D143)</f>
        <v>7.4367528257647644</v>
      </c>
      <c r="G143" s="273">
        <f ca="1">DSUM($B$117:$Y$125,G$132,$C$132:$D143)</f>
        <v>9.5171581412648099</v>
      </c>
      <c r="H143" s="273">
        <f ca="1">DSUM($B$117:$Y$125,H$132,$C$132:$D143)</f>
        <v>11.114331536267246</v>
      </c>
      <c r="I143" s="273">
        <f ca="1">DSUM($B$117:$Y$125,I$132,$C$132:$D143)</f>
        <v>12.495652594642026</v>
      </c>
      <c r="J143" s="273">
        <f ca="1">DSUM($B$117:$Y$125,J$132,$C$132:$D143)</f>
        <v>13.865543706927049</v>
      </c>
      <c r="K143" s="273">
        <f ca="1">DSUM($B$117:$Y$125,K$132,$C$132:$D143)</f>
        <v>14.814925472843582</v>
      </c>
      <c r="L143" s="273">
        <f ca="1">DSUM($B$117:$Y$125,L$132,$C$132:$D143)</f>
        <v>15.610384201702233</v>
      </c>
      <c r="M143" s="273">
        <f ca="1">DSUM($B$117:$Y$125,M$132,$C$132:$D143)</f>
        <v>16.280913024220393</v>
      </c>
      <c r="N143" s="273">
        <f ca="1">DSUM($B$117:$Y$125,N$132,$C$132:$D143)</f>
        <v>16.811084989231865</v>
      </c>
      <c r="O143" s="273">
        <f ca="1">DSUM($B$117:$Y$125,O$132,$C$132:$D143)</f>
        <v>17.242918007461952</v>
      </c>
      <c r="P143" s="273">
        <f ca="1">DSUM($B$117:$Y$125,P$132,$C$132:$D143)</f>
        <v>17.570710021067381</v>
      </c>
      <c r="Q143" s="273">
        <f ca="1">DSUM($B$117:$Y$125,Q$132,$C$132:$D143)</f>
        <v>17.800530466339413</v>
      </c>
      <c r="R143" s="273">
        <f ca="1">DSUM($B$117:$Y$125,R$132,$C$132:$D143)</f>
        <v>17.964993609714327</v>
      </c>
      <c r="S143" s="273">
        <f ca="1">DSUM($B$117:$Y$125,S$132,$C$132:$D143)</f>
        <v>18.074446032348924</v>
      </c>
      <c r="T143" s="273">
        <f ca="1">DSUM($B$117:$Y$125,T$132,$C$132:$D143)</f>
        <v>18.141543347721733</v>
      </c>
      <c r="U143" s="273">
        <f ca="1">DSUM($B$117:$Y$125,U$132,$C$132:$D143)</f>
        <v>18.179970637942048</v>
      </c>
      <c r="V143" s="273">
        <f ca="1">DSUM($B$117:$Y$125,V$132,$C$132:$D143)</f>
        <v>18.191286626964121</v>
      </c>
      <c r="W143" s="273">
        <f ca="1">DSUM($B$117:$Y$125,W$132,$C$132:$D143)</f>
        <v>18.176211038222796</v>
      </c>
      <c r="X143" s="273">
        <f ca="1">DSUM($B$117:$Y$125,X$132,$C$132:$D143)</f>
        <v>18.152209439007514</v>
      </c>
      <c r="Y143" s="198">
        <f ca="1">DSUM($B$117:$Y$125,Y$117,$C$132:$D143)</f>
        <v>123.72449000056638</v>
      </c>
    </row>
    <row r="144" spans="1:26">
      <c r="A144" s="24"/>
      <c r="B144" s="24" t="s">
        <v>652</v>
      </c>
      <c r="C144" s="272" t="s">
        <v>732</v>
      </c>
      <c r="D144" s="272" t="s">
        <v>733</v>
      </c>
      <c r="E144" s="273">
        <f ca="1">DSUM($B$117:$Y$125,E$132,$C$132:$D144)</f>
        <v>4.3910848161196387</v>
      </c>
      <c r="F144" s="273">
        <f ca="1">DSUM($B$117:$Y$125,F$132,$C$132:$D144)</f>
        <v>7.4367528257647644</v>
      </c>
      <c r="G144" s="273">
        <f ca="1">DSUM($B$117:$Y$125,G$132,$C$132:$D144)</f>
        <v>9.5171581412648099</v>
      </c>
      <c r="H144" s="273">
        <f ca="1">DSUM($B$117:$Y$125,H$132,$C$132:$D144)</f>
        <v>11.114331536267246</v>
      </c>
      <c r="I144" s="273">
        <f ca="1">DSUM($B$117:$Y$125,I$132,$C$132:$D144)</f>
        <v>12.495652594642026</v>
      </c>
      <c r="J144" s="273">
        <f ca="1">DSUM($B$117:$Y$125,J$132,$C$132:$D144)</f>
        <v>13.865543706927049</v>
      </c>
      <c r="K144" s="273">
        <f ca="1">DSUM($B$117:$Y$125,K$132,$C$132:$D144)</f>
        <v>14.814925472843582</v>
      </c>
      <c r="L144" s="273">
        <f ca="1">DSUM($B$117:$Y$125,L$132,$C$132:$D144)</f>
        <v>15.610384201702233</v>
      </c>
      <c r="M144" s="273">
        <f ca="1">DSUM($B$117:$Y$125,M$132,$C$132:$D144)</f>
        <v>16.280913024220393</v>
      </c>
      <c r="N144" s="273">
        <f ca="1">DSUM($B$117:$Y$125,N$132,$C$132:$D144)</f>
        <v>16.811084989231865</v>
      </c>
      <c r="O144" s="273">
        <f ca="1">DSUM($B$117:$Y$125,O$132,$C$132:$D144)</f>
        <v>17.242918007461952</v>
      </c>
      <c r="P144" s="273">
        <f ca="1">DSUM($B$117:$Y$125,P$132,$C$132:$D144)</f>
        <v>17.570710021067381</v>
      </c>
      <c r="Q144" s="273">
        <f ca="1">DSUM($B$117:$Y$125,Q$132,$C$132:$D144)</f>
        <v>17.800530466339413</v>
      </c>
      <c r="R144" s="273">
        <f ca="1">DSUM($B$117:$Y$125,R$132,$C$132:$D144)</f>
        <v>17.964993609714327</v>
      </c>
      <c r="S144" s="273">
        <f ca="1">DSUM($B$117:$Y$125,S$132,$C$132:$D144)</f>
        <v>18.074446032348924</v>
      </c>
      <c r="T144" s="273">
        <f ca="1">DSUM($B$117:$Y$125,T$132,$C$132:$D144)</f>
        <v>18.141543347721733</v>
      </c>
      <c r="U144" s="273">
        <f ca="1">DSUM($B$117:$Y$125,U$132,$C$132:$D144)</f>
        <v>18.179970637942048</v>
      </c>
      <c r="V144" s="273">
        <f ca="1">DSUM($B$117:$Y$125,V$132,$C$132:$D144)</f>
        <v>18.191286626964121</v>
      </c>
      <c r="W144" s="273">
        <f ca="1">DSUM($B$117:$Y$125,W$132,$C$132:$D144)</f>
        <v>18.176211038222796</v>
      </c>
      <c r="X144" s="273">
        <f ca="1">DSUM($B$117:$Y$125,X$132,$C$132:$D144)</f>
        <v>18.152209439007514</v>
      </c>
      <c r="Y144" s="198">
        <f ca="1">DSUM($B$117:$Y$125,Y$117,$C$132:$D144)</f>
        <v>123.72449000056638</v>
      </c>
    </row>
    <row r="145" spans="1:25">
      <c r="A145" s="24"/>
      <c r="B145" s="24" t="s">
        <v>653</v>
      </c>
      <c r="C145" s="272" t="s">
        <v>734</v>
      </c>
      <c r="D145" s="272" t="s">
        <v>735</v>
      </c>
      <c r="E145" s="273">
        <f ca="1">DSUM($B$117:$Y$125,E$132,$C$132:$D145)</f>
        <v>4.3910848161196387</v>
      </c>
      <c r="F145" s="273">
        <f ca="1">DSUM($B$117:$Y$125,F$132,$C$132:$D145)</f>
        <v>7.4367528257647644</v>
      </c>
      <c r="G145" s="273">
        <f ca="1">DSUM($B$117:$Y$125,G$132,$C$132:$D145)</f>
        <v>9.5171581412648099</v>
      </c>
      <c r="H145" s="273">
        <f ca="1">DSUM($B$117:$Y$125,H$132,$C$132:$D145)</f>
        <v>11.114331536267246</v>
      </c>
      <c r="I145" s="273">
        <f ca="1">DSUM($B$117:$Y$125,I$132,$C$132:$D145)</f>
        <v>12.495652594642026</v>
      </c>
      <c r="J145" s="273">
        <f ca="1">DSUM($B$117:$Y$125,J$132,$C$132:$D145)</f>
        <v>13.865543706927049</v>
      </c>
      <c r="K145" s="273">
        <f ca="1">DSUM($B$117:$Y$125,K$132,$C$132:$D145)</f>
        <v>14.814925472843582</v>
      </c>
      <c r="L145" s="273">
        <f ca="1">DSUM($B$117:$Y$125,L$132,$C$132:$D145)</f>
        <v>15.610384201702233</v>
      </c>
      <c r="M145" s="273">
        <f ca="1">DSUM($B$117:$Y$125,M$132,$C$132:$D145)</f>
        <v>16.280913024220393</v>
      </c>
      <c r="N145" s="273">
        <f ca="1">DSUM($B$117:$Y$125,N$132,$C$132:$D145)</f>
        <v>16.811084989231865</v>
      </c>
      <c r="O145" s="273">
        <f ca="1">DSUM($B$117:$Y$125,O$132,$C$132:$D145)</f>
        <v>17.242918007461952</v>
      </c>
      <c r="P145" s="273">
        <f ca="1">DSUM($B$117:$Y$125,P$132,$C$132:$D145)</f>
        <v>17.570710021067381</v>
      </c>
      <c r="Q145" s="273">
        <f ca="1">DSUM($B$117:$Y$125,Q$132,$C$132:$D145)</f>
        <v>17.800530466339413</v>
      </c>
      <c r="R145" s="273">
        <f ca="1">DSUM($B$117:$Y$125,R$132,$C$132:$D145)</f>
        <v>17.964993609714327</v>
      </c>
      <c r="S145" s="273">
        <f ca="1">DSUM($B$117:$Y$125,S$132,$C$132:$D145)</f>
        <v>18.074446032348924</v>
      </c>
      <c r="T145" s="273">
        <f ca="1">DSUM($B$117:$Y$125,T$132,$C$132:$D145)</f>
        <v>18.141543347721733</v>
      </c>
      <c r="U145" s="273">
        <f ca="1">DSUM($B$117:$Y$125,U$132,$C$132:$D145)</f>
        <v>18.179970637942048</v>
      </c>
      <c r="V145" s="273">
        <f ca="1">DSUM($B$117:$Y$125,V$132,$C$132:$D145)</f>
        <v>18.191286626964121</v>
      </c>
      <c r="W145" s="273">
        <f ca="1">DSUM($B$117:$Y$125,W$132,$C$132:$D145)</f>
        <v>18.176211038222796</v>
      </c>
      <c r="X145" s="273">
        <f ca="1">DSUM($B$117:$Y$125,X$132,$C$132:$D145)</f>
        <v>18.152209439007514</v>
      </c>
      <c r="Y145" s="198">
        <f ca="1">DSUM($B$117:$Y$125,Y$117,$C$132:$D145)</f>
        <v>123.72449000056638</v>
      </c>
    </row>
    <row r="146" spans="1:25">
      <c r="A146" s="24"/>
      <c r="B146" s="24" t="s">
        <v>654</v>
      </c>
      <c r="C146" s="272" t="s">
        <v>736</v>
      </c>
      <c r="D146" s="272" t="s">
        <v>737</v>
      </c>
      <c r="E146" s="273">
        <f ca="1">DSUM($B$117:$Y$125,E$132,$C$132:$D146)</f>
        <v>4.3910848161196387</v>
      </c>
      <c r="F146" s="273">
        <f ca="1">DSUM($B$117:$Y$125,F$132,$C$132:$D146)</f>
        <v>7.4367528257647644</v>
      </c>
      <c r="G146" s="273">
        <f ca="1">DSUM($B$117:$Y$125,G$132,$C$132:$D146)</f>
        <v>9.5171581412648099</v>
      </c>
      <c r="H146" s="273">
        <f ca="1">DSUM($B$117:$Y$125,H$132,$C$132:$D146)</f>
        <v>11.114331536267246</v>
      </c>
      <c r="I146" s="273">
        <f ca="1">DSUM($B$117:$Y$125,I$132,$C$132:$D146)</f>
        <v>12.495652594642026</v>
      </c>
      <c r="J146" s="273">
        <f ca="1">DSUM($B$117:$Y$125,J$132,$C$132:$D146)</f>
        <v>13.865543706927049</v>
      </c>
      <c r="K146" s="273">
        <f ca="1">DSUM($B$117:$Y$125,K$132,$C$132:$D146)</f>
        <v>14.814925472843582</v>
      </c>
      <c r="L146" s="273">
        <f ca="1">DSUM($B$117:$Y$125,L$132,$C$132:$D146)</f>
        <v>15.610384201702233</v>
      </c>
      <c r="M146" s="273">
        <f ca="1">DSUM($B$117:$Y$125,M$132,$C$132:$D146)</f>
        <v>16.280913024220393</v>
      </c>
      <c r="N146" s="273">
        <f ca="1">DSUM($B$117:$Y$125,N$132,$C$132:$D146)</f>
        <v>16.811084989231865</v>
      </c>
      <c r="O146" s="273">
        <f ca="1">DSUM($B$117:$Y$125,O$132,$C$132:$D146)</f>
        <v>17.242918007461952</v>
      </c>
      <c r="P146" s="273">
        <f ca="1">DSUM($B$117:$Y$125,P$132,$C$132:$D146)</f>
        <v>17.570710021067381</v>
      </c>
      <c r="Q146" s="273">
        <f ca="1">DSUM($B$117:$Y$125,Q$132,$C$132:$D146)</f>
        <v>17.800530466339413</v>
      </c>
      <c r="R146" s="273">
        <f ca="1">DSUM($B$117:$Y$125,R$132,$C$132:$D146)</f>
        <v>17.964993609714327</v>
      </c>
      <c r="S146" s="273">
        <f ca="1">DSUM($B$117:$Y$125,S$132,$C$132:$D146)</f>
        <v>18.074446032348924</v>
      </c>
      <c r="T146" s="273">
        <f ca="1">DSUM($B$117:$Y$125,T$132,$C$132:$D146)</f>
        <v>18.141543347721733</v>
      </c>
      <c r="U146" s="273">
        <f ca="1">DSUM($B$117:$Y$125,U$132,$C$132:$D146)</f>
        <v>18.179970637942048</v>
      </c>
      <c r="V146" s="273">
        <f ca="1">DSUM($B$117:$Y$125,V$132,$C$132:$D146)</f>
        <v>18.191286626964121</v>
      </c>
      <c r="W146" s="273">
        <f ca="1">DSUM($B$117:$Y$125,W$132,$C$132:$D146)</f>
        <v>18.176211038222796</v>
      </c>
      <c r="X146" s="273">
        <f ca="1">DSUM($B$117:$Y$125,X$132,$C$132:$D146)</f>
        <v>18.152209439007514</v>
      </c>
      <c r="Y146" s="198">
        <f ca="1">DSUM($B$117:$Y$125,Y$117,$C$132:$D146)</f>
        <v>123.72449000056638</v>
      </c>
    </row>
    <row r="147" spans="1:25">
      <c r="A147" s="24"/>
      <c r="B147" s="24" t="s">
        <v>655</v>
      </c>
      <c r="C147" s="272" t="s">
        <v>738</v>
      </c>
      <c r="D147" s="272" t="s">
        <v>739</v>
      </c>
      <c r="E147" s="273">
        <f ca="1">DSUM($B$117:$Y$125,E$132,$C$132:$D147)</f>
        <v>4.3910848161196387</v>
      </c>
      <c r="F147" s="273">
        <f ca="1">DSUM($B$117:$Y$125,F$132,$C$132:$D147)</f>
        <v>7.4367528257647644</v>
      </c>
      <c r="G147" s="273">
        <f ca="1">DSUM($B$117:$Y$125,G$132,$C$132:$D147)</f>
        <v>9.5171581412648099</v>
      </c>
      <c r="H147" s="273">
        <f ca="1">DSUM($B$117:$Y$125,H$132,$C$132:$D147)</f>
        <v>11.114331536267246</v>
      </c>
      <c r="I147" s="273">
        <f ca="1">DSUM($B$117:$Y$125,I$132,$C$132:$D147)</f>
        <v>12.495652594642026</v>
      </c>
      <c r="J147" s="273">
        <f ca="1">DSUM($B$117:$Y$125,J$132,$C$132:$D147)</f>
        <v>13.865543706927049</v>
      </c>
      <c r="K147" s="273">
        <f ca="1">DSUM($B$117:$Y$125,K$132,$C$132:$D147)</f>
        <v>14.814925472843582</v>
      </c>
      <c r="L147" s="273">
        <f ca="1">DSUM($B$117:$Y$125,L$132,$C$132:$D147)</f>
        <v>15.610384201702233</v>
      </c>
      <c r="M147" s="273">
        <f ca="1">DSUM($B$117:$Y$125,M$132,$C$132:$D147)</f>
        <v>16.280913024220393</v>
      </c>
      <c r="N147" s="273">
        <f ca="1">DSUM($B$117:$Y$125,N$132,$C$132:$D147)</f>
        <v>16.811084989231865</v>
      </c>
      <c r="O147" s="273">
        <f ca="1">DSUM($B$117:$Y$125,O$132,$C$132:$D147)</f>
        <v>17.242918007461952</v>
      </c>
      <c r="P147" s="273">
        <f ca="1">DSUM($B$117:$Y$125,P$132,$C$132:$D147)</f>
        <v>17.570710021067381</v>
      </c>
      <c r="Q147" s="273">
        <f ca="1">DSUM($B$117:$Y$125,Q$132,$C$132:$D147)</f>
        <v>17.800530466339413</v>
      </c>
      <c r="R147" s="273">
        <f ca="1">DSUM($B$117:$Y$125,R$132,$C$132:$D147)</f>
        <v>17.964993609714327</v>
      </c>
      <c r="S147" s="273">
        <f ca="1">DSUM($B$117:$Y$125,S$132,$C$132:$D147)</f>
        <v>18.074446032348924</v>
      </c>
      <c r="T147" s="273">
        <f ca="1">DSUM($B$117:$Y$125,T$132,$C$132:$D147)</f>
        <v>18.141543347721733</v>
      </c>
      <c r="U147" s="273">
        <f ca="1">DSUM($B$117:$Y$125,U$132,$C$132:$D147)</f>
        <v>18.179970637942048</v>
      </c>
      <c r="V147" s="273">
        <f ca="1">DSUM($B$117:$Y$125,V$132,$C$132:$D147)</f>
        <v>18.191286626964121</v>
      </c>
      <c r="W147" s="273">
        <f ca="1">DSUM($B$117:$Y$125,W$132,$C$132:$D147)</f>
        <v>18.176211038222796</v>
      </c>
      <c r="X147" s="273">
        <f ca="1">DSUM($B$117:$Y$125,X$132,$C$132:$D147)</f>
        <v>18.152209439007514</v>
      </c>
      <c r="Y147" s="198">
        <f ca="1">DSUM($B$117:$Y$125,Y$117,$C$132:$D147)</f>
        <v>123.72449000056638</v>
      </c>
    </row>
    <row r="148" spans="1:25">
      <c r="A148" s="24"/>
      <c r="B148" s="24" t="s">
        <v>656</v>
      </c>
      <c r="C148" s="272" t="s">
        <v>740</v>
      </c>
      <c r="D148" s="272" t="s">
        <v>741</v>
      </c>
      <c r="E148" s="273">
        <f ca="1">DSUM($B$117:$Y$125,E$132,$C$132:$D148)</f>
        <v>4.3910848161196387</v>
      </c>
      <c r="F148" s="273">
        <f ca="1">DSUM($B$117:$Y$125,F$132,$C$132:$D148)</f>
        <v>7.4367528257647644</v>
      </c>
      <c r="G148" s="273">
        <f ca="1">DSUM($B$117:$Y$125,G$132,$C$132:$D148)</f>
        <v>9.5171581412648099</v>
      </c>
      <c r="H148" s="273">
        <f ca="1">DSUM($B$117:$Y$125,H$132,$C$132:$D148)</f>
        <v>11.114331536267246</v>
      </c>
      <c r="I148" s="273">
        <f ca="1">DSUM($B$117:$Y$125,I$132,$C$132:$D148)</f>
        <v>12.495652594642026</v>
      </c>
      <c r="J148" s="273">
        <f ca="1">DSUM($B$117:$Y$125,J$132,$C$132:$D148)</f>
        <v>13.865543706927049</v>
      </c>
      <c r="K148" s="273">
        <f ca="1">DSUM($B$117:$Y$125,K$132,$C$132:$D148)</f>
        <v>14.814925472843582</v>
      </c>
      <c r="L148" s="273">
        <f ca="1">DSUM($B$117:$Y$125,L$132,$C$132:$D148)</f>
        <v>15.610384201702233</v>
      </c>
      <c r="M148" s="273">
        <f ca="1">DSUM($B$117:$Y$125,M$132,$C$132:$D148)</f>
        <v>16.280913024220393</v>
      </c>
      <c r="N148" s="273">
        <f ca="1">DSUM($B$117:$Y$125,N$132,$C$132:$D148)</f>
        <v>16.811084989231865</v>
      </c>
      <c r="O148" s="273">
        <f ca="1">DSUM($B$117:$Y$125,O$132,$C$132:$D148)</f>
        <v>17.242918007461952</v>
      </c>
      <c r="P148" s="273">
        <f ca="1">DSUM($B$117:$Y$125,P$132,$C$132:$D148)</f>
        <v>17.570710021067381</v>
      </c>
      <c r="Q148" s="273">
        <f ca="1">DSUM($B$117:$Y$125,Q$132,$C$132:$D148)</f>
        <v>17.800530466339413</v>
      </c>
      <c r="R148" s="273">
        <f ca="1">DSUM($B$117:$Y$125,R$132,$C$132:$D148)</f>
        <v>17.964993609714327</v>
      </c>
      <c r="S148" s="273">
        <f ca="1">DSUM($B$117:$Y$125,S$132,$C$132:$D148)</f>
        <v>18.074446032348924</v>
      </c>
      <c r="T148" s="273">
        <f ca="1">DSUM($B$117:$Y$125,T$132,$C$132:$D148)</f>
        <v>18.141543347721733</v>
      </c>
      <c r="U148" s="273">
        <f ca="1">DSUM($B$117:$Y$125,U$132,$C$132:$D148)</f>
        <v>18.179970637942048</v>
      </c>
      <c r="V148" s="273">
        <f ca="1">DSUM($B$117:$Y$125,V$132,$C$132:$D148)</f>
        <v>18.191286626964121</v>
      </c>
      <c r="W148" s="273">
        <f ca="1">DSUM($B$117:$Y$125,W$132,$C$132:$D148)</f>
        <v>18.176211038222796</v>
      </c>
      <c r="X148" s="273">
        <f ca="1">DSUM($B$117:$Y$125,X$132,$C$132:$D148)</f>
        <v>18.152209439007514</v>
      </c>
      <c r="Y148" s="198">
        <f ca="1">DSUM($B$117:$Y$125,Y$117,$C$132:$D148)</f>
        <v>123.72449000056638</v>
      </c>
    </row>
    <row r="149" spans="1:25">
      <c r="A149" s="24"/>
      <c r="B149" s="24" t="s">
        <v>657</v>
      </c>
      <c r="C149" s="272" t="s">
        <v>742</v>
      </c>
      <c r="D149" s="272" t="s">
        <v>743</v>
      </c>
      <c r="E149" s="273">
        <f ca="1">DSUM($B$117:$Y$125,E$132,$C$132:$D149)</f>
        <v>4.3910848161196387</v>
      </c>
      <c r="F149" s="273">
        <f ca="1">DSUM($B$117:$Y$125,F$132,$C$132:$D149)</f>
        <v>7.4367528257647644</v>
      </c>
      <c r="G149" s="273">
        <f ca="1">DSUM($B$117:$Y$125,G$132,$C$132:$D149)</f>
        <v>9.5171581412648099</v>
      </c>
      <c r="H149" s="273">
        <f ca="1">DSUM($B$117:$Y$125,H$132,$C$132:$D149)</f>
        <v>11.114331536267246</v>
      </c>
      <c r="I149" s="273">
        <f ca="1">DSUM($B$117:$Y$125,I$132,$C$132:$D149)</f>
        <v>12.495652594642026</v>
      </c>
      <c r="J149" s="273">
        <f ca="1">DSUM($B$117:$Y$125,J$132,$C$132:$D149)</f>
        <v>13.865543706927049</v>
      </c>
      <c r="K149" s="273">
        <f ca="1">DSUM($B$117:$Y$125,K$132,$C$132:$D149)</f>
        <v>14.814925472843582</v>
      </c>
      <c r="L149" s="273">
        <f ca="1">DSUM($B$117:$Y$125,L$132,$C$132:$D149)</f>
        <v>15.610384201702233</v>
      </c>
      <c r="M149" s="273">
        <f ca="1">DSUM($B$117:$Y$125,M$132,$C$132:$D149)</f>
        <v>16.280913024220393</v>
      </c>
      <c r="N149" s="273">
        <f ca="1">DSUM($B$117:$Y$125,N$132,$C$132:$D149)</f>
        <v>16.811084989231865</v>
      </c>
      <c r="O149" s="273">
        <f ca="1">DSUM($B$117:$Y$125,O$132,$C$132:$D149)</f>
        <v>17.242918007461952</v>
      </c>
      <c r="P149" s="273">
        <f ca="1">DSUM($B$117:$Y$125,P$132,$C$132:$D149)</f>
        <v>17.570710021067381</v>
      </c>
      <c r="Q149" s="273">
        <f ca="1">DSUM($B$117:$Y$125,Q$132,$C$132:$D149)</f>
        <v>17.800530466339413</v>
      </c>
      <c r="R149" s="273">
        <f ca="1">DSUM($B$117:$Y$125,R$132,$C$132:$D149)</f>
        <v>17.964993609714327</v>
      </c>
      <c r="S149" s="273">
        <f ca="1">DSUM($B$117:$Y$125,S$132,$C$132:$D149)</f>
        <v>18.074446032348924</v>
      </c>
      <c r="T149" s="273">
        <f ca="1">DSUM($B$117:$Y$125,T$132,$C$132:$D149)</f>
        <v>18.141543347721733</v>
      </c>
      <c r="U149" s="273">
        <f ca="1">DSUM($B$117:$Y$125,U$132,$C$132:$D149)</f>
        <v>18.179970637942048</v>
      </c>
      <c r="V149" s="273">
        <f ca="1">DSUM($B$117:$Y$125,V$132,$C$132:$D149)</f>
        <v>18.191286626964121</v>
      </c>
      <c r="W149" s="273">
        <f ca="1">DSUM($B$117:$Y$125,W$132,$C$132:$D149)</f>
        <v>18.176211038222796</v>
      </c>
      <c r="X149" s="273">
        <f ca="1">DSUM($B$117:$Y$125,X$132,$C$132:$D149)</f>
        <v>18.152209439007514</v>
      </c>
      <c r="Y149" s="198">
        <f ca="1">DSUM($B$117:$Y$125,Y$117,$C$132:$D149)</f>
        <v>123.72449000056638</v>
      </c>
    </row>
    <row r="150" spans="1:25">
      <c r="A150" s="24"/>
      <c r="B150" s="24" t="s">
        <v>658</v>
      </c>
      <c r="C150" s="272" t="s">
        <v>744</v>
      </c>
      <c r="D150" s="272" t="s">
        <v>745</v>
      </c>
      <c r="E150" s="273">
        <f ca="1">DSUM($B$117:$Y$125,E$132,$C$132:$D150)</f>
        <v>4.3910848161196387</v>
      </c>
      <c r="F150" s="273">
        <f ca="1">DSUM($B$117:$Y$125,F$132,$C$132:$D150)</f>
        <v>7.4367528257647644</v>
      </c>
      <c r="G150" s="273">
        <f ca="1">DSUM($B$117:$Y$125,G$132,$C$132:$D150)</f>
        <v>9.5171581412648099</v>
      </c>
      <c r="H150" s="273">
        <f ca="1">DSUM($B$117:$Y$125,H$132,$C$132:$D150)</f>
        <v>11.114331536267246</v>
      </c>
      <c r="I150" s="273">
        <f ca="1">DSUM($B$117:$Y$125,I$132,$C$132:$D150)</f>
        <v>12.495652594642026</v>
      </c>
      <c r="J150" s="273">
        <f ca="1">DSUM($B$117:$Y$125,J$132,$C$132:$D150)</f>
        <v>13.865543706927049</v>
      </c>
      <c r="K150" s="273">
        <f ca="1">DSUM($B$117:$Y$125,K$132,$C$132:$D150)</f>
        <v>14.814925472843582</v>
      </c>
      <c r="L150" s="273">
        <f ca="1">DSUM($B$117:$Y$125,L$132,$C$132:$D150)</f>
        <v>15.610384201702233</v>
      </c>
      <c r="M150" s="273">
        <f ca="1">DSUM($B$117:$Y$125,M$132,$C$132:$D150)</f>
        <v>16.280913024220393</v>
      </c>
      <c r="N150" s="273">
        <f ca="1">DSUM($B$117:$Y$125,N$132,$C$132:$D150)</f>
        <v>16.811084989231865</v>
      </c>
      <c r="O150" s="273">
        <f ca="1">DSUM($B$117:$Y$125,O$132,$C$132:$D150)</f>
        <v>17.242918007461952</v>
      </c>
      <c r="P150" s="273">
        <f ca="1">DSUM($B$117:$Y$125,P$132,$C$132:$D150)</f>
        <v>17.570710021067381</v>
      </c>
      <c r="Q150" s="273">
        <f ca="1">DSUM($B$117:$Y$125,Q$132,$C$132:$D150)</f>
        <v>17.800530466339413</v>
      </c>
      <c r="R150" s="273">
        <f ca="1">DSUM($B$117:$Y$125,R$132,$C$132:$D150)</f>
        <v>17.964993609714327</v>
      </c>
      <c r="S150" s="273">
        <f ca="1">DSUM($B$117:$Y$125,S$132,$C$132:$D150)</f>
        <v>18.074446032348924</v>
      </c>
      <c r="T150" s="273">
        <f ca="1">DSUM($B$117:$Y$125,T$132,$C$132:$D150)</f>
        <v>18.141543347721733</v>
      </c>
      <c r="U150" s="273">
        <f ca="1">DSUM($B$117:$Y$125,U$132,$C$132:$D150)</f>
        <v>18.179970637942048</v>
      </c>
      <c r="V150" s="273">
        <f ca="1">DSUM($B$117:$Y$125,V$132,$C$132:$D150)</f>
        <v>18.191286626964121</v>
      </c>
      <c r="W150" s="273">
        <f ca="1">DSUM($B$117:$Y$125,W$132,$C$132:$D150)</f>
        <v>18.176211038222796</v>
      </c>
      <c r="X150" s="273">
        <f ca="1">DSUM($B$117:$Y$125,X$132,$C$132:$D150)</f>
        <v>18.152209439007514</v>
      </c>
      <c r="Y150" s="198">
        <f ca="1">DSUM($B$117:$Y$125,Y$117,$C$132:$D150)</f>
        <v>123.72449000056638</v>
      </c>
    </row>
    <row r="151" spans="1:25">
      <c r="A151" s="24"/>
      <c r="B151" s="24" t="s">
        <v>659</v>
      </c>
      <c r="C151" s="272" t="s">
        <v>746</v>
      </c>
      <c r="D151" s="272" t="s">
        <v>747</v>
      </c>
      <c r="E151" s="273">
        <f ca="1">DSUM($B$117:$Y$125,E$132,$C$132:$D151)</f>
        <v>4.3910848161196387</v>
      </c>
      <c r="F151" s="273">
        <f ca="1">DSUM($B$117:$Y$125,F$132,$C$132:$D151)</f>
        <v>7.4367528257647644</v>
      </c>
      <c r="G151" s="273">
        <f ca="1">DSUM($B$117:$Y$125,G$132,$C$132:$D151)</f>
        <v>9.5171581412648099</v>
      </c>
      <c r="H151" s="273">
        <f ca="1">DSUM($B$117:$Y$125,H$132,$C$132:$D151)</f>
        <v>11.114331536267246</v>
      </c>
      <c r="I151" s="273">
        <f ca="1">DSUM($B$117:$Y$125,I$132,$C$132:$D151)</f>
        <v>12.495652594642026</v>
      </c>
      <c r="J151" s="273">
        <f ca="1">DSUM($B$117:$Y$125,J$132,$C$132:$D151)</f>
        <v>13.865543706927049</v>
      </c>
      <c r="K151" s="273">
        <f ca="1">DSUM($B$117:$Y$125,K$132,$C$132:$D151)</f>
        <v>14.814925472843582</v>
      </c>
      <c r="L151" s="273">
        <f ca="1">DSUM($B$117:$Y$125,L$132,$C$132:$D151)</f>
        <v>15.610384201702233</v>
      </c>
      <c r="M151" s="273">
        <f ca="1">DSUM($B$117:$Y$125,M$132,$C$132:$D151)</f>
        <v>16.280913024220393</v>
      </c>
      <c r="N151" s="273">
        <f ca="1">DSUM($B$117:$Y$125,N$132,$C$132:$D151)</f>
        <v>16.811084989231865</v>
      </c>
      <c r="O151" s="273">
        <f ca="1">DSUM($B$117:$Y$125,O$132,$C$132:$D151)</f>
        <v>17.242918007461952</v>
      </c>
      <c r="P151" s="273">
        <f ca="1">DSUM($B$117:$Y$125,P$132,$C$132:$D151)</f>
        <v>17.570710021067381</v>
      </c>
      <c r="Q151" s="273">
        <f ca="1">DSUM($B$117:$Y$125,Q$132,$C$132:$D151)</f>
        <v>17.800530466339413</v>
      </c>
      <c r="R151" s="273">
        <f ca="1">DSUM($B$117:$Y$125,R$132,$C$132:$D151)</f>
        <v>17.964993609714327</v>
      </c>
      <c r="S151" s="273">
        <f ca="1">DSUM($B$117:$Y$125,S$132,$C$132:$D151)</f>
        <v>18.074446032348924</v>
      </c>
      <c r="T151" s="273">
        <f ca="1">DSUM($B$117:$Y$125,T$132,$C$132:$D151)</f>
        <v>18.141543347721733</v>
      </c>
      <c r="U151" s="273">
        <f ca="1">DSUM($B$117:$Y$125,U$132,$C$132:$D151)</f>
        <v>18.179970637942048</v>
      </c>
      <c r="V151" s="273">
        <f ca="1">DSUM($B$117:$Y$125,V$132,$C$132:$D151)</f>
        <v>18.191286626964121</v>
      </c>
      <c r="W151" s="273">
        <f ca="1">DSUM($B$117:$Y$125,W$132,$C$132:$D151)</f>
        <v>18.176211038222796</v>
      </c>
      <c r="X151" s="273">
        <f ca="1">DSUM($B$117:$Y$125,X$132,$C$132:$D151)</f>
        <v>18.152209439007514</v>
      </c>
      <c r="Y151" s="198">
        <f ca="1">DSUM($B$117:$Y$125,Y$117,$C$132:$D151)</f>
        <v>123.72449000056638</v>
      </c>
    </row>
    <row r="152" spans="1:25">
      <c r="A152" s="24"/>
      <c r="B152" s="24" t="s">
        <v>660</v>
      </c>
      <c r="C152" s="272" t="s">
        <v>748</v>
      </c>
      <c r="D152" s="272" t="s">
        <v>749</v>
      </c>
      <c r="E152" s="273">
        <f ca="1">DSUM($B$117:$Y$125,E$132,$C$132:$D152)</f>
        <v>4.3910848161196387</v>
      </c>
      <c r="F152" s="273">
        <f ca="1">DSUM($B$117:$Y$125,F$132,$C$132:$D152)</f>
        <v>7.4367528257647644</v>
      </c>
      <c r="G152" s="273">
        <f ca="1">DSUM($B$117:$Y$125,G$132,$C$132:$D152)</f>
        <v>9.5171581412648099</v>
      </c>
      <c r="H152" s="273">
        <f ca="1">DSUM($B$117:$Y$125,H$132,$C$132:$D152)</f>
        <v>11.114331536267246</v>
      </c>
      <c r="I152" s="273">
        <f ca="1">DSUM($B$117:$Y$125,I$132,$C$132:$D152)</f>
        <v>12.495652594642026</v>
      </c>
      <c r="J152" s="273">
        <f ca="1">DSUM($B$117:$Y$125,J$132,$C$132:$D152)</f>
        <v>13.865543706927049</v>
      </c>
      <c r="K152" s="273">
        <f ca="1">DSUM($B$117:$Y$125,K$132,$C$132:$D152)</f>
        <v>14.814925472843582</v>
      </c>
      <c r="L152" s="273">
        <f ca="1">DSUM($B$117:$Y$125,L$132,$C$132:$D152)</f>
        <v>15.610384201702233</v>
      </c>
      <c r="M152" s="273">
        <f ca="1">DSUM($B$117:$Y$125,M$132,$C$132:$D152)</f>
        <v>16.280913024220393</v>
      </c>
      <c r="N152" s="273">
        <f ca="1">DSUM($B$117:$Y$125,N$132,$C$132:$D152)</f>
        <v>16.811084989231865</v>
      </c>
      <c r="O152" s="273">
        <f ca="1">DSUM($B$117:$Y$125,O$132,$C$132:$D152)</f>
        <v>17.242918007461952</v>
      </c>
      <c r="P152" s="273">
        <f ca="1">DSUM($B$117:$Y$125,P$132,$C$132:$D152)</f>
        <v>17.570710021067381</v>
      </c>
      <c r="Q152" s="273">
        <f ca="1">DSUM($B$117:$Y$125,Q$132,$C$132:$D152)</f>
        <v>17.800530466339413</v>
      </c>
      <c r="R152" s="273">
        <f ca="1">DSUM($B$117:$Y$125,R$132,$C$132:$D152)</f>
        <v>17.964993609714327</v>
      </c>
      <c r="S152" s="273">
        <f ca="1">DSUM($B$117:$Y$125,S$132,$C$132:$D152)</f>
        <v>18.074446032348924</v>
      </c>
      <c r="T152" s="273">
        <f ca="1">DSUM($B$117:$Y$125,T$132,$C$132:$D152)</f>
        <v>18.141543347721733</v>
      </c>
      <c r="U152" s="273">
        <f ca="1">DSUM($B$117:$Y$125,U$132,$C$132:$D152)</f>
        <v>18.179970637942048</v>
      </c>
      <c r="V152" s="273">
        <f ca="1">DSUM($B$117:$Y$125,V$132,$C$132:$D152)</f>
        <v>18.191286626964121</v>
      </c>
      <c r="W152" s="273">
        <f ca="1">DSUM($B$117:$Y$125,W$132,$C$132:$D152)</f>
        <v>18.176211038222796</v>
      </c>
      <c r="X152" s="273">
        <f ca="1">DSUM($B$117:$Y$125,X$132,$C$132:$D152)</f>
        <v>18.152209439007514</v>
      </c>
      <c r="Y152" s="198">
        <f ca="1">DSUM($B$117:$Y$125,Y$117,$C$132:$D152)</f>
        <v>123.72449000056638</v>
      </c>
    </row>
    <row r="153" spans="1:25">
      <c r="A153" s="24"/>
      <c r="B153" s="24" t="s">
        <v>661</v>
      </c>
      <c r="C153" s="272" t="s">
        <v>750</v>
      </c>
      <c r="D153" s="272" t="s">
        <v>751</v>
      </c>
      <c r="E153" s="273">
        <f ca="1">DSUM($B$117:$Y$125,E$132,$C$132:$D153)</f>
        <v>4.3910848161196387</v>
      </c>
      <c r="F153" s="273">
        <f ca="1">DSUM($B$117:$Y$125,F$132,$C$132:$D153)</f>
        <v>7.4367528257647644</v>
      </c>
      <c r="G153" s="273">
        <f ca="1">DSUM($B$117:$Y$125,G$132,$C$132:$D153)</f>
        <v>9.5171581412648099</v>
      </c>
      <c r="H153" s="273">
        <f ca="1">DSUM($B$117:$Y$125,H$132,$C$132:$D153)</f>
        <v>11.114331536267246</v>
      </c>
      <c r="I153" s="273">
        <f ca="1">DSUM($B$117:$Y$125,I$132,$C$132:$D153)</f>
        <v>12.495652594642026</v>
      </c>
      <c r="J153" s="273">
        <f ca="1">DSUM($B$117:$Y$125,J$132,$C$132:$D153)</f>
        <v>13.865543706927049</v>
      </c>
      <c r="K153" s="273">
        <f ca="1">DSUM($B$117:$Y$125,K$132,$C$132:$D153)</f>
        <v>14.814925472843582</v>
      </c>
      <c r="L153" s="273">
        <f ca="1">DSUM($B$117:$Y$125,L$132,$C$132:$D153)</f>
        <v>15.610384201702233</v>
      </c>
      <c r="M153" s="273">
        <f ca="1">DSUM($B$117:$Y$125,M$132,$C$132:$D153)</f>
        <v>16.280913024220393</v>
      </c>
      <c r="N153" s="273">
        <f ca="1">DSUM($B$117:$Y$125,N$132,$C$132:$D153)</f>
        <v>16.811084989231865</v>
      </c>
      <c r="O153" s="273">
        <f ca="1">DSUM($B$117:$Y$125,O$132,$C$132:$D153)</f>
        <v>17.242918007461952</v>
      </c>
      <c r="P153" s="273">
        <f ca="1">DSUM($B$117:$Y$125,P$132,$C$132:$D153)</f>
        <v>17.570710021067381</v>
      </c>
      <c r="Q153" s="273">
        <f ca="1">DSUM($B$117:$Y$125,Q$132,$C$132:$D153)</f>
        <v>17.800530466339413</v>
      </c>
      <c r="R153" s="273">
        <f ca="1">DSUM($B$117:$Y$125,R$132,$C$132:$D153)</f>
        <v>17.964993609714327</v>
      </c>
      <c r="S153" s="273">
        <f ca="1">DSUM($B$117:$Y$125,S$132,$C$132:$D153)</f>
        <v>18.074446032348924</v>
      </c>
      <c r="T153" s="273">
        <f ca="1">DSUM($B$117:$Y$125,T$132,$C$132:$D153)</f>
        <v>18.141543347721733</v>
      </c>
      <c r="U153" s="273">
        <f ca="1">DSUM($B$117:$Y$125,U$132,$C$132:$D153)</f>
        <v>18.179970637942048</v>
      </c>
      <c r="V153" s="273">
        <f ca="1">DSUM($B$117:$Y$125,V$132,$C$132:$D153)</f>
        <v>18.191286626964121</v>
      </c>
      <c r="W153" s="273">
        <f ca="1">DSUM($B$117:$Y$125,W$132,$C$132:$D153)</f>
        <v>18.176211038222796</v>
      </c>
      <c r="X153" s="273">
        <f ca="1">DSUM($B$117:$Y$125,X$132,$C$132:$D153)</f>
        <v>18.152209439007514</v>
      </c>
      <c r="Y153" s="198">
        <f ca="1">DSUM($B$117:$Y$125,Y$117,$C$132:$D153)</f>
        <v>123.72449000056638</v>
      </c>
    </row>
    <row r="154" spans="1:25">
      <c r="A154" s="24"/>
      <c r="B154" s="24" t="s">
        <v>752</v>
      </c>
      <c r="C154" s="272" t="s">
        <v>753</v>
      </c>
      <c r="D154" s="272" t="s">
        <v>754</v>
      </c>
      <c r="E154" s="273">
        <f ca="1">DSUM($B$117:$Y$125,E$132,$C$132:$D154)</f>
        <v>4.3910848161196387</v>
      </c>
      <c r="F154" s="273">
        <f ca="1">DSUM($B$117:$Y$125,F$132,$C$132:$D154)</f>
        <v>7.4367528257647644</v>
      </c>
      <c r="G154" s="273">
        <f ca="1">DSUM($B$117:$Y$125,G$132,$C$132:$D154)</f>
        <v>9.5171581412648099</v>
      </c>
      <c r="H154" s="273">
        <f ca="1">DSUM($B$117:$Y$125,H$132,$C$132:$D154)</f>
        <v>11.114331536267246</v>
      </c>
      <c r="I154" s="273">
        <f ca="1">DSUM($B$117:$Y$125,I$132,$C$132:$D154)</f>
        <v>12.495652594642026</v>
      </c>
      <c r="J154" s="273">
        <f ca="1">DSUM($B$117:$Y$125,J$132,$C$132:$D154)</f>
        <v>13.865543706927049</v>
      </c>
      <c r="K154" s="273">
        <f ca="1">DSUM($B$117:$Y$125,K$132,$C$132:$D154)</f>
        <v>14.814925472843582</v>
      </c>
      <c r="L154" s="273">
        <f ca="1">DSUM($B$117:$Y$125,L$132,$C$132:$D154)</f>
        <v>15.610384201702233</v>
      </c>
      <c r="M154" s="273">
        <f ca="1">DSUM($B$117:$Y$125,M$132,$C$132:$D154)</f>
        <v>16.280913024220393</v>
      </c>
      <c r="N154" s="273">
        <f ca="1">DSUM($B$117:$Y$125,N$132,$C$132:$D154)</f>
        <v>16.811084989231865</v>
      </c>
      <c r="O154" s="273">
        <f ca="1">DSUM($B$117:$Y$125,O$132,$C$132:$D154)</f>
        <v>17.242918007461952</v>
      </c>
      <c r="P154" s="273">
        <f ca="1">DSUM($B$117:$Y$125,P$132,$C$132:$D154)</f>
        <v>17.570710021067381</v>
      </c>
      <c r="Q154" s="273">
        <f ca="1">DSUM($B$117:$Y$125,Q$132,$C$132:$D154)</f>
        <v>17.800530466339413</v>
      </c>
      <c r="R154" s="273">
        <f ca="1">DSUM($B$117:$Y$125,R$132,$C$132:$D154)</f>
        <v>17.964993609714327</v>
      </c>
      <c r="S154" s="273">
        <f ca="1">DSUM($B$117:$Y$125,S$132,$C$132:$D154)</f>
        <v>18.074446032348924</v>
      </c>
      <c r="T154" s="273">
        <f ca="1">DSUM($B$117:$Y$125,T$132,$C$132:$D154)</f>
        <v>18.141543347721733</v>
      </c>
      <c r="U154" s="273">
        <f ca="1">DSUM($B$117:$Y$125,U$132,$C$132:$D154)</f>
        <v>18.179970637942048</v>
      </c>
      <c r="V154" s="273">
        <f ca="1">DSUM($B$117:$Y$125,V$132,$C$132:$D154)</f>
        <v>18.191286626964121</v>
      </c>
      <c r="W154" s="273">
        <f ca="1">DSUM($B$117:$Y$125,W$132,$C$132:$D154)</f>
        <v>18.176211038222796</v>
      </c>
      <c r="X154" s="273">
        <f ca="1">DSUM($B$117:$Y$125,X$132,$C$132:$D154)</f>
        <v>18.152209439007514</v>
      </c>
      <c r="Y154" s="198">
        <f ca="1">DSUM($B$117:$Y$125,Y$117,$C$132:$D154)</f>
        <v>123.72449000056638</v>
      </c>
    </row>
    <row r="155" spans="1:25">
      <c r="A155" s="24"/>
      <c r="B155" s="24" t="s">
        <v>755</v>
      </c>
      <c r="C155" s="272" t="s">
        <v>756</v>
      </c>
      <c r="D155" s="272" t="s">
        <v>757</v>
      </c>
      <c r="E155" s="273">
        <f ca="1">DSUM($B$117:$Y$125,E$132,$C$132:$D155)</f>
        <v>4.3910848161196387</v>
      </c>
      <c r="F155" s="273">
        <f ca="1">DSUM($B$117:$Y$125,F$132,$C$132:$D155)</f>
        <v>7.4367528257647644</v>
      </c>
      <c r="G155" s="273">
        <f ca="1">DSUM($B$117:$Y$125,G$132,$C$132:$D155)</f>
        <v>9.5171581412648099</v>
      </c>
      <c r="H155" s="273">
        <f ca="1">DSUM($B$117:$Y$125,H$132,$C$132:$D155)</f>
        <v>11.114331536267246</v>
      </c>
      <c r="I155" s="273">
        <f ca="1">DSUM($B$117:$Y$125,I$132,$C$132:$D155)</f>
        <v>12.495652594642026</v>
      </c>
      <c r="J155" s="273">
        <f ca="1">DSUM($B$117:$Y$125,J$132,$C$132:$D155)</f>
        <v>13.865543706927049</v>
      </c>
      <c r="K155" s="273">
        <f ca="1">DSUM($B$117:$Y$125,K$132,$C$132:$D155)</f>
        <v>14.814925472843582</v>
      </c>
      <c r="L155" s="273">
        <f ca="1">DSUM($B$117:$Y$125,L$132,$C$132:$D155)</f>
        <v>15.610384201702233</v>
      </c>
      <c r="M155" s="273">
        <f ca="1">DSUM($B$117:$Y$125,M$132,$C$132:$D155)</f>
        <v>16.280913024220393</v>
      </c>
      <c r="N155" s="273">
        <f ca="1">DSUM($B$117:$Y$125,N$132,$C$132:$D155)</f>
        <v>16.811084989231865</v>
      </c>
      <c r="O155" s="273">
        <f ca="1">DSUM($B$117:$Y$125,O$132,$C$132:$D155)</f>
        <v>17.242918007461952</v>
      </c>
      <c r="P155" s="273">
        <f ca="1">DSUM($B$117:$Y$125,P$132,$C$132:$D155)</f>
        <v>17.570710021067381</v>
      </c>
      <c r="Q155" s="273">
        <f ca="1">DSUM($B$117:$Y$125,Q$132,$C$132:$D155)</f>
        <v>17.800530466339413</v>
      </c>
      <c r="R155" s="273">
        <f ca="1">DSUM($B$117:$Y$125,R$132,$C$132:$D155)</f>
        <v>17.964993609714327</v>
      </c>
      <c r="S155" s="273">
        <f ca="1">DSUM($B$117:$Y$125,S$132,$C$132:$D155)</f>
        <v>18.074446032348924</v>
      </c>
      <c r="T155" s="273">
        <f ca="1">DSUM($B$117:$Y$125,T$132,$C$132:$D155)</f>
        <v>18.141543347721733</v>
      </c>
      <c r="U155" s="273">
        <f ca="1">DSUM($B$117:$Y$125,U$132,$C$132:$D155)</f>
        <v>18.179970637942048</v>
      </c>
      <c r="V155" s="273">
        <f ca="1">DSUM($B$117:$Y$125,V$132,$C$132:$D155)</f>
        <v>18.191286626964121</v>
      </c>
      <c r="W155" s="273">
        <f ca="1">DSUM($B$117:$Y$125,W$132,$C$132:$D155)</f>
        <v>18.176211038222796</v>
      </c>
      <c r="X155" s="273">
        <f ca="1">DSUM($B$117:$Y$125,X$132,$C$132:$D155)</f>
        <v>18.152209439007514</v>
      </c>
      <c r="Y155" s="198">
        <f ca="1">DSUM($B$117:$Y$125,Y$117,$C$132:$D155)</f>
        <v>123.72449000056638</v>
      </c>
    </row>
    <row r="156" spans="1:25">
      <c r="A156" s="24"/>
      <c r="B156" s="24" t="s">
        <v>758</v>
      </c>
      <c r="C156" s="272" t="s">
        <v>759</v>
      </c>
      <c r="D156" s="272" t="s">
        <v>760</v>
      </c>
      <c r="E156" s="273">
        <f ca="1">DSUM($B$117:$Y$125,E$132,$C$132:$D156)</f>
        <v>4.3910848161196387</v>
      </c>
      <c r="F156" s="273">
        <f ca="1">DSUM($B$117:$Y$125,F$132,$C$132:$D156)</f>
        <v>7.4367528257647644</v>
      </c>
      <c r="G156" s="273">
        <f ca="1">DSUM($B$117:$Y$125,G$132,$C$132:$D156)</f>
        <v>9.5171581412648099</v>
      </c>
      <c r="H156" s="273">
        <f ca="1">DSUM($B$117:$Y$125,H$132,$C$132:$D156)</f>
        <v>11.114331536267246</v>
      </c>
      <c r="I156" s="273">
        <f ca="1">DSUM($B$117:$Y$125,I$132,$C$132:$D156)</f>
        <v>12.495652594642026</v>
      </c>
      <c r="J156" s="273">
        <f ca="1">DSUM($B$117:$Y$125,J$132,$C$132:$D156)</f>
        <v>13.865543706927049</v>
      </c>
      <c r="K156" s="273">
        <f ca="1">DSUM($B$117:$Y$125,K$132,$C$132:$D156)</f>
        <v>14.814925472843582</v>
      </c>
      <c r="L156" s="273">
        <f ca="1">DSUM($B$117:$Y$125,L$132,$C$132:$D156)</f>
        <v>15.610384201702233</v>
      </c>
      <c r="M156" s="273">
        <f ca="1">DSUM($B$117:$Y$125,M$132,$C$132:$D156)</f>
        <v>16.280913024220393</v>
      </c>
      <c r="N156" s="273">
        <f ca="1">DSUM($B$117:$Y$125,N$132,$C$132:$D156)</f>
        <v>16.811084989231865</v>
      </c>
      <c r="O156" s="273">
        <f ca="1">DSUM($B$117:$Y$125,O$132,$C$132:$D156)</f>
        <v>17.242918007461952</v>
      </c>
      <c r="P156" s="273">
        <f ca="1">DSUM($B$117:$Y$125,P$132,$C$132:$D156)</f>
        <v>17.570710021067381</v>
      </c>
      <c r="Q156" s="273">
        <f ca="1">DSUM($B$117:$Y$125,Q$132,$C$132:$D156)</f>
        <v>17.800530466339413</v>
      </c>
      <c r="R156" s="273">
        <f ca="1">DSUM($B$117:$Y$125,R$132,$C$132:$D156)</f>
        <v>17.964993609714327</v>
      </c>
      <c r="S156" s="273">
        <f ca="1">DSUM($B$117:$Y$125,S$132,$C$132:$D156)</f>
        <v>18.074446032348924</v>
      </c>
      <c r="T156" s="273">
        <f ca="1">DSUM($B$117:$Y$125,T$132,$C$132:$D156)</f>
        <v>18.141543347721733</v>
      </c>
      <c r="U156" s="273">
        <f ca="1">DSUM($B$117:$Y$125,U$132,$C$132:$D156)</f>
        <v>18.179970637942048</v>
      </c>
      <c r="V156" s="273">
        <f ca="1">DSUM($B$117:$Y$125,V$132,$C$132:$D156)</f>
        <v>18.191286626964121</v>
      </c>
      <c r="W156" s="273">
        <f ca="1">DSUM($B$117:$Y$125,W$132,$C$132:$D156)</f>
        <v>18.176211038222796</v>
      </c>
      <c r="X156" s="273">
        <f ca="1">DSUM($B$117:$Y$125,X$132,$C$132:$D156)</f>
        <v>18.152209439007514</v>
      </c>
      <c r="Y156" s="198">
        <f ca="1">DSUM($B$117:$Y$125,Y$117,$C$132:$D156)</f>
        <v>123.72449000056638</v>
      </c>
    </row>
    <row r="157" spans="1:25">
      <c r="A157" s="24"/>
      <c r="B157" s="24" t="s">
        <v>761</v>
      </c>
      <c r="C157" s="272" t="s">
        <v>762</v>
      </c>
      <c r="D157" s="272" t="s">
        <v>763</v>
      </c>
      <c r="E157" s="273">
        <f ca="1">DSUM($B$117:$Y$125,E$132,$C$132:$D157)</f>
        <v>4.3910848161196387</v>
      </c>
      <c r="F157" s="273">
        <f ca="1">DSUM($B$117:$Y$125,F$132,$C$132:$D157)</f>
        <v>7.4367528257647644</v>
      </c>
      <c r="G157" s="273">
        <f ca="1">DSUM($B$117:$Y$125,G$132,$C$132:$D157)</f>
        <v>9.5171581412648099</v>
      </c>
      <c r="H157" s="273">
        <f ca="1">DSUM($B$117:$Y$125,H$132,$C$132:$D157)</f>
        <v>11.114331536267246</v>
      </c>
      <c r="I157" s="273">
        <f ca="1">DSUM($B$117:$Y$125,I$132,$C$132:$D157)</f>
        <v>12.495652594642026</v>
      </c>
      <c r="J157" s="273">
        <f ca="1">DSUM($B$117:$Y$125,J$132,$C$132:$D157)</f>
        <v>13.865543706927049</v>
      </c>
      <c r="K157" s="273">
        <f ca="1">DSUM($B$117:$Y$125,K$132,$C$132:$D157)</f>
        <v>14.814925472843582</v>
      </c>
      <c r="L157" s="273">
        <f ca="1">DSUM($B$117:$Y$125,L$132,$C$132:$D157)</f>
        <v>15.610384201702233</v>
      </c>
      <c r="M157" s="273">
        <f ca="1">DSUM($B$117:$Y$125,M$132,$C$132:$D157)</f>
        <v>16.280913024220393</v>
      </c>
      <c r="N157" s="273">
        <f ca="1">DSUM($B$117:$Y$125,N$132,$C$132:$D157)</f>
        <v>16.811084989231865</v>
      </c>
      <c r="O157" s="273">
        <f ca="1">DSUM($B$117:$Y$125,O$132,$C$132:$D157)</f>
        <v>17.242918007461952</v>
      </c>
      <c r="P157" s="273">
        <f ca="1">DSUM($B$117:$Y$125,P$132,$C$132:$D157)</f>
        <v>17.570710021067381</v>
      </c>
      <c r="Q157" s="273">
        <f ca="1">DSUM($B$117:$Y$125,Q$132,$C$132:$D157)</f>
        <v>17.800530466339413</v>
      </c>
      <c r="R157" s="273">
        <f ca="1">DSUM($B$117:$Y$125,R$132,$C$132:$D157)</f>
        <v>17.964993609714327</v>
      </c>
      <c r="S157" s="273">
        <f ca="1">DSUM($B$117:$Y$125,S$132,$C$132:$D157)</f>
        <v>18.074446032348924</v>
      </c>
      <c r="T157" s="273">
        <f ca="1">DSUM($B$117:$Y$125,T$132,$C$132:$D157)</f>
        <v>18.141543347721733</v>
      </c>
      <c r="U157" s="273">
        <f ca="1">DSUM($B$117:$Y$125,U$132,$C$132:$D157)</f>
        <v>18.179970637942048</v>
      </c>
      <c r="V157" s="273">
        <f ca="1">DSUM($B$117:$Y$125,V$132,$C$132:$D157)</f>
        <v>18.191286626964121</v>
      </c>
      <c r="W157" s="273">
        <f ca="1">DSUM($B$117:$Y$125,W$132,$C$132:$D157)</f>
        <v>18.176211038222796</v>
      </c>
      <c r="X157" s="273">
        <f ca="1">DSUM($B$117:$Y$125,X$132,$C$132:$D157)</f>
        <v>18.152209439007514</v>
      </c>
      <c r="Y157" s="198">
        <f ca="1">DSUM($B$117:$Y$125,Y$117,$C$132:$D157)</f>
        <v>123.72449000056638</v>
      </c>
    </row>
    <row r="158" spans="1:25">
      <c r="A158" s="24"/>
      <c r="B158" s="24" t="s">
        <v>764</v>
      </c>
      <c r="C158" s="272" t="s">
        <v>765</v>
      </c>
      <c r="D158" s="272" t="s">
        <v>766</v>
      </c>
      <c r="E158" s="273">
        <f ca="1">DSUM($B$117:$Y$125,E$132,$C$132:$D158)</f>
        <v>4.3910848161196387</v>
      </c>
      <c r="F158" s="273">
        <f ca="1">DSUM($B$117:$Y$125,F$132,$C$132:$D158)</f>
        <v>7.4367528257647644</v>
      </c>
      <c r="G158" s="273">
        <f ca="1">DSUM($B$117:$Y$125,G$132,$C$132:$D158)</f>
        <v>9.5171581412648099</v>
      </c>
      <c r="H158" s="273">
        <f ca="1">DSUM($B$117:$Y$125,H$132,$C$132:$D158)</f>
        <v>11.114331536267246</v>
      </c>
      <c r="I158" s="273">
        <f ca="1">DSUM($B$117:$Y$125,I$132,$C$132:$D158)</f>
        <v>12.495652594642026</v>
      </c>
      <c r="J158" s="273">
        <f ca="1">DSUM($B$117:$Y$125,J$132,$C$132:$D158)</f>
        <v>13.865543706927049</v>
      </c>
      <c r="K158" s="273">
        <f ca="1">DSUM($B$117:$Y$125,K$132,$C$132:$D158)</f>
        <v>14.814925472843582</v>
      </c>
      <c r="L158" s="273">
        <f ca="1">DSUM($B$117:$Y$125,L$132,$C$132:$D158)</f>
        <v>15.610384201702233</v>
      </c>
      <c r="M158" s="273">
        <f ca="1">DSUM($B$117:$Y$125,M$132,$C$132:$D158)</f>
        <v>16.280913024220393</v>
      </c>
      <c r="N158" s="273">
        <f ca="1">DSUM($B$117:$Y$125,N$132,$C$132:$D158)</f>
        <v>16.811084989231865</v>
      </c>
      <c r="O158" s="273">
        <f ca="1">DSUM($B$117:$Y$125,O$132,$C$132:$D158)</f>
        <v>17.242918007461952</v>
      </c>
      <c r="P158" s="273">
        <f ca="1">DSUM($B$117:$Y$125,P$132,$C$132:$D158)</f>
        <v>17.570710021067381</v>
      </c>
      <c r="Q158" s="273">
        <f ca="1">DSUM($B$117:$Y$125,Q$132,$C$132:$D158)</f>
        <v>17.800530466339413</v>
      </c>
      <c r="R158" s="273">
        <f ca="1">DSUM($B$117:$Y$125,R$132,$C$132:$D158)</f>
        <v>17.964993609714327</v>
      </c>
      <c r="S158" s="273">
        <f ca="1">DSUM($B$117:$Y$125,S$132,$C$132:$D158)</f>
        <v>18.074446032348924</v>
      </c>
      <c r="T158" s="273">
        <f ca="1">DSUM($B$117:$Y$125,T$132,$C$132:$D158)</f>
        <v>18.141543347721733</v>
      </c>
      <c r="U158" s="273">
        <f ca="1">DSUM($B$117:$Y$125,U$132,$C$132:$D158)</f>
        <v>18.179970637942048</v>
      </c>
      <c r="V158" s="273">
        <f ca="1">DSUM($B$117:$Y$125,V$132,$C$132:$D158)</f>
        <v>18.191286626964121</v>
      </c>
      <c r="W158" s="273">
        <f ca="1">DSUM($B$117:$Y$125,W$132,$C$132:$D158)</f>
        <v>18.176211038222796</v>
      </c>
      <c r="X158" s="273">
        <f ca="1">DSUM($B$117:$Y$125,X$132,$C$132:$D158)</f>
        <v>18.152209439007514</v>
      </c>
      <c r="Y158" s="198">
        <f ca="1">DSUM($B$117:$Y$125,Y$117,$C$132:$D158)</f>
        <v>123.72449000056638</v>
      </c>
    </row>
    <row r="159" spans="1:25">
      <c r="A159" s="24"/>
      <c r="B159" s="24" t="s">
        <v>767</v>
      </c>
      <c r="C159" s="272" t="s">
        <v>768</v>
      </c>
      <c r="D159" s="272" t="s">
        <v>769</v>
      </c>
      <c r="E159" s="273">
        <f ca="1">DSUM($B$117:$Y$125,E$132,$C$132:$D159)</f>
        <v>4.3910848161196387</v>
      </c>
      <c r="F159" s="273">
        <f ca="1">DSUM($B$117:$Y$125,F$132,$C$132:$D159)</f>
        <v>7.4367528257647644</v>
      </c>
      <c r="G159" s="273">
        <f ca="1">DSUM($B$117:$Y$125,G$132,$C$132:$D159)</f>
        <v>9.5171581412648099</v>
      </c>
      <c r="H159" s="273">
        <f ca="1">DSUM($B$117:$Y$125,H$132,$C$132:$D159)</f>
        <v>11.114331536267246</v>
      </c>
      <c r="I159" s="273">
        <f ca="1">DSUM($B$117:$Y$125,I$132,$C$132:$D159)</f>
        <v>12.495652594642026</v>
      </c>
      <c r="J159" s="273">
        <f ca="1">DSUM($B$117:$Y$125,J$132,$C$132:$D159)</f>
        <v>13.865543706927049</v>
      </c>
      <c r="K159" s="273">
        <f ca="1">DSUM($B$117:$Y$125,K$132,$C$132:$D159)</f>
        <v>14.814925472843582</v>
      </c>
      <c r="L159" s="273">
        <f ca="1">DSUM($B$117:$Y$125,L$132,$C$132:$D159)</f>
        <v>15.610384201702233</v>
      </c>
      <c r="M159" s="273">
        <f ca="1">DSUM($B$117:$Y$125,M$132,$C$132:$D159)</f>
        <v>16.280913024220393</v>
      </c>
      <c r="N159" s="273">
        <f ca="1">DSUM($B$117:$Y$125,N$132,$C$132:$D159)</f>
        <v>16.811084989231865</v>
      </c>
      <c r="O159" s="273">
        <f ca="1">DSUM($B$117:$Y$125,O$132,$C$132:$D159)</f>
        <v>17.242918007461952</v>
      </c>
      <c r="P159" s="273">
        <f ca="1">DSUM($B$117:$Y$125,P$132,$C$132:$D159)</f>
        <v>17.570710021067381</v>
      </c>
      <c r="Q159" s="273">
        <f ca="1">DSUM($B$117:$Y$125,Q$132,$C$132:$D159)</f>
        <v>17.800530466339413</v>
      </c>
      <c r="R159" s="273">
        <f ca="1">DSUM($B$117:$Y$125,R$132,$C$132:$D159)</f>
        <v>17.964993609714327</v>
      </c>
      <c r="S159" s="273">
        <f ca="1">DSUM($B$117:$Y$125,S$132,$C$132:$D159)</f>
        <v>18.074446032348924</v>
      </c>
      <c r="T159" s="273">
        <f ca="1">DSUM($B$117:$Y$125,T$132,$C$132:$D159)</f>
        <v>18.141543347721733</v>
      </c>
      <c r="U159" s="273">
        <f ca="1">DSUM($B$117:$Y$125,U$132,$C$132:$D159)</f>
        <v>18.179970637942048</v>
      </c>
      <c r="V159" s="273">
        <f ca="1">DSUM($B$117:$Y$125,V$132,$C$132:$D159)</f>
        <v>18.191286626964121</v>
      </c>
      <c r="W159" s="273">
        <f ca="1">DSUM($B$117:$Y$125,W$132,$C$132:$D159)</f>
        <v>18.176211038222796</v>
      </c>
      <c r="X159" s="273">
        <f ca="1">DSUM($B$117:$Y$125,X$132,$C$132:$D159)</f>
        <v>18.152209439007514</v>
      </c>
      <c r="Y159" s="198">
        <f ca="1">DSUM($B$117:$Y$125,Y$117,$C$132:$D159)</f>
        <v>123.72449000056638</v>
      </c>
    </row>
    <row r="160" spans="1:25">
      <c r="A160" s="24"/>
      <c r="B160" s="24" t="s">
        <v>770</v>
      </c>
      <c r="C160" s="272" t="s">
        <v>771</v>
      </c>
      <c r="D160" s="272" t="s">
        <v>772</v>
      </c>
      <c r="E160" s="273">
        <f ca="1">DSUM($B$117:$Y$125,E$132,$C$132:$D160)</f>
        <v>4.3910848161196387</v>
      </c>
      <c r="F160" s="273">
        <f ca="1">DSUM($B$117:$Y$125,F$132,$C$132:$D160)</f>
        <v>7.4367528257647644</v>
      </c>
      <c r="G160" s="273">
        <f ca="1">DSUM($B$117:$Y$125,G$132,$C$132:$D160)</f>
        <v>9.5171581412648099</v>
      </c>
      <c r="H160" s="273">
        <f ca="1">DSUM($B$117:$Y$125,H$132,$C$132:$D160)</f>
        <v>11.114331536267246</v>
      </c>
      <c r="I160" s="273">
        <f ca="1">DSUM($B$117:$Y$125,I$132,$C$132:$D160)</f>
        <v>12.495652594642026</v>
      </c>
      <c r="J160" s="273">
        <f ca="1">DSUM($B$117:$Y$125,J$132,$C$132:$D160)</f>
        <v>13.865543706927049</v>
      </c>
      <c r="K160" s="273">
        <f ca="1">DSUM($B$117:$Y$125,K$132,$C$132:$D160)</f>
        <v>14.814925472843582</v>
      </c>
      <c r="L160" s="273">
        <f ca="1">DSUM($B$117:$Y$125,L$132,$C$132:$D160)</f>
        <v>15.610384201702233</v>
      </c>
      <c r="M160" s="273">
        <f ca="1">DSUM($B$117:$Y$125,M$132,$C$132:$D160)</f>
        <v>16.280913024220393</v>
      </c>
      <c r="N160" s="273">
        <f ca="1">DSUM($B$117:$Y$125,N$132,$C$132:$D160)</f>
        <v>16.811084989231865</v>
      </c>
      <c r="O160" s="273">
        <f ca="1">DSUM($B$117:$Y$125,O$132,$C$132:$D160)</f>
        <v>17.242918007461952</v>
      </c>
      <c r="P160" s="273">
        <f ca="1">DSUM($B$117:$Y$125,P$132,$C$132:$D160)</f>
        <v>17.570710021067381</v>
      </c>
      <c r="Q160" s="273">
        <f ca="1">DSUM($B$117:$Y$125,Q$132,$C$132:$D160)</f>
        <v>17.800530466339413</v>
      </c>
      <c r="R160" s="273">
        <f ca="1">DSUM($B$117:$Y$125,R$132,$C$132:$D160)</f>
        <v>17.964993609714327</v>
      </c>
      <c r="S160" s="273">
        <f ca="1">DSUM($B$117:$Y$125,S$132,$C$132:$D160)</f>
        <v>18.074446032348924</v>
      </c>
      <c r="T160" s="273">
        <f ca="1">DSUM($B$117:$Y$125,T$132,$C$132:$D160)</f>
        <v>18.141543347721733</v>
      </c>
      <c r="U160" s="273">
        <f ca="1">DSUM($B$117:$Y$125,U$132,$C$132:$D160)</f>
        <v>18.179970637942048</v>
      </c>
      <c r="V160" s="273">
        <f ca="1">DSUM($B$117:$Y$125,V$132,$C$132:$D160)</f>
        <v>18.191286626964121</v>
      </c>
      <c r="W160" s="273">
        <f ca="1">DSUM($B$117:$Y$125,W$132,$C$132:$D160)</f>
        <v>18.176211038222796</v>
      </c>
      <c r="X160" s="273">
        <f ca="1">DSUM($B$117:$Y$125,X$132,$C$132:$D160)</f>
        <v>18.152209439007514</v>
      </c>
      <c r="Y160" s="198">
        <f ca="1">DSUM($B$117:$Y$125,Y$117,$C$132:$D160)</f>
        <v>123.72449000056638</v>
      </c>
    </row>
    <row r="161" spans="1:26">
      <c r="A161" s="24"/>
      <c r="B161" s="24" t="s">
        <v>773</v>
      </c>
      <c r="C161" s="272" t="s">
        <v>774</v>
      </c>
      <c r="D161" s="272" t="s">
        <v>775</v>
      </c>
      <c r="E161" s="273">
        <f ca="1">DSUM($B$117:$Y$125,E$132,$C$132:$D161)</f>
        <v>4.3910848161196387</v>
      </c>
      <c r="F161" s="273">
        <f ca="1">DSUM($B$117:$Y$125,F$132,$C$132:$D161)</f>
        <v>7.4367528257647644</v>
      </c>
      <c r="G161" s="273">
        <f ca="1">DSUM($B$117:$Y$125,G$132,$C$132:$D161)</f>
        <v>9.5171581412648099</v>
      </c>
      <c r="H161" s="273">
        <f ca="1">DSUM($B$117:$Y$125,H$132,$C$132:$D161)</f>
        <v>11.114331536267246</v>
      </c>
      <c r="I161" s="273">
        <f ca="1">DSUM($B$117:$Y$125,I$132,$C$132:$D161)</f>
        <v>12.495652594642026</v>
      </c>
      <c r="J161" s="273">
        <f ca="1">DSUM($B$117:$Y$125,J$132,$C$132:$D161)</f>
        <v>13.865543706927049</v>
      </c>
      <c r="K161" s="273">
        <f ca="1">DSUM($B$117:$Y$125,K$132,$C$132:$D161)</f>
        <v>14.814925472843582</v>
      </c>
      <c r="L161" s="273">
        <f ca="1">DSUM($B$117:$Y$125,L$132,$C$132:$D161)</f>
        <v>15.610384201702233</v>
      </c>
      <c r="M161" s="273">
        <f ca="1">DSUM($B$117:$Y$125,M$132,$C$132:$D161)</f>
        <v>16.280913024220393</v>
      </c>
      <c r="N161" s="273">
        <f ca="1">DSUM($B$117:$Y$125,N$132,$C$132:$D161)</f>
        <v>16.811084989231865</v>
      </c>
      <c r="O161" s="273">
        <f ca="1">DSUM($B$117:$Y$125,O$132,$C$132:$D161)</f>
        <v>17.242918007461952</v>
      </c>
      <c r="P161" s="273">
        <f ca="1">DSUM($B$117:$Y$125,P$132,$C$132:$D161)</f>
        <v>17.570710021067381</v>
      </c>
      <c r="Q161" s="273">
        <f ca="1">DSUM($B$117:$Y$125,Q$132,$C$132:$D161)</f>
        <v>17.800530466339413</v>
      </c>
      <c r="R161" s="273">
        <f ca="1">DSUM($B$117:$Y$125,R$132,$C$132:$D161)</f>
        <v>17.964993609714327</v>
      </c>
      <c r="S161" s="273">
        <f ca="1">DSUM($B$117:$Y$125,S$132,$C$132:$D161)</f>
        <v>18.074446032348924</v>
      </c>
      <c r="T161" s="273">
        <f ca="1">DSUM($B$117:$Y$125,T$132,$C$132:$D161)</f>
        <v>18.141543347721733</v>
      </c>
      <c r="U161" s="273">
        <f ca="1">DSUM($B$117:$Y$125,U$132,$C$132:$D161)</f>
        <v>18.179970637942048</v>
      </c>
      <c r="V161" s="273">
        <f ca="1">DSUM($B$117:$Y$125,V$132,$C$132:$D161)</f>
        <v>18.191286626964121</v>
      </c>
      <c r="W161" s="273">
        <f ca="1">DSUM($B$117:$Y$125,W$132,$C$132:$D161)</f>
        <v>18.176211038222796</v>
      </c>
      <c r="X161" s="273">
        <f ca="1">DSUM($B$117:$Y$125,X$132,$C$132:$D161)</f>
        <v>18.152209439007514</v>
      </c>
      <c r="Y161" s="198">
        <f ca="1">DSUM($B$117:$Y$125,Y$117,$C$132:$D161)</f>
        <v>123.72449000056638</v>
      </c>
    </row>
    <row r="162" spans="1:26">
      <c r="A162" s="24"/>
      <c r="B162" s="24" t="s">
        <v>776</v>
      </c>
      <c r="C162" s="272" t="s">
        <v>777</v>
      </c>
      <c r="D162" s="272" t="s">
        <v>778</v>
      </c>
      <c r="E162" s="273">
        <f ca="1">DSUM($B$117:$Y$125,E$132,$C$132:$D162)</f>
        <v>4.3910848161196387</v>
      </c>
      <c r="F162" s="273">
        <f ca="1">DSUM($B$117:$Y$125,F$132,$C$132:$D162)</f>
        <v>7.4367528257647644</v>
      </c>
      <c r="G162" s="273">
        <f ca="1">DSUM($B$117:$Y$125,G$132,$C$132:$D162)</f>
        <v>9.5171581412648099</v>
      </c>
      <c r="H162" s="273">
        <f ca="1">DSUM($B$117:$Y$125,H$132,$C$132:$D162)</f>
        <v>11.114331536267246</v>
      </c>
      <c r="I162" s="273">
        <f ca="1">DSUM($B$117:$Y$125,I$132,$C$132:$D162)</f>
        <v>12.495652594642026</v>
      </c>
      <c r="J162" s="273">
        <f ca="1">DSUM($B$117:$Y$125,J$132,$C$132:$D162)</f>
        <v>13.865543706927049</v>
      </c>
      <c r="K162" s="273">
        <f ca="1">DSUM($B$117:$Y$125,K$132,$C$132:$D162)</f>
        <v>14.814925472843582</v>
      </c>
      <c r="L162" s="273">
        <f ca="1">DSUM($B$117:$Y$125,L$132,$C$132:$D162)</f>
        <v>15.610384201702233</v>
      </c>
      <c r="M162" s="273">
        <f ca="1">DSUM($B$117:$Y$125,M$132,$C$132:$D162)</f>
        <v>16.280913024220393</v>
      </c>
      <c r="N162" s="273">
        <f ca="1">DSUM($B$117:$Y$125,N$132,$C$132:$D162)</f>
        <v>16.811084989231865</v>
      </c>
      <c r="O162" s="273">
        <f ca="1">DSUM($B$117:$Y$125,O$132,$C$132:$D162)</f>
        <v>17.242918007461952</v>
      </c>
      <c r="P162" s="273">
        <f ca="1">DSUM($B$117:$Y$125,P$132,$C$132:$D162)</f>
        <v>17.570710021067381</v>
      </c>
      <c r="Q162" s="273">
        <f ca="1">DSUM($B$117:$Y$125,Q$132,$C$132:$D162)</f>
        <v>17.800530466339413</v>
      </c>
      <c r="R162" s="273">
        <f ca="1">DSUM($B$117:$Y$125,R$132,$C$132:$D162)</f>
        <v>17.964993609714327</v>
      </c>
      <c r="S162" s="273">
        <f ca="1">DSUM($B$117:$Y$125,S$132,$C$132:$D162)</f>
        <v>18.074446032348924</v>
      </c>
      <c r="T162" s="273">
        <f ca="1">DSUM($B$117:$Y$125,T$132,$C$132:$D162)</f>
        <v>18.141543347721733</v>
      </c>
      <c r="U162" s="273">
        <f ca="1">DSUM($B$117:$Y$125,U$132,$C$132:$D162)</f>
        <v>18.179970637942048</v>
      </c>
      <c r="V162" s="273">
        <f ca="1">DSUM($B$117:$Y$125,V$132,$C$132:$D162)</f>
        <v>18.191286626964121</v>
      </c>
      <c r="W162" s="273">
        <f ca="1">DSUM($B$117:$Y$125,W$132,$C$132:$D162)</f>
        <v>18.176211038222796</v>
      </c>
      <c r="X162" s="273">
        <f ca="1">DSUM($B$117:$Y$125,X$132,$C$132:$D162)</f>
        <v>18.152209439007514</v>
      </c>
      <c r="Y162" s="198">
        <f ca="1">DSUM($B$117:$Y$125,Y$117,$C$132:$D162)</f>
        <v>123.72449000056638</v>
      </c>
    </row>
    <row r="163" spans="1:26">
      <c r="A163" s="24"/>
      <c r="B163" s="24" t="s">
        <v>779</v>
      </c>
      <c r="C163" s="272" t="s">
        <v>780</v>
      </c>
      <c r="D163" s="272" t="s">
        <v>781</v>
      </c>
      <c r="E163" s="273">
        <f ca="1">DSUM($B$117:$Y$125,E$132,$C$132:$D163)</f>
        <v>4.3910848161196387</v>
      </c>
      <c r="F163" s="273">
        <f ca="1">DSUM($B$117:$Y$125,F$132,$C$132:$D163)</f>
        <v>7.4367528257647644</v>
      </c>
      <c r="G163" s="273">
        <f ca="1">DSUM($B$117:$Y$125,G$132,$C$132:$D163)</f>
        <v>9.5171581412648099</v>
      </c>
      <c r="H163" s="273">
        <f ca="1">DSUM($B$117:$Y$125,H$132,$C$132:$D163)</f>
        <v>11.114331536267246</v>
      </c>
      <c r="I163" s="273">
        <f ca="1">DSUM($B$117:$Y$125,I$132,$C$132:$D163)</f>
        <v>12.495652594642026</v>
      </c>
      <c r="J163" s="273">
        <f ca="1">DSUM($B$117:$Y$125,J$132,$C$132:$D163)</f>
        <v>13.865543706927049</v>
      </c>
      <c r="K163" s="273">
        <f ca="1">DSUM($B$117:$Y$125,K$132,$C$132:$D163)</f>
        <v>14.814925472843582</v>
      </c>
      <c r="L163" s="273">
        <f ca="1">DSUM($B$117:$Y$125,L$132,$C$132:$D163)</f>
        <v>15.610384201702233</v>
      </c>
      <c r="M163" s="273">
        <f ca="1">DSUM($B$117:$Y$125,M$132,$C$132:$D163)</f>
        <v>16.280913024220393</v>
      </c>
      <c r="N163" s="273">
        <f ca="1">DSUM($B$117:$Y$125,N$132,$C$132:$D163)</f>
        <v>16.811084989231865</v>
      </c>
      <c r="O163" s="273">
        <f ca="1">DSUM($B$117:$Y$125,O$132,$C$132:$D163)</f>
        <v>17.242918007461952</v>
      </c>
      <c r="P163" s="273">
        <f ca="1">DSUM($B$117:$Y$125,P$132,$C$132:$D163)</f>
        <v>17.570710021067381</v>
      </c>
      <c r="Q163" s="273">
        <f ca="1">DSUM($B$117:$Y$125,Q$132,$C$132:$D163)</f>
        <v>17.800530466339413</v>
      </c>
      <c r="R163" s="273">
        <f ca="1">DSUM($B$117:$Y$125,R$132,$C$132:$D163)</f>
        <v>17.964993609714327</v>
      </c>
      <c r="S163" s="273">
        <f ca="1">DSUM($B$117:$Y$125,S$132,$C$132:$D163)</f>
        <v>18.074446032348924</v>
      </c>
      <c r="T163" s="273">
        <f ca="1">DSUM($B$117:$Y$125,T$132,$C$132:$D163)</f>
        <v>18.141543347721733</v>
      </c>
      <c r="U163" s="273">
        <f ca="1">DSUM($B$117:$Y$125,U$132,$C$132:$D163)</f>
        <v>18.179970637942048</v>
      </c>
      <c r="V163" s="273">
        <f ca="1">DSUM($B$117:$Y$125,V$132,$C$132:$D163)</f>
        <v>18.191286626964121</v>
      </c>
      <c r="W163" s="273">
        <f ca="1">DSUM($B$117:$Y$125,W$132,$C$132:$D163)</f>
        <v>18.176211038222796</v>
      </c>
      <c r="X163" s="273">
        <f ca="1">DSUM($B$117:$Y$125,X$132,$C$132:$D163)</f>
        <v>18.152209439007514</v>
      </c>
      <c r="Y163" s="198">
        <f ca="1">DSUM($B$117:$Y$125,Y$117,$C$132:$D163)</f>
        <v>123.72449000056638</v>
      </c>
    </row>
    <row r="164" spans="1:26">
      <c r="A164" s="24"/>
      <c r="B164" s="24" t="s">
        <v>782</v>
      </c>
      <c r="C164" s="272" t="s">
        <v>783</v>
      </c>
      <c r="D164" s="272" t="s">
        <v>784</v>
      </c>
      <c r="E164" s="273">
        <f ca="1">DSUM($B$117:$Y$125,E$132,$C$132:$D164)</f>
        <v>4.3910848161196387</v>
      </c>
      <c r="F164" s="273">
        <f ca="1">DSUM($B$117:$Y$125,F$132,$C$132:$D164)</f>
        <v>7.4367528257647644</v>
      </c>
      <c r="G164" s="273">
        <f ca="1">DSUM($B$117:$Y$125,G$132,$C$132:$D164)</f>
        <v>9.5171581412648099</v>
      </c>
      <c r="H164" s="273">
        <f ca="1">DSUM($B$117:$Y$125,H$132,$C$132:$D164)</f>
        <v>11.114331536267246</v>
      </c>
      <c r="I164" s="273">
        <f ca="1">DSUM($B$117:$Y$125,I$132,$C$132:$D164)</f>
        <v>12.495652594642026</v>
      </c>
      <c r="J164" s="273">
        <f ca="1">DSUM($B$117:$Y$125,J$132,$C$132:$D164)</f>
        <v>13.865543706927049</v>
      </c>
      <c r="K164" s="273">
        <f ca="1">DSUM($B$117:$Y$125,K$132,$C$132:$D164)</f>
        <v>14.814925472843582</v>
      </c>
      <c r="L164" s="273">
        <f ca="1">DSUM($B$117:$Y$125,L$132,$C$132:$D164)</f>
        <v>15.610384201702233</v>
      </c>
      <c r="M164" s="273">
        <f ca="1">DSUM($B$117:$Y$125,M$132,$C$132:$D164)</f>
        <v>16.280913024220393</v>
      </c>
      <c r="N164" s="273">
        <f ca="1">DSUM($B$117:$Y$125,N$132,$C$132:$D164)</f>
        <v>16.811084989231865</v>
      </c>
      <c r="O164" s="273">
        <f ca="1">DSUM($B$117:$Y$125,O$132,$C$132:$D164)</f>
        <v>17.242918007461952</v>
      </c>
      <c r="P164" s="273">
        <f ca="1">DSUM($B$117:$Y$125,P$132,$C$132:$D164)</f>
        <v>17.570710021067381</v>
      </c>
      <c r="Q164" s="273">
        <f ca="1">DSUM($B$117:$Y$125,Q$132,$C$132:$D164)</f>
        <v>17.800530466339413</v>
      </c>
      <c r="R164" s="273">
        <f ca="1">DSUM($B$117:$Y$125,R$132,$C$132:$D164)</f>
        <v>17.964993609714327</v>
      </c>
      <c r="S164" s="273">
        <f ca="1">DSUM($B$117:$Y$125,S$132,$C$132:$D164)</f>
        <v>18.074446032348924</v>
      </c>
      <c r="T164" s="273">
        <f ca="1">DSUM($B$117:$Y$125,T$132,$C$132:$D164)</f>
        <v>18.141543347721733</v>
      </c>
      <c r="U164" s="273">
        <f ca="1">DSUM($B$117:$Y$125,U$132,$C$132:$D164)</f>
        <v>18.179970637942048</v>
      </c>
      <c r="V164" s="273">
        <f ca="1">DSUM($B$117:$Y$125,V$132,$C$132:$D164)</f>
        <v>18.191286626964121</v>
      </c>
      <c r="W164" s="273">
        <f ca="1">DSUM($B$117:$Y$125,W$132,$C$132:$D164)</f>
        <v>18.176211038222796</v>
      </c>
      <c r="X164" s="273">
        <f ca="1">DSUM($B$117:$Y$125,X$132,$C$132:$D164)</f>
        <v>18.152209439007514</v>
      </c>
      <c r="Y164" s="198">
        <f ca="1">DSUM($B$117:$Y$125,Y$117,$C$132:$D164)</f>
        <v>123.72449000056638</v>
      </c>
    </row>
    <row r="165" spans="1:26">
      <c r="A165" s="24"/>
      <c r="B165" s="24"/>
      <c r="C165" s="24"/>
      <c r="D165" s="24"/>
      <c r="E165" s="24"/>
      <c r="F165" s="24"/>
      <c r="G165" s="24"/>
      <c r="H165" s="24"/>
      <c r="I165" s="24"/>
      <c r="J165" s="24"/>
      <c r="K165" s="24"/>
      <c r="L165" s="24"/>
      <c r="M165" s="24"/>
      <c r="N165" s="24"/>
      <c r="O165" s="24"/>
      <c r="P165" s="24"/>
      <c r="Q165" s="24"/>
      <c r="R165" s="24"/>
      <c r="S165" s="24"/>
      <c r="T165" s="24"/>
      <c r="U165" s="24"/>
      <c r="V165" s="24"/>
      <c r="W165" s="24"/>
      <c r="X165" s="24"/>
      <c r="Y165" s="24"/>
      <c r="Z165" s="24"/>
    </row>
    <row r="166" spans="1:26">
      <c r="A166" s="24"/>
      <c r="B166" s="24"/>
      <c r="C166" s="24"/>
      <c r="D166" s="24"/>
      <c r="E166" s="24"/>
      <c r="F166" s="24"/>
      <c r="G166" s="24"/>
      <c r="H166" s="24"/>
      <c r="I166" s="24"/>
      <c r="J166" s="24"/>
      <c r="K166" s="24"/>
      <c r="L166" s="24"/>
      <c r="M166" s="24"/>
      <c r="N166" s="24"/>
      <c r="O166" s="24"/>
      <c r="P166" s="24"/>
      <c r="Q166" s="24"/>
      <c r="R166" s="24"/>
      <c r="S166" s="24"/>
      <c r="T166" s="24"/>
      <c r="U166" s="24"/>
      <c r="V166" s="24"/>
      <c r="W166" s="24"/>
      <c r="X166" s="24"/>
      <c r="Y166" s="24"/>
      <c r="Z166" s="24"/>
    </row>
    <row r="167" spans="1:26" ht="15">
      <c r="A167" s="342" t="s">
        <v>785</v>
      </c>
      <c r="B167" s="342"/>
      <c r="C167" s="24"/>
      <c r="D167" s="24"/>
      <c r="E167" s="24"/>
      <c r="F167" s="24"/>
      <c r="G167" s="24"/>
      <c r="H167" s="24"/>
      <c r="I167" s="24"/>
      <c r="J167" s="24"/>
      <c r="K167" s="24"/>
      <c r="L167" s="24"/>
      <c r="M167" s="24"/>
      <c r="N167" s="24"/>
      <c r="O167" s="24"/>
      <c r="P167" s="24"/>
      <c r="Q167" s="24"/>
      <c r="R167" s="24"/>
      <c r="S167" s="24"/>
      <c r="T167" s="24"/>
      <c r="U167" s="24"/>
      <c r="V167" s="24"/>
      <c r="W167" s="24"/>
      <c r="X167" s="24"/>
      <c r="Y167" s="24"/>
      <c r="Z167" s="24"/>
    </row>
    <row r="168" spans="1:26" ht="15">
      <c r="A168" s="24"/>
      <c r="B168" s="24"/>
      <c r="C168" s="243" t="s">
        <v>927</v>
      </c>
      <c r="D168" s="243" t="str">
        <f>$C$11</f>
        <v>Exterior Building Lighting-NR</v>
      </c>
      <c r="E168" s="263">
        <f t="shared" ref="E168:X168" si="39">E11</f>
        <v>2016</v>
      </c>
      <c r="F168" s="263">
        <f t="shared" si="39"/>
        <v>2017</v>
      </c>
      <c r="G168" s="263">
        <f t="shared" si="39"/>
        <v>2018</v>
      </c>
      <c r="H168" s="263">
        <f t="shared" si="39"/>
        <v>2019</v>
      </c>
      <c r="I168" s="263">
        <f t="shared" si="39"/>
        <v>2020</v>
      </c>
      <c r="J168" s="263">
        <f t="shared" si="39"/>
        <v>2021</v>
      </c>
      <c r="K168" s="263">
        <f t="shared" si="39"/>
        <v>2022</v>
      </c>
      <c r="L168" s="263">
        <f t="shared" si="39"/>
        <v>2023</v>
      </c>
      <c r="M168" s="263">
        <f t="shared" si="39"/>
        <v>2024</v>
      </c>
      <c r="N168" s="263">
        <f t="shared" si="39"/>
        <v>2025</v>
      </c>
      <c r="O168" s="263">
        <f t="shared" si="39"/>
        <v>2026</v>
      </c>
      <c r="P168" s="263">
        <f t="shared" si="39"/>
        <v>2027</v>
      </c>
      <c r="Q168" s="263">
        <f t="shared" si="39"/>
        <v>2028</v>
      </c>
      <c r="R168" s="263">
        <f t="shared" si="39"/>
        <v>2029</v>
      </c>
      <c r="S168" s="263">
        <f t="shared" si="39"/>
        <v>2030</v>
      </c>
      <c r="T168" s="263">
        <f t="shared" si="39"/>
        <v>2031</v>
      </c>
      <c r="U168" s="263">
        <f t="shared" si="39"/>
        <v>2032</v>
      </c>
      <c r="V168" s="263">
        <f t="shared" si="39"/>
        <v>2033</v>
      </c>
      <c r="W168" s="263">
        <f t="shared" si="39"/>
        <v>2034</v>
      </c>
      <c r="X168" s="263">
        <f t="shared" si="39"/>
        <v>2035</v>
      </c>
      <c r="Y168" s="243"/>
      <c r="Z168" s="24"/>
    </row>
    <row r="169" spans="1:26" ht="15">
      <c r="A169" s="24"/>
      <c r="B169" s="24"/>
      <c r="C169" s="243"/>
      <c r="D169" s="243"/>
      <c r="E169" s="265" t="str">
        <f>CONCATENATE("aMW_",E$11)</f>
        <v>aMW_2016</v>
      </c>
      <c r="F169" s="265" t="str">
        <f t="shared" ref="F169:X169" si="40">CONCATENATE("aMW_",F$11)</f>
        <v>aMW_2017</v>
      </c>
      <c r="G169" s="265" t="str">
        <f t="shared" si="40"/>
        <v>aMW_2018</v>
      </c>
      <c r="H169" s="265" t="str">
        <f t="shared" si="40"/>
        <v>aMW_2019</v>
      </c>
      <c r="I169" s="265" t="str">
        <f t="shared" si="40"/>
        <v>aMW_2020</v>
      </c>
      <c r="J169" s="265" t="str">
        <f t="shared" si="40"/>
        <v>aMW_2021</v>
      </c>
      <c r="K169" s="265" t="str">
        <f t="shared" si="40"/>
        <v>aMW_2022</v>
      </c>
      <c r="L169" s="265" t="str">
        <f t="shared" si="40"/>
        <v>aMW_2023</v>
      </c>
      <c r="M169" s="265" t="str">
        <f t="shared" si="40"/>
        <v>aMW_2024</v>
      </c>
      <c r="N169" s="265" t="str">
        <f t="shared" si="40"/>
        <v>aMW_2025</v>
      </c>
      <c r="O169" s="265" t="str">
        <f t="shared" si="40"/>
        <v>aMW_2026</v>
      </c>
      <c r="P169" s="265" t="str">
        <f t="shared" si="40"/>
        <v>aMW_2027</v>
      </c>
      <c r="Q169" s="265" t="str">
        <f t="shared" si="40"/>
        <v>aMW_2028</v>
      </c>
      <c r="R169" s="265" t="str">
        <f t="shared" si="40"/>
        <v>aMW_2029</v>
      </c>
      <c r="S169" s="265" t="str">
        <f t="shared" si="40"/>
        <v>aMW_2030</v>
      </c>
      <c r="T169" s="265" t="str">
        <f t="shared" si="40"/>
        <v>aMW_2031</v>
      </c>
      <c r="U169" s="265" t="str">
        <f t="shared" si="40"/>
        <v>aMW_2032</v>
      </c>
      <c r="V169" s="265" t="str">
        <f t="shared" si="40"/>
        <v>aMW_2033</v>
      </c>
      <c r="W169" s="265" t="str">
        <f t="shared" si="40"/>
        <v>aMW_2034</v>
      </c>
      <c r="X169" s="265" t="str">
        <f t="shared" si="40"/>
        <v>aMW_2035</v>
      </c>
      <c r="Y169" s="248" t="s">
        <v>695</v>
      </c>
    </row>
    <row r="170" spans="1:26">
      <c r="A170" s="24"/>
      <c r="B170" s="24"/>
      <c r="C170" s="24" t="s">
        <v>641</v>
      </c>
      <c r="D170" s="24"/>
      <c r="E170" s="275">
        <f t="shared" ref="E170:X170" ca="1" si="41">E133</f>
        <v>3.5817923712627465E-2</v>
      </c>
      <c r="F170" s="275">
        <f t="shared" ca="1" si="41"/>
        <v>6.0661330067019043E-2</v>
      </c>
      <c r="G170" s="275">
        <f t="shared" ca="1" si="41"/>
        <v>7.763112272699646E-2</v>
      </c>
      <c r="H170" s="275">
        <f t="shared" ca="1" si="41"/>
        <v>9.0659209683556119E-2</v>
      </c>
      <c r="I170" s="275">
        <f t="shared" ca="1" si="41"/>
        <v>0.10192659675608259</v>
      </c>
      <c r="J170" s="275">
        <f t="shared" ca="1" si="41"/>
        <v>0.11310075016216303</v>
      </c>
      <c r="K170" s="275">
        <f t="shared" ca="1" si="41"/>
        <v>0.12084482368607362</v>
      </c>
      <c r="L170" s="275">
        <f t="shared" ca="1" si="41"/>
        <v>0.12733335243464389</v>
      </c>
      <c r="M170" s="275">
        <f t="shared" ca="1" si="41"/>
        <v>0.13280283235083848</v>
      </c>
      <c r="N170" s="275">
        <f t="shared" ca="1" si="41"/>
        <v>0.13712742633901287</v>
      </c>
      <c r="O170" s="275">
        <f t="shared" ca="1" si="41"/>
        <v>0.1406498730125042</v>
      </c>
      <c r="P170" s="275">
        <f t="shared" ca="1" si="41"/>
        <v>0.14332366088693271</v>
      </c>
      <c r="Q170" s="275">
        <f t="shared" ca="1" si="41"/>
        <v>0.14519829813969934</v>
      </c>
      <c r="R170" s="275">
        <f t="shared" ca="1" si="41"/>
        <v>0.14653981818989664</v>
      </c>
      <c r="S170" s="275">
        <f t="shared" ca="1" si="41"/>
        <v>0.14743261773448676</v>
      </c>
      <c r="T170" s="275">
        <f t="shared" ca="1" si="41"/>
        <v>0.14797992816550437</v>
      </c>
      <c r="U170" s="275">
        <f t="shared" ca="1" si="41"/>
        <v>0.14829337821423527</v>
      </c>
      <c r="V170" s="275">
        <f t="shared" ca="1" si="41"/>
        <v>0.14838568233690622</v>
      </c>
      <c r="W170" s="275">
        <f t="shared" ca="1" si="41"/>
        <v>0.14826271129214805</v>
      </c>
      <c r="X170" s="275">
        <f t="shared" ca="1" si="41"/>
        <v>0.1480669310953005</v>
      </c>
      <c r="Y170" s="275">
        <f ca="1">Y133</f>
        <v>1.4086676160563849</v>
      </c>
    </row>
    <row r="171" spans="1:26">
      <c r="A171" s="24"/>
      <c r="B171" s="24"/>
      <c r="C171" s="24" t="s">
        <v>642</v>
      </c>
      <c r="D171" s="24"/>
      <c r="E171" s="275">
        <f t="shared" ref="E171:X183" ca="1" si="42">E134-E133</f>
        <v>2.1588129091321582</v>
      </c>
      <c r="F171" s="275">
        <f t="shared" ca="1" si="42"/>
        <v>3.6561712366269652</v>
      </c>
      <c r="G171" s="275">
        <f t="shared" ca="1" si="42"/>
        <v>4.6789722162030074</v>
      </c>
      <c r="H171" s="275">
        <f t="shared" ca="1" si="42"/>
        <v>5.4641992586404742</v>
      </c>
      <c r="I171" s="275">
        <f t="shared" ca="1" si="42"/>
        <v>6.1433056429053901</v>
      </c>
      <c r="J171" s="275">
        <f t="shared" ca="1" si="42"/>
        <v>6.816792660612256</v>
      </c>
      <c r="K171" s="275">
        <f t="shared" ca="1" si="42"/>
        <v>7.2835423814173437</v>
      </c>
      <c r="L171" s="275">
        <f t="shared" ca="1" si="42"/>
        <v>7.6746180824008237</v>
      </c>
      <c r="M171" s="275">
        <f t="shared" ca="1" si="42"/>
        <v>8.0042738140968872</v>
      </c>
      <c r="N171" s="275">
        <f t="shared" ca="1" si="42"/>
        <v>8.2649251406039799</v>
      </c>
      <c r="O171" s="275">
        <f t="shared" ca="1" si="42"/>
        <v>8.4772295558870425</v>
      </c>
      <c r="P171" s="275">
        <f t="shared" ca="1" si="42"/>
        <v>8.6383837262378567</v>
      </c>
      <c r="Q171" s="275">
        <f t="shared" ca="1" si="42"/>
        <v>8.7513716016290211</v>
      </c>
      <c r="R171" s="275">
        <f t="shared" ca="1" si="42"/>
        <v>8.8322275112418005</v>
      </c>
      <c r="S171" s="275">
        <f t="shared" ca="1" si="42"/>
        <v>8.8860382010403569</v>
      </c>
      <c r="T171" s="275">
        <f t="shared" ca="1" si="42"/>
        <v>8.9190256191068844</v>
      </c>
      <c r="U171" s="275">
        <f t="shared" ca="1" si="42"/>
        <v>8.9379178367853154</v>
      </c>
      <c r="V171" s="275">
        <f t="shared" ca="1" si="42"/>
        <v>8.9434811780104191</v>
      </c>
      <c r="W171" s="275">
        <f t="shared" ca="1" si="42"/>
        <v>8.9360694843286961</v>
      </c>
      <c r="X171" s="275">
        <f t="shared" ca="1" si="42"/>
        <v>8.9242694475734154</v>
      </c>
      <c r="Y171" s="275">
        <f t="shared" ref="Y171:Y201" ca="1" si="43">Y134-Y133</f>
        <v>56.602012233088345</v>
      </c>
    </row>
    <row r="172" spans="1:26">
      <c r="A172" s="24"/>
      <c r="B172" s="24"/>
      <c r="C172" s="24" t="s">
        <v>643</v>
      </c>
      <c r="D172" s="24"/>
      <c r="E172" s="275">
        <f t="shared" ca="1" si="42"/>
        <v>0.52151404424616965</v>
      </c>
      <c r="F172" s="275">
        <f t="shared" ca="1" si="42"/>
        <v>0.88323756079277871</v>
      </c>
      <c r="G172" s="275">
        <f t="shared" ca="1" si="42"/>
        <v>1.1303201463476675</v>
      </c>
      <c r="H172" s="275">
        <f t="shared" ca="1" si="42"/>
        <v>1.3200109383661589</v>
      </c>
      <c r="I172" s="275">
        <f t="shared" ca="1" si="42"/>
        <v>1.4840656906020824</v>
      </c>
      <c r="J172" s="275">
        <f t="shared" ca="1" si="42"/>
        <v>1.6467629474444063</v>
      </c>
      <c r="K172" s="275">
        <f t="shared" ca="1" si="42"/>
        <v>1.7595177551992309</v>
      </c>
      <c r="L172" s="275">
        <f t="shared" ca="1" si="42"/>
        <v>1.8539916531287606</v>
      </c>
      <c r="M172" s="275">
        <f t="shared" ca="1" si="42"/>
        <v>1.9336280556713312</v>
      </c>
      <c r="N172" s="275">
        <f t="shared" ca="1" si="42"/>
        <v>1.9965947568846776</v>
      </c>
      <c r="O172" s="275">
        <f t="shared" ca="1" si="42"/>
        <v>2.0478820795411359</v>
      </c>
      <c r="P172" s="275">
        <f t="shared" ca="1" si="42"/>
        <v>2.0868128098379906</v>
      </c>
      <c r="Q172" s="275">
        <f t="shared" ca="1" si="42"/>
        <v>2.1141077938529396</v>
      </c>
      <c r="R172" s="275">
        <f t="shared" ca="1" si="42"/>
        <v>2.1336405158618668</v>
      </c>
      <c r="S172" s="275">
        <f t="shared" ca="1" si="42"/>
        <v>2.1466398037305883</v>
      </c>
      <c r="T172" s="275">
        <f t="shared" ca="1" si="42"/>
        <v>2.1546087211538367</v>
      </c>
      <c r="U172" s="275">
        <f t="shared" ca="1" si="42"/>
        <v>2.1591725982756458</v>
      </c>
      <c r="V172" s="275">
        <f t="shared" ca="1" si="42"/>
        <v>2.1605165593801736</v>
      </c>
      <c r="W172" s="275">
        <f t="shared" ca="1" si="42"/>
        <v>2.158726083544904</v>
      </c>
      <c r="X172" s="275">
        <f t="shared" ca="1" si="42"/>
        <v>2.1558754961389894</v>
      </c>
      <c r="Y172" s="275">
        <f t="shared" ca="1" si="43"/>
        <v>17.981720619728712</v>
      </c>
    </row>
    <row r="173" spans="1:26">
      <c r="A173" s="24"/>
      <c r="B173" s="24"/>
      <c r="C173" s="24" t="s">
        <v>644</v>
      </c>
      <c r="D173" s="24"/>
      <c r="E173" s="275">
        <f t="shared" ca="1" si="42"/>
        <v>1.6749399390286834</v>
      </c>
      <c r="F173" s="275">
        <f t="shared" ca="1" si="42"/>
        <v>2.8366826982780013</v>
      </c>
      <c r="G173" s="275">
        <f t="shared" ca="1" si="42"/>
        <v>3.6302346559871381</v>
      </c>
      <c r="H173" s="275">
        <f t="shared" ca="1" si="42"/>
        <v>4.2394621295770563</v>
      </c>
      <c r="I173" s="275">
        <f t="shared" ca="1" si="42"/>
        <v>4.7663546643784711</v>
      </c>
      <c r="J173" s="275">
        <f t="shared" ca="1" si="42"/>
        <v>5.288887348708224</v>
      </c>
      <c r="K173" s="275">
        <f t="shared" ca="1" si="42"/>
        <v>5.6510205125409332</v>
      </c>
      <c r="L173" s="275">
        <f t="shared" ca="1" si="42"/>
        <v>5.9544411137380049</v>
      </c>
      <c r="M173" s="275">
        <f t="shared" ca="1" si="42"/>
        <v>6.2102083221013356</v>
      </c>
      <c r="N173" s="275">
        <f t="shared" ca="1" si="42"/>
        <v>6.4124376654041946</v>
      </c>
      <c r="O173" s="275">
        <f t="shared" ca="1" si="42"/>
        <v>6.5771564990212692</v>
      </c>
      <c r="P173" s="275">
        <f t="shared" ca="1" si="42"/>
        <v>6.7021898241046003</v>
      </c>
      <c r="Q173" s="275">
        <f t="shared" ca="1" si="42"/>
        <v>6.7898527727177527</v>
      </c>
      <c r="R173" s="275">
        <f t="shared" ca="1" si="42"/>
        <v>6.8525857644207626</v>
      </c>
      <c r="S173" s="275">
        <f t="shared" ca="1" si="42"/>
        <v>6.8943354098434924</v>
      </c>
      <c r="T173" s="275">
        <f t="shared" ca="1" si="42"/>
        <v>6.9199290792955068</v>
      </c>
      <c r="U173" s="275">
        <f t="shared" ca="1" si="42"/>
        <v>6.9345868246668516</v>
      </c>
      <c r="V173" s="275">
        <f t="shared" ca="1" si="42"/>
        <v>6.9389032072366224</v>
      </c>
      <c r="W173" s="275">
        <f t="shared" ca="1" si="42"/>
        <v>6.9331527590570481</v>
      </c>
      <c r="X173" s="275">
        <f t="shared" ca="1" si="42"/>
        <v>6.9239975641998086</v>
      </c>
      <c r="Y173" s="275">
        <f t="shared" ca="1" si="43"/>
        <v>47.732089531692935</v>
      </c>
    </row>
    <row r="174" spans="1:26">
      <c r="A174" s="24"/>
      <c r="B174" s="24"/>
      <c r="C174" s="24" t="s">
        <v>645</v>
      </c>
      <c r="D174" s="24"/>
      <c r="E174" s="275">
        <f t="shared" ca="1" si="42"/>
        <v>0</v>
      </c>
      <c r="F174" s="275">
        <f t="shared" ca="1" si="42"/>
        <v>0</v>
      </c>
      <c r="G174" s="275">
        <f t="shared" ca="1" si="42"/>
        <v>0</v>
      </c>
      <c r="H174" s="275">
        <f t="shared" ca="1" si="42"/>
        <v>0</v>
      </c>
      <c r="I174" s="275">
        <f t="shared" ca="1" si="42"/>
        <v>0</v>
      </c>
      <c r="J174" s="275">
        <f t="shared" ca="1" si="42"/>
        <v>0</v>
      </c>
      <c r="K174" s="275">
        <f t="shared" ca="1" si="42"/>
        <v>0</v>
      </c>
      <c r="L174" s="275">
        <f t="shared" ca="1" si="42"/>
        <v>0</v>
      </c>
      <c r="M174" s="275">
        <f t="shared" ca="1" si="42"/>
        <v>0</v>
      </c>
      <c r="N174" s="275">
        <f t="shared" ca="1" si="42"/>
        <v>0</v>
      </c>
      <c r="O174" s="275">
        <f t="shared" ca="1" si="42"/>
        <v>0</v>
      </c>
      <c r="P174" s="275">
        <f t="shared" ca="1" si="42"/>
        <v>0</v>
      </c>
      <c r="Q174" s="275">
        <f t="shared" ca="1" si="42"/>
        <v>0</v>
      </c>
      <c r="R174" s="275">
        <f t="shared" ca="1" si="42"/>
        <v>0</v>
      </c>
      <c r="S174" s="275">
        <f t="shared" ca="1" si="42"/>
        <v>0</v>
      </c>
      <c r="T174" s="275">
        <f t="shared" ca="1" si="42"/>
        <v>0</v>
      </c>
      <c r="U174" s="275">
        <f t="shared" ca="1" si="42"/>
        <v>0</v>
      </c>
      <c r="V174" s="275">
        <f t="shared" ca="1" si="42"/>
        <v>0</v>
      </c>
      <c r="W174" s="275">
        <f t="shared" ca="1" si="42"/>
        <v>0</v>
      </c>
      <c r="X174" s="275">
        <f t="shared" ca="1" si="42"/>
        <v>0</v>
      </c>
      <c r="Y174" s="275">
        <f t="shared" ca="1" si="43"/>
        <v>0</v>
      </c>
    </row>
    <row r="175" spans="1:26">
      <c r="A175" s="24"/>
      <c r="B175" s="24"/>
      <c r="C175" s="24" t="s">
        <v>646</v>
      </c>
      <c r="D175" s="24"/>
      <c r="E175" s="275">
        <f t="shared" ca="1" si="42"/>
        <v>0</v>
      </c>
      <c r="F175" s="275">
        <f t="shared" ca="1" si="42"/>
        <v>0</v>
      </c>
      <c r="G175" s="275">
        <f t="shared" ca="1" si="42"/>
        <v>0</v>
      </c>
      <c r="H175" s="275">
        <f t="shared" ca="1" si="42"/>
        <v>0</v>
      </c>
      <c r="I175" s="275">
        <f t="shared" ca="1" si="42"/>
        <v>0</v>
      </c>
      <c r="J175" s="275">
        <f t="shared" ca="1" si="42"/>
        <v>0</v>
      </c>
      <c r="K175" s="275">
        <f t="shared" ca="1" si="42"/>
        <v>0</v>
      </c>
      <c r="L175" s="275">
        <f t="shared" ca="1" si="42"/>
        <v>0</v>
      </c>
      <c r="M175" s="275">
        <f t="shared" ca="1" si="42"/>
        <v>0</v>
      </c>
      <c r="N175" s="275">
        <f t="shared" ca="1" si="42"/>
        <v>0</v>
      </c>
      <c r="O175" s="275">
        <f t="shared" ca="1" si="42"/>
        <v>0</v>
      </c>
      <c r="P175" s="275">
        <f t="shared" ca="1" si="42"/>
        <v>0</v>
      </c>
      <c r="Q175" s="275">
        <f t="shared" ca="1" si="42"/>
        <v>0</v>
      </c>
      <c r="R175" s="275">
        <f t="shared" ca="1" si="42"/>
        <v>0</v>
      </c>
      <c r="S175" s="275">
        <f t="shared" ca="1" si="42"/>
        <v>0</v>
      </c>
      <c r="T175" s="275">
        <f t="shared" ca="1" si="42"/>
        <v>0</v>
      </c>
      <c r="U175" s="275">
        <f t="shared" ca="1" si="42"/>
        <v>0</v>
      </c>
      <c r="V175" s="275">
        <f t="shared" ca="1" si="42"/>
        <v>0</v>
      </c>
      <c r="W175" s="275">
        <f t="shared" ca="1" si="42"/>
        <v>0</v>
      </c>
      <c r="X175" s="275">
        <f t="shared" ca="1" si="42"/>
        <v>0</v>
      </c>
      <c r="Y175" s="275">
        <f t="shared" ca="1" si="43"/>
        <v>0</v>
      </c>
    </row>
    <row r="176" spans="1:26">
      <c r="A176" s="24"/>
      <c r="B176" s="24"/>
      <c r="C176" s="24" t="s">
        <v>647</v>
      </c>
      <c r="D176" s="24"/>
      <c r="E176" s="275">
        <f t="shared" ca="1" si="42"/>
        <v>0</v>
      </c>
      <c r="F176" s="275">
        <f t="shared" ca="1" si="42"/>
        <v>0</v>
      </c>
      <c r="G176" s="275">
        <f t="shared" ca="1" si="42"/>
        <v>0</v>
      </c>
      <c r="H176" s="275">
        <f t="shared" ca="1" si="42"/>
        <v>0</v>
      </c>
      <c r="I176" s="275">
        <f t="shared" ca="1" si="42"/>
        <v>0</v>
      </c>
      <c r="J176" s="275">
        <f t="shared" ca="1" si="42"/>
        <v>0</v>
      </c>
      <c r="K176" s="275">
        <f t="shared" ca="1" si="42"/>
        <v>0</v>
      </c>
      <c r="L176" s="275">
        <f t="shared" ca="1" si="42"/>
        <v>0</v>
      </c>
      <c r="M176" s="275">
        <f t="shared" ca="1" si="42"/>
        <v>0</v>
      </c>
      <c r="N176" s="275">
        <f t="shared" ca="1" si="42"/>
        <v>0</v>
      </c>
      <c r="O176" s="275">
        <f t="shared" ca="1" si="42"/>
        <v>0</v>
      </c>
      <c r="P176" s="275">
        <f t="shared" ca="1" si="42"/>
        <v>0</v>
      </c>
      <c r="Q176" s="275">
        <f t="shared" ca="1" si="42"/>
        <v>0</v>
      </c>
      <c r="R176" s="275">
        <f t="shared" ca="1" si="42"/>
        <v>0</v>
      </c>
      <c r="S176" s="275">
        <f t="shared" ca="1" si="42"/>
        <v>0</v>
      </c>
      <c r="T176" s="275">
        <f t="shared" ca="1" si="42"/>
        <v>0</v>
      </c>
      <c r="U176" s="275">
        <f t="shared" ca="1" si="42"/>
        <v>0</v>
      </c>
      <c r="V176" s="275">
        <f t="shared" ca="1" si="42"/>
        <v>0</v>
      </c>
      <c r="W176" s="275">
        <f t="shared" ca="1" si="42"/>
        <v>0</v>
      </c>
      <c r="X176" s="275">
        <f t="shared" ca="1" si="42"/>
        <v>0</v>
      </c>
      <c r="Y176" s="275">
        <f t="shared" ca="1" si="43"/>
        <v>0</v>
      </c>
    </row>
    <row r="177" spans="1:25">
      <c r="A177" s="24"/>
      <c r="B177" s="24"/>
      <c r="C177" s="24" t="s">
        <v>648</v>
      </c>
      <c r="D177" s="24"/>
      <c r="E177" s="275">
        <f t="shared" ca="1" si="42"/>
        <v>0</v>
      </c>
      <c r="F177" s="275">
        <f t="shared" ca="1" si="42"/>
        <v>0</v>
      </c>
      <c r="G177" s="275">
        <f t="shared" ca="1" si="42"/>
        <v>0</v>
      </c>
      <c r="H177" s="275">
        <f t="shared" ca="1" si="42"/>
        <v>0</v>
      </c>
      <c r="I177" s="275">
        <f t="shared" ca="1" si="42"/>
        <v>0</v>
      </c>
      <c r="J177" s="275">
        <f t="shared" ca="1" si="42"/>
        <v>0</v>
      </c>
      <c r="K177" s="275">
        <f t="shared" ca="1" si="42"/>
        <v>0</v>
      </c>
      <c r="L177" s="275">
        <f t="shared" ca="1" si="42"/>
        <v>0</v>
      </c>
      <c r="M177" s="275">
        <f t="shared" ca="1" si="42"/>
        <v>0</v>
      </c>
      <c r="N177" s="275">
        <f t="shared" ca="1" si="42"/>
        <v>0</v>
      </c>
      <c r="O177" s="275">
        <f t="shared" ca="1" si="42"/>
        <v>0</v>
      </c>
      <c r="P177" s="275">
        <f t="shared" ca="1" si="42"/>
        <v>0</v>
      </c>
      <c r="Q177" s="275">
        <f t="shared" ca="1" si="42"/>
        <v>0</v>
      </c>
      <c r="R177" s="275">
        <f t="shared" ca="1" si="42"/>
        <v>0</v>
      </c>
      <c r="S177" s="275">
        <f t="shared" ca="1" si="42"/>
        <v>0</v>
      </c>
      <c r="T177" s="275">
        <f t="shared" ca="1" si="42"/>
        <v>0</v>
      </c>
      <c r="U177" s="275">
        <f t="shared" ca="1" si="42"/>
        <v>0</v>
      </c>
      <c r="V177" s="275">
        <f t="shared" ca="1" si="42"/>
        <v>0</v>
      </c>
      <c r="W177" s="275">
        <f t="shared" ca="1" si="42"/>
        <v>0</v>
      </c>
      <c r="X177" s="275">
        <f t="shared" ca="1" si="42"/>
        <v>0</v>
      </c>
      <c r="Y177" s="275">
        <f t="shared" ca="1" si="43"/>
        <v>0</v>
      </c>
    </row>
    <row r="178" spans="1:25">
      <c r="A178" s="24"/>
      <c r="B178" s="24"/>
      <c r="C178" s="24" t="s">
        <v>649</v>
      </c>
      <c r="D178" s="24"/>
      <c r="E178" s="275">
        <f t="shared" ca="1" si="42"/>
        <v>0</v>
      </c>
      <c r="F178" s="275">
        <f t="shared" ca="1" si="42"/>
        <v>0</v>
      </c>
      <c r="G178" s="275">
        <f t="shared" ca="1" si="42"/>
        <v>0</v>
      </c>
      <c r="H178" s="275">
        <f t="shared" ca="1" si="42"/>
        <v>0</v>
      </c>
      <c r="I178" s="275">
        <f t="shared" ca="1" si="42"/>
        <v>0</v>
      </c>
      <c r="J178" s="275">
        <f t="shared" ca="1" si="42"/>
        <v>0</v>
      </c>
      <c r="K178" s="275">
        <f t="shared" ca="1" si="42"/>
        <v>0</v>
      </c>
      <c r="L178" s="275">
        <f t="shared" ca="1" si="42"/>
        <v>0</v>
      </c>
      <c r="M178" s="275">
        <f t="shared" ca="1" si="42"/>
        <v>0</v>
      </c>
      <c r="N178" s="275">
        <f t="shared" ca="1" si="42"/>
        <v>0</v>
      </c>
      <c r="O178" s="275">
        <f t="shared" ca="1" si="42"/>
        <v>0</v>
      </c>
      <c r="P178" s="275">
        <f t="shared" ca="1" si="42"/>
        <v>0</v>
      </c>
      <c r="Q178" s="275">
        <f t="shared" ca="1" si="42"/>
        <v>0</v>
      </c>
      <c r="R178" s="275">
        <f t="shared" ca="1" si="42"/>
        <v>0</v>
      </c>
      <c r="S178" s="275">
        <f t="shared" ca="1" si="42"/>
        <v>0</v>
      </c>
      <c r="T178" s="275">
        <f t="shared" ca="1" si="42"/>
        <v>0</v>
      </c>
      <c r="U178" s="275">
        <f t="shared" ca="1" si="42"/>
        <v>0</v>
      </c>
      <c r="V178" s="275">
        <f t="shared" ca="1" si="42"/>
        <v>0</v>
      </c>
      <c r="W178" s="275">
        <f t="shared" ca="1" si="42"/>
        <v>0</v>
      </c>
      <c r="X178" s="275">
        <f t="shared" ca="1" si="42"/>
        <v>0</v>
      </c>
      <c r="Y178" s="275">
        <f t="shared" ca="1" si="43"/>
        <v>0</v>
      </c>
    </row>
    <row r="179" spans="1:25">
      <c r="A179" s="24"/>
      <c r="B179" s="24"/>
      <c r="C179" s="24" t="s">
        <v>650</v>
      </c>
      <c r="D179" s="24"/>
      <c r="E179" s="275">
        <f t="shared" ca="1" si="42"/>
        <v>0</v>
      </c>
      <c r="F179" s="275">
        <f t="shared" ca="1" si="42"/>
        <v>0</v>
      </c>
      <c r="G179" s="275">
        <f t="shared" ca="1" si="42"/>
        <v>0</v>
      </c>
      <c r="H179" s="275">
        <f t="shared" ca="1" si="42"/>
        <v>0</v>
      </c>
      <c r="I179" s="275">
        <f t="shared" ca="1" si="42"/>
        <v>0</v>
      </c>
      <c r="J179" s="275">
        <f t="shared" ca="1" si="42"/>
        <v>0</v>
      </c>
      <c r="K179" s="275">
        <f t="shared" ca="1" si="42"/>
        <v>0</v>
      </c>
      <c r="L179" s="275">
        <f t="shared" ca="1" si="42"/>
        <v>0</v>
      </c>
      <c r="M179" s="275">
        <f t="shared" ca="1" si="42"/>
        <v>0</v>
      </c>
      <c r="N179" s="275">
        <f t="shared" ca="1" si="42"/>
        <v>0</v>
      </c>
      <c r="O179" s="275">
        <f t="shared" ca="1" si="42"/>
        <v>0</v>
      </c>
      <c r="P179" s="275">
        <f t="shared" ca="1" si="42"/>
        <v>0</v>
      </c>
      <c r="Q179" s="275">
        <f t="shared" ca="1" si="42"/>
        <v>0</v>
      </c>
      <c r="R179" s="275">
        <f t="shared" ca="1" si="42"/>
        <v>0</v>
      </c>
      <c r="S179" s="275">
        <f t="shared" ca="1" si="42"/>
        <v>0</v>
      </c>
      <c r="T179" s="275">
        <f t="shared" ca="1" si="42"/>
        <v>0</v>
      </c>
      <c r="U179" s="275">
        <f t="shared" ca="1" si="42"/>
        <v>0</v>
      </c>
      <c r="V179" s="275">
        <f t="shared" ca="1" si="42"/>
        <v>0</v>
      </c>
      <c r="W179" s="275">
        <f t="shared" ca="1" si="42"/>
        <v>0</v>
      </c>
      <c r="X179" s="275">
        <f t="shared" ca="1" si="42"/>
        <v>0</v>
      </c>
      <c r="Y179" s="275">
        <f t="shared" ca="1" si="43"/>
        <v>0</v>
      </c>
    </row>
    <row r="180" spans="1:25">
      <c r="A180" s="24"/>
      <c r="B180" s="24"/>
      <c r="C180" s="24" t="s">
        <v>651</v>
      </c>
      <c r="D180" s="24"/>
      <c r="E180" s="275">
        <f t="shared" ca="1" si="42"/>
        <v>0</v>
      </c>
      <c r="F180" s="275">
        <f t="shared" ca="1" si="42"/>
        <v>0</v>
      </c>
      <c r="G180" s="275">
        <f t="shared" ca="1" si="42"/>
        <v>0</v>
      </c>
      <c r="H180" s="275">
        <f t="shared" ca="1" si="42"/>
        <v>0</v>
      </c>
      <c r="I180" s="275">
        <f t="shared" ca="1" si="42"/>
        <v>0</v>
      </c>
      <c r="J180" s="275">
        <f t="shared" ca="1" si="42"/>
        <v>0</v>
      </c>
      <c r="K180" s="275">
        <f t="shared" ca="1" si="42"/>
        <v>0</v>
      </c>
      <c r="L180" s="275">
        <f t="shared" ca="1" si="42"/>
        <v>0</v>
      </c>
      <c r="M180" s="275">
        <f t="shared" ca="1" si="42"/>
        <v>0</v>
      </c>
      <c r="N180" s="275">
        <f t="shared" ca="1" si="42"/>
        <v>0</v>
      </c>
      <c r="O180" s="275">
        <f t="shared" ca="1" si="42"/>
        <v>0</v>
      </c>
      <c r="P180" s="275">
        <f t="shared" ca="1" si="42"/>
        <v>0</v>
      </c>
      <c r="Q180" s="275">
        <f t="shared" ca="1" si="42"/>
        <v>0</v>
      </c>
      <c r="R180" s="275">
        <f t="shared" ca="1" si="42"/>
        <v>0</v>
      </c>
      <c r="S180" s="275">
        <f t="shared" ca="1" si="42"/>
        <v>0</v>
      </c>
      <c r="T180" s="275">
        <f t="shared" ca="1" si="42"/>
        <v>0</v>
      </c>
      <c r="U180" s="275">
        <f t="shared" ca="1" si="42"/>
        <v>0</v>
      </c>
      <c r="V180" s="275">
        <f t="shared" ca="1" si="42"/>
        <v>0</v>
      </c>
      <c r="W180" s="275">
        <f t="shared" ca="1" si="42"/>
        <v>0</v>
      </c>
      <c r="X180" s="275">
        <f t="shared" ca="1" si="42"/>
        <v>0</v>
      </c>
      <c r="Y180" s="275">
        <f t="shared" ca="1" si="43"/>
        <v>0</v>
      </c>
    </row>
    <row r="181" spans="1:25">
      <c r="A181" s="24"/>
      <c r="B181" s="24"/>
      <c r="C181" s="24" t="s">
        <v>652</v>
      </c>
      <c r="D181" s="24"/>
      <c r="E181" s="275">
        <f t="shared" ca="1" si="42"/>
        <v>0</v>
      </c>
      <c r="F181" s="275">
        <f t="shared" ca="1" si="42"/>
        <v>0</v>
      </c>
      <c r="G181" s="275">
        <f t="shared" ca="1" si="42"/>
        <v>0</v>
      </c>
      <c r="H181" s="275">
        <f t="shared" ca="1" si="42"/>
        <v>0</v>
      </c>
      <c r="I181" s="275">
        <f t="shared" ca="1" si="42"/>
        <v>0</v>
      </c>
      <c r="J181" s="275">
        <f t="shared" ca="1" si="42"/>
        <v>0</v>
      </c>
      <c r="K181" s="275">
        <f t="shared" ca="1" si="42"/>
        <v>0</v>
      </c>
      <c r="L181" s="275">
        <f t="shared" ca="1" si="42"/>
        <v>0</v>
      </c>
      <c r="M181" s="275">
        <f t="shared" ca="1" si="42"/>
        <v>0</v>
      </c>
      <c r="N181" s="275">
        <f t="shared" ca="1" si="42"/>
        <v>0</v>
      </c>
      <c r="O181" s="275">
        <f t="shared" ca="1" si="42"/>
        <v>0</v>
      </c>
      <c r="P181" s="275">
        <f t="shared" ca="1" si="42"/>
        <v>0</v>
      </c>
      <c r="Q181" s="275">
        <f t="shared" ca="1" si="42"/>
        <v>0</v>
      </c>
      <c r="R181" s="275">
        <f t="shared" ca="1" si="42"/>
        <v>0</v>
      </c>
      <c r="S181" s="275">
        <f t="shared" ca="1" si="42"/>
        <v>0</v>
      </c>
      <c r="T181" s="275">
        <f t="shared" ca="1" si="42"/>
        <v>0</v>
      </c>
      <c r="U181" s="275">
        <f t="shared" ca="1" si="42"/>
        <v>0</v>
      </c>
      <c r="V181" s="275">
        <f t="shared" ca="1" si="42"/>
        <v>0</v>
      </c>
      <c r="W181" s="275">
        <f t="shared" ca="1" si="42"/>
        <v>0</v>
      </c>
      <c r="X181" s="275">
        <f t="shared" ca="1" si="42"/>
        <v>0</v>
      </c>
      <c r="Y181" s="275">
        <f t="shared" ca="1" si="43"/>
        <v>0</v>
      </c>
    </row>
    <row r="182" spans="1:25">
      <c r="A182" s="24"/>
      <c r="B182" s="24"/>
      <c r="C182" s="24" t="s">
        <v>653</v>
      </c>
      <c r="D182" s="24"/>
      <c r="E182" s="275">
        <f t="shared" ca="1" si="42"/>
        <v>0</v>
      </c>
      <c r="F182" s="275">
        <f t="shared" ca="1" si="42"/>
        <v>0</v>
      </c>
      <c r="G182" s="275">
        <f t="shared" ca="1" si="42"/>
        <v>0</v>
      </c>
      <c r="H182" s="275">
        <f t="shared" ca="1" si="42"/>
        <v>0</v>
      </c>
      <c r="I182" s="275">
        <f t="shared" ca="1" si="42"/>
        <v>0</v>
      </c>
      <c r="J182" s="275">
        <f t="shared" ca="1" si="42"/>
        <v>0</v>
      </c>
      <c r="K182" s="275">
        <f t="shared" ca="1" si="42"/>
        <v>0</v>
      </c>
      <c r="L182" s="275">
        <f t="shared" ca="1" si="42"/>
        <v>0</v>
      </c>
      <c r="M182" s="275">
        <f t="shared" ca="1" si="42"/>
        <v>0</v>
      </c>
      <c r="N182" s="275">
        <f t="shared" ca="1" si="42"/>
        <v>0</v>
      </c>
      <c r="O182" s="275">
        <f t="shared" ca="1" si="42"/>
        <v>0</v>
      </c>
      <c r="P182" s="275">
        <f t="shared" ca="1" si="42"/>
        <v>0</v>
      </c>
      <c r="Q182" s="275">
        <f t="shared" ca="1" si="42"/>
        <v>0</v>
      </c>
      <c r="R182" s="275">
        <f t="shared" ca="1" si="42"/>
        <v>0</v>
      </c>
      <c r="S182" s="275">
        <f t="shared" ca="1" si="42"/>
        <v>0</v>
      </c>
      <c r="T182" s="275">
        <f t="shared" ca="1" si="42"/>
        <v>0</v>
      </c>
      <c r="U182" s="275">
        <f t="shared" ca="1" si="42"/>
        <v>0</v>
      </c>
      <c r="V182" s="275">
        <f t="shared" ca="1" si="42"/>
        <v>0</v>
      </c>
      <c r="W182" s="275">
        <f t="shared" ca="1" si="42"/>
        <v>0</v>
      </c>
      <c r="X182" s="275">
        <f t="shared" ca="1" si="42"/>
        <v>0</v>
      </c>
      <c r="Y182" s="275">
        <f t="shared" ca="1" si="43"/>
        <v>0</v>
      </c>
    </row>
    <row r="183" spans="1:25">
      <c r="A183" s="24"/>
      <c r="B183" s="24"/>
      <c r="C183" s="24" t="s">
        <v>654</v>
      </c>
      <c r="D183" s="24"/>
      <c r="E183" s="275">
        <f t="shared" ca="1" si="42"/>
        <v>0</v>
      </c>
      <c r="F183" s="275">
        <f t="shared" ca="1" si="42"/>
        <v>0</v>
      </c>
      <c r="G183" s="275">
        <f t="shared" ca="1" si="42"/>
        <v>0</v>
      </c>
      <c r="H183" s="275">
        <f t="shared" ca="1" si="42"/>
        <v>0</v>
      </c>
      <c r="I183" s="275">
        <f t="shared" ca="1" si="42"/>
        <v>0</v>
      </c>
      <c r="J183" s="275">
        <f t="shared" ca="1" si="42"/>
        <v>0</v>
      </c>
      <c r="K183" s="275">
        <f t="shared" ca="1" si="42"/>
        <v>0</v>
      </c>
      <c r="L183" s="275">
        <f t="shared" ca="1" si="42"/>
        <v>0</v>
      </c>
      <c r="M183" s="275">
        <f t="shared" ca="1" si="42"/>
        <v>0</v>
      </c>
      <c r="N183" s="275">
        <f t="shared" ca="1" si="42"/>
        <v>0</v>
      </c>
      <c r="O183" s="275">
        <f t="shared" ca="1" si="42"/>
        <v>0</v>
      </c>
      <c r="P183" s="275">
        <f t="shared" ca="1" si="42"/>
        <v>0</v>
      </c>
      <c r="Q183" s="275">
        <f t="shared" ca="1" si="42"/>
        <v>0</v>
      </c>
      <c r="R183" s="275">
        <f t="shared" ca="1" si="42"/>
        <v>0</v>
      </c>
      <c r="S183" s="275">
        <f t="shared" ca="1" si="42"/>
        <v>0</v>
      </c>
      <c r="T183" s="275">
        <f t="shared" ref="T183:X183" ca="1" si="44">T146-T145</f>
        <v>0</v>
      </c>
      <c r="U183" s="275">
        <f t="shared" ca="1" si="44"/>
        <v>0</v>
      </c>
      <c r="V183" s="275">
        <f t="shared" ca="1" si="44"/>
        <v>0</v>
      </c>
      <c r="W183" s="275">
        <f t="shared" ca="1" si="44"/>
        <v>0</v>
      </c>
      <c r="X183" s="275">
        <f t="shared" ca="1" si="44"/>
        <v>0</v>
      </c>
      <c r="Y183" s="275">
        <f t="shared" ca="1" si="43"/>
        <v>0</v>
      </c>
    </row>
    <row r="184" spans="1:25">
      <c r="A184" s="24"/>
      <c r="B184" s="24"/>
      <c r="C184" s="24" t="s">
        <v>655</v>
      </c>
      <c r="D184" s="24"/>
      <c r="E184" s="275">
        <f t="shared" ref="E184:X196" ca="1" si="45">E147-E146</f>
        <v>0</v>
      </c>
      <c r="F184" s="275">
        <f t="shared" ca="1" si="45"/>
        <v>0</v>
      </c>
      <c r="G184" s="275">
        <f t="shared" ca="1" si="45"/>
        <v>0</v>
      </c>
      <c r="H184" s="275">
        <f t="shared" ca="1" si="45"/>
        <v>0</v>
      </c>
      <c r="I184" s="275">
        <f t="shared" ca="1" si="45"/>
        <v>0</v>
      </c>
      <c r="J184" s="275">
        <f t="shared" ca="1" si="45"/>
        <v>0</v>
      </c>
      <c r="K184" s="275">
        <f t="shared" ca="1" si="45"/>
        <v>0</v>
      </c>
      <c r="L184" s="275">
        <f t="shared" ca="1" si="45"/>
        <v>0</v>
      </c>
      <c r="M184" s="275">
        <f t="shared" ca="1" si="45"/>
        <v>0</v>
      </c>
      <c r="N184" s="275">
        <f t="shared" ca="1" si="45"/>
        <v>0</v>
      </c>
      <c r="O184" s="275">
        <f t="shared" ca="1" si="45"/>
        <v>0</v>
      </c>
      <c r="P184" s="275">
        <f t="shared" ca="1" si="45"/>
        <v>0</v>
      </c>
      <c r="Q184" s="275">
        <f t="shared" ca="1" si="45"/>
        <v>0</v>
      </c>
      <c r="R184" s="275">
        <f t="shared" ca="1" si="45"/>
        <v>0</v>
      </c>
      <c r="S184" s="275">
        <f t="shared" ca="1" si="45"/>
        <v>0</v>
      </c>
      <c r="T184" s="275">
        <f t="shared" ca="1" si="45"/>
        <v>0</v>
      </c>
      <c r="U184" s="275">
        <f t="shared" ca="1" si="45"/>
        <v>0</v>
      </c>
      <c r="V184" s="275">
        <f t="shared" ca="1" si="45"/>
        <v>0</v>
      </c>
      <c r="W184" s="275">
        <f t="shared" ca="1" si="45"/>
        <v>0</v>
      </c>
      <c r="X184" s="275">
        <f t="shared" ca="1" si="45"/>
        <v>0</v>
      </c>
      <c r="Y184" s="275">
        <f t="shared" ca="1" si="43"/>
        <v>0</v>
      </c>
    </row>
    <row r="185" spans="1:25">
      <c r="A185" s="24"/>
      <c r="B185" s="24"/>
      <c r="C185" s="24" t="s">
        <v>656</v>
      </c>
      <c r="D185" s="24"/>
      <c r="E185" s="275">
        <f t="shared" ca="1" si="45"/>
        <v>0</v>
      </c>
      <c r="F185" s="275">
        <f t="shared" ca="1" si="45"/>
        <v>0</v>
      </c>
      <c r="G185" s="275">
        <f t="shared" ca="1" si="45"/>
        <v>0</v>
      </c>
      <c r="H185" s="275">
        <f t="shared" ca="1" si="45"/>
        <v>0</v>
      </c>
      <c r="I185" s="275">
        <f t="shared" ca="1" si="45"/>
        <v>0</v>
      </c>
      <c r="J185" s="275">
        <f t="shared" ca="1" si="45"/>
        <v>0</v>
      </c>
      <c r="K185" s="275">
        <f t="shared" ca="1" si="45"/>
        <v>0</v>
      </c>
      <c r="L185" s="275">
        <f t="shared" ca="1" si="45"/>
        <v>0</v>
      </c>
      <c r="M185" s="275">
        <f t="shared" ca="1" si="45"/>
        <v>0</v>
      </c>
      <c r="N185" s="275">
        <f t="shared" ca="1" si="45"/>
        <v>0</v>
      </c>
      <c r="O185" s="275">
        <f t="shared" ca="1" si="45"/>
        <v>0</v>
      </c>
      <c r="P185" s="275">
        <f t="shared" ca="1" si="45"/>
        <v>0</v>
      </c>
      <c r="Q185" s="275">
        <f t="shared" ca="1" si="45"/>
        <v>0</v>
      </c>
      <c r="R185" s="275">
        <f t="shared" ca="1" si="45"/>
        <v>0</v>
      </c>
      <c r="S185" s="275">
        <f t="shared" ca="1" si="45"/>
        <v>0</v>
      </c>
      <c r="T185" s="275">
        <f t="shared" ca="1" si="45"/>
        <v>0</v>
      </c>
      <c r="U185" s="275">
        <f t="shared" ca="1" si="45"/>
        <v>0</v>
      </c>
      <c r="V185" s="275">
        <f t="shared" ca="1" si="45"/>
        <v>0</v>
      </c>
      <c r="W185" s="275">
        <f t="shared" ca="1" si="45"/>
        <v>0</v>
      </c>
      <c r="X185" s="275">
        <f t="shared" ca="1" si="45"/>
        <v>0</v>
      </c>
      <c r="Y185" s="275">
        <f t="shared" ca="1" si="43"/>
        <v>0</v>
      </c>
    </row>
    <row r="186" spans="1:25">
      <c r="A186" s="24"/>
      <c r="B186" s="24"/>
      <c r="C186" s="24" t="s">
        <v>657</v>
      </c>
      <c r="D186" s="24"/>
      <c r="E186" s="275">
        <f t="shared" ca="1" si="45"/>
        <v>0</v>
      </c>
      <c r="F186" s="275">
        <f t="shared" ca="1" si="45"/>
        <v>0</v>
      </c>
      <c r="G186" s="275">
        <f t="shared" ca="1" si="45"/>
        <v>0</v>
      </c>
      <c r="H186" s="275">
        <f t="shared" ca="1" si="45"/>
        <v>0</v>
      </c>
      <c r="I186" s="275">
        <f t="shared" ca="1" si="45"/>
        <v>0</v>
      </c>
      <c r="J186" s="275">
        <f t="shared" ca="1" si="45"/>
        <v>0</v>
      </c>
      <c r="K186" s="275">
        <f t="shared" ca="1" si="45"/>
        <v>0</v>
      </c>
      <c r="L186" s="275">
        <f t="shared" ca="1" si="45"/>
        <v>0</v>
      </c>
      <c r="M186" s="275">
        <f t="shared" ca="1" si="45"/>
        <v>0</v>
      </c>
      <c r="N186" s="275">
        <f t="shared" ca="1" si="45"/>
        <v>0</v>
      </c>
      <c r="O186" s="275">
        <f t="shared" ca="1" si="45"/>
        <v>0</v>
      </c>
      <c r="P186" s="275">
        <f t="shared" ca="1" si="45"/>
        <v>0</v>
      </c>
      <c r="Q186" s="275">
        <f t="shared" ca="1" si="45"/>
        <v>0</v>
      </c>
      <c r="R186" s="275">
        <f t="shared" ca="1" si="45"/>
        <v>0</v>
      </c>
      <c r="S186" s="275">
        <f t="shared" ca="1" si="45"/>
        <v>0</v>
      </c>
      <c r="T186" s="275">
        <f t="shared" ca="1" si="45"/>
        <v>0</v>
      </c>
      <c r="U186" s="275">
        <f t="shared" ca="1" si="45"/>
        <v>0</v>
      </c>
      <c r="V186" s="275">
        <f t="shared" ca="1" si="45"/>
        <v>0</v>
      </c>
      <c r="W186" s="275">
        <f t="shared" ca="1" si="45"/>
        <v>0</v>
      </c>
      <c r="X186" s="275">
        <f t="shared" ca="1" si="45"/>
        <v>0</v>
      </c>
      <c r="Y186" s="275">
        <f t="shared" ca="1" si="43"/>
        <v>0</v>
      </c>
    </row>
    <row r="187" spans="1:25">
      <c r="A187" s="24"/>
      <c r="B187" s="24"/>
      <c r="C187" s="24" t="s">
        <v>658</v>
      </c>
      <c r="D187" s="24"/>
      <c r="E187" s="275">
        <f t="shared" ca="1" si="45"/>
        <v>0</v>
      </c>
      <c r="F187" s="275">
        <f t="shared" ca="1" si="45"/>
        <v>0</v>
      </c>
      <c r="G187" s="275">
        <f t="shared" ca="1" si="45"/>
        <v>0</v>
      </c>
      <c r="H187" s="275">
        <f t="shared" ca="1" si="45"/>
        <v>0</v>
      </c>
      <c r="I187" s="275">
        <f t="shared" ca="1" si="45"/>
        <v>0</v>
      </c>
      <c r="J187" s="275">
        <f t="shared" ca="1" si="45"/>
        <v>0</v>
      </c>
      <c r="K187" s="275">
        <f t="shared" ca="1" si="45"/>
        <v>0</v>
      </c>
      <c r="L187" s="275">
        <f t="shared" ca="1" si="45"/>
        <v>0</v>
      </c>
      <c r="M187" s="275">
        <f t="shared" ca="1" si="45"/>
        <v>0</v>
      </c>
      <c r="N187" s="275">
        <f t="shared" ca="1" si="45"/>
        <v>0</v>
      </c>
      <c r="O187" s="275">
        <f t="shared" ca="1" si="45"/>
        <v>0</v>
      </c>
      <c r="P187" s="275">
        <f t="shared" ca="1" si="45"/>
        <v>0</v>
      </c>
      <c r="Q187" s="275">
        <f t="shared" ca="1" si="45"/>
        <v>0</v>
      </c>
      <c r="R187" s="275">
        <f t="shared" ca="1" si="45"/>
        <v>0</v>
      </c>
      <c r="S187" s="275">
        <f t="shared" ca="1" si="45"/>
        <v>0</v>
      </c>
      <c r="T187" s="275">
        <f t="shared" ca="1" si="45"/>
        <v>0</v>
      </c>
      <c r="U187" s="275">
        <f t="shared" ca="1" si="45"/>
        <v>0</v>
      </c>
      <c r="V187" s="275">
        <f t="shared" ca="1" si="45"/>
        <v>0</v>
      </c>
      <c r="W187" s="275">
        <f t="shared" ca="1" si="45"/>
        <v>0</v>
      </c>
      <c r="X187" s="275">
        <f t="shared" ca="1" si="45"/>
        <v>0</v>
      </c>
      <c r="Y187" s="275">
        <f t="shared" ca="1" si="43"/>
        <v>0</v>
      </c>
    </row>
    <row r="188" spans="1:25">
      <c r="A188" s="24"/>
      <c r="B188" s="24"/>
      <c r="C188" s="24" t="s">
        <v>659</v>
      </c>
      <c r="D188" s="24"/>
      <c r="E188" s="275">
        <f t="shared" ca="1" si="45"/>
        <v>0</v>
      </c>
      <c r="F188" s="275">
        <f t="shared" ca="1" si="45"/>
        <v>0</v>
      </c>
      <c r="G188" s="275">
        <f t="shared" ca="1" si="45"/>
        <v>0</v>
      </c>
      <c r="H188" s="275">
        <f t="shared" ca="1" si="45"/>
        <v>0</v>
      </c>
      <c r="I188" s="275">
        <f t="shared" ca="1" si="45"/>
        <v>0</v>
      </c>
      <c r="J188" s="275">
        <f t="shared" ca="1" si="45"/>
        <v>0</v>
      </c>
      <c r="K188" s="275">
        <f t="shared" ca="1" si="45"/>
        <v>0</v>
      </c>
      <c r="L188" s="275">
        <f t="shared" ca="1" si="45"/>
        <v>0</v>
      </c>
      <c r="M188" s="275">
        <f t="shared" ca="1" si="45"/>
        <v>0</v>
      </c>
      <c r="N188" s="275">
        <f t="shared" ca="1" si="45"/>
        <v>0</v>
      </c>
      <c r="O188" s="275">
        <f t="shared" ca="1" si="45"/>
        <v>0</v>
      </c>
      <c r="P188" s="275">
        <f t="shared" ca="1" si="45"/>
        <v>0</v>
      </c>
      <c r="Q188" s="275">
        <f t="shared" ca="1" si="45"/>
        <v>0</v>
      </c>
      <c r="R188" s="275">
        <f t="shared" ca="1" si="45"/>
        <v>0</v>
      </c>
      <c r="S188" s="275">
        <f t="shared" ca="1" si="45"/>
        <v>0</v>
      </c>
      <c r="T188" s="275">
        <f t="shared" ca="1" si="45"/>
        <v>0</v>
      </c>
      <c r="U188" s="275">
        <f t="shared" ca="1" si="45"/>
        <v>0</v>
      </c>
      <c r="V188" s="275">
        <f t="shared" ca="1" si="45"/>
        <v>0</v>
      </c>
      <c r="W188" s="275">
        <f t="shared" ca="1" si="45"/>
        <v>0</v>
      </c>
      <c r="X188" s="275">
        <f t="shared" ca="1" si="45"/>
        <v>0</v>
      </c>
      <c r="Y188" s="275">
        <f t="shared" ca="1" si="43"/>
        <v>0</v>
      </c>
    </row>
    <row r="189" spans="1:25">
      <c r="A189" s="24"/>
      <c r="B189" s="24"/>
      <c r="C189" s="24" t="s">
        <v>660</v>
      </c>
      <c r="D189" s="24"/>
      <c r="E189" s="275">
        <f t="shared" ca="1" si="45"/>
        <v>0</v>
      </c>
      <c r="F189" s="275">
        <f t="shared" ca="1" si="45"/>
        <v>0</v>
      </c>
      <c r="G189" s="275">
        <f t="shared" ca="1" si="45"/>
        <v>0</v>
      </c>
      <c r="H189" s="275">
        <f t="shared" ca="1" si="45"/>
        <v>0</v>
      </c>
      <c r="I189" s="275">
        <f t="shared" ca="1" si="45"/>
        <v>0</v>
      </c>
      <c r="J189" s="275">
        <f t="shared" ca="1" si="45"/>
        <v>0</v>
      </c>
      <c r="K189" s="275">
        <f t="shared" ca="1" si="45"/>
        <v>0</v>
      </c>
      <c r="L189" s="275">
        <f t="shared" ca="1" si="45"/>
        <v>0</v>
      </c>
      <c r="M189" s="275">
        <f t="shared" ca="1" si="45"/>
        <v>0</v>
      </c>
      <c r="N189" s="275">
        <f t="shared" ca="1" si="45"/>
        <v>0</v>
      </c>
      <c r="O189" s="275">
        <f t="shared" ca="1" si="45"/>
        <v>0</v>
      </c>
      <c r="P189" s="275">
        <f t="shared" ca="1" si="45"/>
        <v>0</v>
      </c>
      <c r="Q189" s="275">
        <f t="shared" ca="1" si="45"/>
        <v>0</v>
      </c>
      <c r="R189" s="275">
        <f t="shared" ca="1" si="45"/>
        <v>0</v>
      </c>
      <c r="S189" s="275">
        <f t="shared" ca="1" si="45"/>
        <v>0</v>
      </c>
      <c r="T189" s="275">
        <f t="shared" ca="1" si="45"/>
        <v>0</v>
      </c>
      <c r="U189" s="275">
        <f t="shared" ca="1" si="45"/>
        <v>0</v>
      </c>
      <c r="V189" s="275">
        <f t="shared" ca="1" si="45"/>
        <v>0</v>
      </c>
      <c r="W189" s="275">
        <f t="shared" ca="1" si="45"/>
        <v>0</v>
      </c>
      <c r="X189" s="275">
        <f t="shared" ca="1" si="45"/>
        <v>0</v>
      </c>
      <c r="Y189" s="275">
        <f t="shared" ca="1" si="43"/>
        <v>0</v>
      </c>
    </row>
    <row r="190" spans="1:25">
      <c r="A190" s="24"/>
      <c r="B190" s="24"/>
      <c r="C190" s="24" t="s">
        <v>661</v>
      </c>
      <c r="D190" s="24"/>
      <c r="E190" s="275">
        <f t="shared" ca="1" si="45"/>
        <v>0</v>
      </c>
      <c r="F190" s="275">
        <f t="shared" ca="1" si="45"/>
        <v>0</v>
      </c>
      <c r="G190" s="275">
        <f t="shared" ca="1" si="45"/>
        <v>0</v>
      </c>
      <c r="H190" s="275">
        <f t="shared" ca="1" si="45"/>
        <v>0</v>
      </c>
      <c r="I190" s="275">
        <f t="shared" ca="1" si="45"/>
        <v>0</v>
      </c>
      <c r="J190" s="275">
        <f t="shared" ca="1" si="45"/>
        <v>0</v>
      </c>
      <c r="K190" s="275">
        <f t="shared" ca="1" si="45"/>
        <v>0</v>
      </c>
      <c r="L190" s="275">
        <f t="shared" ca="1" si="45"/>
        <v>0</v>
      </c>
      <c r="M190" s="275">
        <f t="shared" ca="1" si="45"/>
        <v>0</v>
      </c>
      <c r="N190" s="275">
        <f t="shared" ca="1" si="45"/>
        <v>0</v>
      </c>
      <c r="O190" s="275">
        <f t="shared" ca="1" si="45"/>
        <v>0</v>
      </c>
      <c r="P190" s="275">
        <f t="shared" ca="1" si="45"/>
        <v>0</v>
      </c>
      <c r="Q190" s="275">
        <f t="shared" ca="1" si="45"/>
        <v>0</v>
      </c>
      <c r="R190" s="275">
        <f t="shared" ca="1" si="45"/>
        <v>0</v>
      </c>
      <c r="S190" s="275">
        <f t="shared" ca="1" si="45"/>
        <v>0</v>
      </c>
      <c r="T190" s="275">
        <f t="shared" ca="1" si="45"/>
        <v>0</v>
      </c>
      <c r="U190" s="275">
        <f t="shared" ca="1" si="45"/>
        <v>0</v>
      </c>
      <c r="V190" s="275">
        <f t="shared" ca="1" si="45"/>
        <v>0</v>
      </c>
      <c r="W190" s="275">
        <f t="shared" ca="1" si="45"/>
        <v>0</v>
      </c>
      <c r="X190" s="275">
        <f t="shared" ca="1" si="45"/>
        <v>0</v>
      </c>
      <c r="Y190" s="275">
        <f t="shared" ca="1" si="43"/>
        <v>0</v>
      </c>
    </row>
    <row r="191" spans="1:25">
      <c r="A191" s="24"/>
      <c r="B191" s="24"/>
      <c r="C191" s="24" t="s">
        <v>752</v>
      </c>
      <c r="D191" s="24"/>
      <c r="E191" s="275">
        <f t="shared" ca="1" si="45"/>
        <v>0</v>
      </c>
      <c r="F191" s="275">
        <f t="shared" ca="1" si="45"/>
        <v>0</v>
      </c>
      <c r="G191" s="275">
        <f t="shared" ca="1" si="45"/>
        <v>0</v>
      </c>
      <c r="H191" s="275">
        <f t="shared" ca="1" si="45"/>
        <v>0</v>
      </c>
      <c r="I191" s="275">
        <f t="shared" ca="1" si="45"/>
        <v>0</v>
      </c>
      <c r="J191" s="275">
        <f t="shared" ca="1" si="45"/>
        <v>0</v>
      </c>
      <c r="K191" s="275">
        <f t="shared" ca="1" si="45"/>
        <v>0</v>
      </c>
      <c r="L191" s="275">
        <f t="shared" ca="1" si="45"/>
        <v>0</v>
      </c>
      <c r="M191" s="275">
        <f t="shared" ca="1" si="45"/>
        <v>0</v>
      </c>
      <c r="N191" s="275">
        <f t="shared" ca="1" si="45"/>
        <v>0</v>
      </c>
      <c r="O191" s="275">
        <f t="shared" ca="1" si="45"/>
        <v>0</v>
      </c>
      <c r="P191" s="275">
        <f t="shared" ca="1" si="45"/>
        <v>0</v>
      </c>
      <c r="Q191" s="275">
        <f t="shared" ca="1" si="45"/>
        <v>0</v>
      </c>
      <c r="R191" s="275">
        <f t="shared" ca="1" si="45"/>
        <v>0</v>
      </c>
      <c r="S191" s="275">
        <f t="shared" ca="1" si="45"/>
        <v>0</v>
      </c>
      <c r="T191" s="275">
        <f t="shared" ca="1" si="45"/>
        <v>0</v>
      </c>
      <c r="U191" s="275">
        <f t="shared" ca="1" si="45"/>
        <v>0</v>
      </c>
      <c r="V191" s="275">
        <f t="shared" ca="1" si="45"/>
        <v>0</v>
      </c>
      <c r="W191" s="275">
        <f t="shared" ca="1" si="45"/>
        <v>0</v>
      </c>
      <c r="X191" s="275">
        <f t="shared" ca="1" si="45"/>
        <v>0</v>
      </c>
      <c r="Y191" s="275">
        <f t="shared" ca="1" si="43"/>
        <v>0</v>
      </c>
    </row>
    <row r="192" spans="1:25">
      <c r="A192" s="24"/>
      <c r="B192" s="24"/>
      <c r="C192" s="24" t="s">
        <v>755</v>
      </c>
      <c r="D192" s="24"/>
      <c r="E192" s="275">
        <f t="shared" ca="1" si="45"/>
        <v>0</v>
      </c>
      <c r="F192" s="275">
        <f t="shared" ca="1" si="45"/>
        <v>0</v>
      </c>
      <c r="G192" s="275">
        <f t="shared" ca="1" si="45"/>
        <v>0</v>
      </c>
      <c r="H192" s="275">
        <f t="shared" ca="1" si="45"/>
        <v>0</v>
      </c>
      <c r="I192" s="275">
        <f t="shared" ca="1" si="45"/>
        <v>0</v>
      </c>
      <c r="J192" s="275">
        <f t="shared" ca="1" si="45"/>
        <v>0</v>
      </c>
      <c r="K192" s="275">
        <f t="shared" ca="1" si="45"/>
        <v>0</v>
      </c>
      <c r="L192" s="275">
        <f t="shared" ca="1" si="45"/>
        <v>0</v>
      </c>
      <c r="M192" s="275">
        <f t="shared" ca="1" si="45"/>
        <v>0</v>
      </c>
      <c r="N192" s="275">
        <f t="shared" ca="1" si="45"/>
        <v>0</v>
      </c>
      <c r="O192" s="275">
        <f t="shared" ca="1" si="45"/>
        <v>0</v>
      </c>
      <c r="P192" s="275">
        <f t="shared" ca="1" si="45"/>
        <v>0</v>
      </c>
      <c r="Q192" s="275">
        <f t="shared" ca="1" si="45"/>
        <v>0</v>
      </c>
      <c r="R192" s="275">
        <f t="shared" ca="1" si="45"/>
        <v>0</v>
      </c>
      <c r="S192" s="275">
        <f t="shared" ca="1" si="45"/>
        <v>0</v>
      </c>
      <c r="T192" s="275">
        <f t="shared" ca="1" si="45"/>
        <v>0</v>
      </c>
      <c r="U192" s="275">
        <f t="shared" ca="1" si="45"/>
        <v>0</v>
      </c>
      <c r="V192" s="275">
        <f t="shared" ca="1" si="45"/>
        <v>0</v>
      </c>
      <c r="W192" s="275">
        <f t="shared" ca="1" si="45"/>
        <v>0</v>
      </c>
      <c r="X192" s="275">
        <f t="shared" ca="1" si="45"/>
        <v>0</v>
      </c>
      <c r="Y192" s="275">
        <f t="shared" ca="1" si="43"/>
        <v>0</v>
      </c>
    </row>
    <row r="193" spans="1:26">
      <c r="A193" s="24"/>
      <c r="B193" s="24"/>
      <c r="C193" s="24" t="s">
        <v>758</v>
      </c>
      <c r="D193" s="24"/>
      <c r="E193" s="275">
        <f t="shared" ca="1" si="45"/>
        <v>0</v>
      </c>
      <c r="F193" s="275">
        <f t="shared" ca="1" si="45"/>
        <v>0</v>
      </c>
      <c r="G193" s="275">
        <f t="shared" ca="1" si="45"/>
        <v>0</v>
      </c>
      <c r="H193" s="275">
        <f t="shared" ca="1" si="45"/>
        <v>0</v>
      </c>
      <c r="I193" s="275">
        <f t="shared" ca="1" si="45"/>
        <v>0</v>
      </c>
      <c r="J193" s="275">
        <f t="shared" ca="1" si="45"/>
        <v>0</v>
      </c>
      <c r="K193" s="275">
        <f t="shared" ca="1" si="45"/>
        <v>0</v>
      </c>
      <c r="L193" s="275">
        <f t="shared" ca="1" si="45"/>
        <v>0</v>
      </c>
      <c r="M193" s="275">
        <f t="shared" ca="1" si="45"/>
        <v>0</v>
      </c>
      <c r="N193" s="275">
        <f t="shared" ca="1" si="45"/>
        <v>0</v>
      </c>
      <c r="O193" s="275">
        <f t="shared" ca="1" si="45"/>
        <v>0</v>
      </c>
      <c r="P193" s="275">
        <f t="shared" ca="1" si="45"/>
        <v>0</v>
      </c>
      <c r="Q193" s="275">
        <f t="shared" ca="1" si="45"/>
        <v>0</v>
      </c>
      <c r="R193" s="275">
        <f t="shared" ca="1" si="45"/>
        <v>0</v>
      </c>
      <c r="S193" s="275">
        <f t="shared" ca="1" si="45"/>
        <v>0</v>
      </c>
      <c r="T193" s="275">
        <f t="shared" ca="1" si="45"/>
        <v>0</v>
      </c>
      <c r="U193" s="275">
        <f t="shared" ca="1" si="45"/>
        <v>0</v>
      </c>
      <c r="V193" s="275">
        <f t="shared" ca="1" si="45"/>
        <v>0</v>
      </c>
      <c r="W193" s="275">
        <f t="shared" ca="1" si="45"/>
        <v>0</v>
      </c>
      <c r="X193" s="275">
        <f t="shared" ca="1" si="45"/>
        <v>0</v>
      </c>
      <c r="Y193" s="275">
        <f t="shared" ca="1" si="43"/>
        <v>0</v>
      </c>
    </row>
    <row r="194" spans="1:26">
      <c r="A194" s="24"/>
      <c r="B194" s="24"/>
      <c r="C194" s="24" t="s">
        <v>761</v>
      </c>
      <c r="D194" s="24"/>
      <c r="E194" s="275">
        <f t="shared" ca="1" si="45"/>
        <v>0</v>
      </c>
      <c r="F194" s="275">
        <f t="shared" ca="1" si="45"/>
        <v>0</v>
      </c>
      <c r="G194" s="275">
        <f t="shared" ca="1" si="45"/>
        <v>0</v>
      </c>
      <c r="H194" s="275">
        <f t="shared" ca="1" si="45"/>
        <v>0</v>
      </c>
      <c r="I194" s="275">
        <f t="shared" ca="1" si="45"/>
        <v>0</v>
      </c>
      <c r="J194" s="275">
        <f t="shared" ca="1" si="45"/>
        <v>0</v>
      </c>
      <c r="K194" s="275">
        <f t="shared" ca="1" si="45"/>
        <v>0</v>
      </c>
      <c r="L194" s="275">
        <f t="shared" ca="1" si="45"/>
        <v>0</v>
      </c>
      <c r="M194" s="275">
        <f t="shared" ca="1" si="45"/>
        <v>0</v>
      </c>
      <c r="N194" s="275">
        <f t="shared" ca="1" si="45"/>
        <v>0</v>
      </c>
      <c r="O194" s="275">
        <f t="shared" ca="1" si="45"/>
        <v>0</v>
      </c>
      <c r="P194" s="275">
        <f t="shared" ca="1" si="45"/>
        <v>0</v>
      </c>
      <c r="Q194" s="275">
        <f t="shared" ca="1" si="45"/>
        <v>0</v>
      </c>
      <c r="R194" s="275">
        <f t="shared" ca="1" si="45"/>
        <v>0</v>
      </c>
      <c r="S194" s="275">
        <f t="shared" ca="1" si="45"/>
        <v>0</v>
      </c>
      <c r="T194" s="275">
        <f t="shared" ca="1" si="45"/>
        <v>0</v>
      </c>
      <c r="U194" s="275">
        <f t="shared" ca="1" si="45"/>
        <v>0</v>
      </c>
      <c r="V194" s="275">
        <f t="shared" ca="1" si="45"/>
        <v>0</v>
      </c>
      <c r="W194" s="275">
        <f t="shared" ca="1" si="45"/>
        <v>0</v>
      </c>
      <c r="X194" s="275">
        <f t="shared" ca="1" si="45"/>
        <v>0</v>
      </c>
      <c r="Y194" s="275">
        <f t="shared" ca="1" si="43"/>
        <v>0</v>
      </c>
    </row>
    <row r="195" spans="1:26">
      <c r="A195" s="24"/>
      <c r="B195" s="24"/>
      <c r="C195" s="24" t="s">
        <v>764</v>
      </c>
      <c r="D195" s="24"/>
      <c r="E195" s="275">
        <f t="shared" ca="1" si="45"/>
        <v>0</v>
      </c>
      <c r="F195" s="275">
        <f t="shared" ca="1" si="45"/>
        <v>0</v>
      </c>
      <c r="G195" s="275">
        <f t="shared" ca="1" si="45"/>
        <v>0</v>
      </c>
      <c r="H195" s="275">
        <f t="shared" ca="1" si="45"/>
        <v>0</v>
      </c>
      <c r="I195" s="275">
        <f t="shared" ca="1" si="45"/>
        <v>0</v>
      </c>
      <c r="J195" s="275">
        <f t="shared" ca="1" si="45"/>
        <v>0</v>
      </c>
      <c r="K195" s="275">
        <f t="shared" ca="1" si="45"/>
        <v>0</v>
      </c>
      <c r="L195" s="275">
        <f t="shared" ca="1" si="45"/>
        <v>0</v>
      </c>
      <c r="M195" s="275">
        <f t="shared" ca="1" si="45"/>
        <v>0</v>
      </c>
      <c r="N195" s="275">
        <f t="shared" ca="1" si="45"/>
        <v>0</v>
      </c>
      <c r="O195" s="275">
        <f t="shared" ca="1" si="45"/>
        <v>0</v>
      </c>
      <c r="P195" s="275">
        <f t="shared" ca="1" si="45"/>
        <v>0</v>
      </c>
      <c r="Q195" s="275">
        <f t="shared" ca="1" si="45"/>
        <v>0</v>
      </c>
      <c r="R195" s="275">
        <f t="shared" ca="1" si="45"/>
        <v>0</v>
      </c>
      <c r="S195" s="275">
        <f t="shared" ca="1" si="45"/>
        <v>0</v>
      </c>
      <c r="T195" s="275">
        <f t="shared" ca="1" si="45"/>
        <v>0</v>
      </c>
      <c r="U195" s="275">
        <f t="shared" ca="1" si="45"/>
        <v>0</v>
      </c>
      <c r="V195" s="275">
        <f t="shared" ca="1" si="45"/>
        <v>0</v>
      </c>
      <c r="W195" s="275">
        <f t="shared" ca="1" si="45"/>
        <v>0</v>
      </c>
      <c r="X195" s="275">
        <f t="shared" ca="1" si="45"/>
        <v>0</v>
      </c>
      <c r="Y195" s="275">
        <f t="shared" ca="1" si="43"/>
        <v>0</v>
      </c>
    </row>
    <row r="196" spans="1:26">
      <c r="A196" s="24"/>
      <c r="B196" s="24"/>
      <c r="C196" s="24" t="s">
        <v>767</v>
      </c>
      <c r="D196" s="24"/>
      <c r="E196" s="275">
        <f t="shared" ca="1" si="45"/>
        <v>0</v>
      </c>
      <c r="F196" s="275">
        <f t="shared" ca="1" si="45"/>
        <v>0</v>
      </c>
      <c r="G196" s="275">
        <f t="shared" ca="1" si="45"/>
        <v>0</v>
      </c>
      <c r="H196" s="275">
        <f t="shared" ca="1" si="45"/>
        <v>0</v>
      </c>
      <c r="I196" s="275">
        <f t="shared" ca="1" si="45"/>
        <v>0</v>
      </c>
      <c r="J196" s="275">
        <f t="shared" ca="1" si="45"/>
        <v>0</v>
      </c>
      <c r="K196" s="275">
        <f t="shared" ca="1" si="45"/>
        <v>0</v>
      </c>
      <c r="L196" s="275">
        <f t="shared" ca="1" si="45"/>
        <v>0</v>
      </c>
      <c r="M196" s="275">
        <f t="shared" ca="1" si="45"/>
        <v>0</v>
      </c>
      <c r="N196" s="275">
        <f t="shared" ca="1" si="45"/>
        <v>0</v>
      </c>
      <c r="O196" s="275">
        <f t="shared" ca="1" si="45"/>
        <v>0</v>
      </c>
      <c r="P196" s="275">
        <f t="shared" ca="1" si="45"/>
        <v>0</v>
      </c>
      <c r="Q196" s="275">
        <f t="shared" ca="1" si="45"/>
        <v>0</v>
      </c>
      <c r="R196" s="275">
        <f t="shared" ca="1" si="45"/>
        <v>0</v>
      </c>
      <c r="S196" s="275">
        <f t="shared" ca="1" si="45"/>
        <v>0</v>
      </c>
      <c r="T196" s="275">
        <f t="shared" ref="T196:X196" ca="1" si="46">T159-T158</f>
        <v>0</v>
      </c>
      <c r="U196" s="275">
        <f t="shared" ca="1" si="46"/>
        <v>0</v>
      </c>
      <c r="V196" s="275">
        <f t="shared" ca="1" si="46"/>
        <v>0</v>
      </c>
      <c r="W196" s="275">
        <f t="shared" ca="1" si="46"/>
        <v>0</v>
      </c>
      <c r="X196" s="275">
        <f t="shared" ca="1" si="46"/>
        <v>0</v>
      </c>
      <c r="Y196" s="275">
        <f t="shared" ca="1" si="43"/>
        <v>0</v>
      </c>
    </row>
    <row r="197" spans="1:26">
      <c r="A197" s="24"/>
      <c r="B197" s="24"/>
      <c r="C197" s="24" t="s">
        <v>770</v>
      </c>
      <c r="D197" s="24"/>
      <c r="E197" s="275">
        <f t="shared" ref="E197:X201" ca="1" si="47">E160-E159</f>
        <v>0</v>
      </c>
      <c r="F197" s="275">
        <f t="shared" ca="1" si="47"/>
        <v>0</v>
      </c>
      <c r="G197" s="275">
        <f t="shared" ca="1" si="47"/>
        <v>0</v>
      </c>
      <c r="H197" s="275">
        <f t="shared" ca="1" si="47"/>
        <v>0</v>
      </c>
      <c r="I197" s="275">
        <f t="shared" ca="1" si="47"/>
        <v>0</v>
      </c>
      <c r="J197" s="275">
        <f t="shared" ca="1" si="47"/>
        <v>0</v>
      </c>
      <c r="K197" s="275">
        <f t="shared" ca="1" si="47"/>
        <v>0</v>
      </c>
      <c r="L197" s="275">
        <f t="shared" ca="1" si="47"/>
        <v>0</v>
      </c>
      <c r="M197" s="275">
        <f t="shared" ca="1" si="47"/>
        <v>0</v>
      </c>
      <c r="N197" s="275">
        <f t="shared" ca="1" si="47"/>
        <v>0</v>
      </c>
      <c r="O197" s="275">
        <f t="shared" ca="1" si="47"/>
        <v>0</v>
      </c>
      <c r="P197" s="275">
        <f t="shared" ca="1" si="47"/>
        <v>0</v>
      </c>
      <c r="Q197" s="275">
        <f t="shared" ca="1" si="47"/>
        <v>0</v>
      </c>
      <c r="R197" s="275">
        <f t="shared" ca="1" si="47"/>
        <v>0</v>
      </c>
      <c r="S197" s="275">
        <f t="shared" ca="1" si="47"/>
        <v>0</v>
      </c>
      <c r="T197" s="275">
        <f t="shared" ca="1" si="47"/>
        <v>0</v>
      </c>
      <c r="U197" s="275">
        <f t="shared" ca="1" si="47"/>
        <v>0</v>
      </c>
      <c r="V197" s="275">
        <f t="shared" ca="1" si="47"/>
        <v>0</v>
      </c>
      <c r="W197" s="275">
        <f t="shared" ca="1" si="47"/>
        <v>0</v>
      </c>
      <c r="X197" s="275">
        <f t="shared" ca="1" si="47"/>
        <v>0</v>
      </c>
      <c r="Y197" s="275">
        <f t="shared" ca="1" si="43"/>
        <v>0</v>
      </c>
    </row>
    <row r="198" spans="1:26">
      <c r="A198" s="24"/>
      <c r="B198" s="24"/>
      <c r="C198" s="24" t="s">
        <v>773</v>
      </c>
      <c r="D198" s="24"/>
      <c r="E198" s="275">
        <f t="shared" ca="1" si="47"/>
        <v>0</v>
      </c>
      <c r="F198" s="275">
        <f t="shared" ca="1" si="47"/>
        <v>0</v>
      </c>
      <c r="G198" s="275">
        <f t="shared" ca="1" si="47"/>
        <v>0</v>
      </c>
      <c r="H198" s="275">
        <f t="shared" ca="1" si="47"/>
        <v>0</v>
      </c>
      <c r="I198" s="275">
        <f t="shared" ca="1" si="47"/>
        <v>0</v>
      </c>
      <c r="J198" s="275">
        <f t="shared" ca="1" si="47"/>
        <v>0</v>
      </c>
      <c r="K198" s="275">
        <f t="shared" ca="1" si="47"/>
        <v>0</v>
      </c>
      <c r="L198" s="275">
        <f t="shared" ca="1" si="47"/>
        <v>0</v>
      </c>
      <c r="M198" s="275">
        <f t="shared" ca="1" si="47"/>
        <v>0</v>
      </c>
      <c r="N198" s="275">
        <f t="shared" ca="1" si="47"/>
        <v>0</v>
      </c>
      <c r="O198" s="275">
        <f t="shared" ca="1" si="47"/>
        <v>0</v>
      </c>
      <c r="P198" s="275">
        <f t="shared" ca="1" si="47"/>
        <v>0</v>
      </c>
      <c r="Q198" s="275">
        <f t="shared" ca="1" si="47"/>
        <v>0</v>
      </c>
      <c r="R198" s="275">
        <f t="shared" ca="1" si="47"/>
        <v>0</v>
      </c>
      <c r="S198" s="275">
        <f t="shared" ca="1" si="47"/>
        <v>0</v>
      </c>
      <c r="T198" s="275">
        <f t="shared" ca="1" si="47"/>
        <v>0</v>
      </c>
      <c r="U198" s="275">
        <f t="shared" ca="1" si="47"/>
        <v>0</v>
      </c>
      <c r="V198" s="275">
        <f t="shared" ca="1" si="47"/>
        <v>0</v>
      </c>
      <c r="W198" s="275">
        <f t="shared" ca="1" si="47"/>
        <v>0</v>
      </c>
      <c r="X198" s="275">
        <f t="shared" ca="1" si="47"/>
        <v>0</v>
      </c>
      <c r="Y198" s="275">
        <f t="shared" ca="1" si="43"/>
        <v>0</v>
      </c>
    </row>
    <row r="199" spans="1:26">
      <c r="A199" s="24"/>
      <c r="B199" s="24"/>
      <c r="C199" s="24" t="s">
        <v>776</v>
      </c>
      <c r="D199" s="24"/>
      <c r="E199" s="275">
        <f t="shared" ca="1" si="47"/>
        <v>0</v>
      </c>
      <c r="F199" s="275">
        <f t="shared" ca="1" si="47"/>
        <v>0</v>
      </c>
      <c r="G199" s="275">
        <f t="shared" ca="1" si="47"/>
        <v>0</v>
      </c>
      <c r="H199" s="275">
        <f t="shared" ca="1" si="47"/>
        <v>0</v>
      </c>
      <c r="I199" s="275">
        <f t="shared" ca="1" si="47"/>
        <v>0</v>
      </c>
      <c r="J199" s="275">
        <f t="shared" ca="1" si="47"/>
        <v>0</v>
      </c>
      <c r="K199" s="275">
        <f t="shared" ca="1" si="47"/>
        <v>0</v>
      </c>
      <c r="L199" s="275">
        <f t="shared" ca="1" si="47"/>
        <v>0</v>
      </c>
      <c r="M199" s="275">
        <f t="shared" ca="1" si="47"/>
        <v>0</v>
      </c>
      <c r="N199" s="275">
        <f t="shared" ca="1" si="47"/>
        <v>0</v>
      </c>
      <c r="O199" s="275">
        <f t="shared" ca="1" si="47"/>
        <v>0</v>
      </c>
      <c r="P199" s="275">
        <f t="shared" ca="1" si="47"/>
        <v>0</v>
      </c>
      <c r="Q199" s="275">
        <f t="shared" ca="1" si="47"/>
        <v>0</v>
      </c>
      <c r="R199" s="275">
        <f t="shared" ca="1" si="47"/>
        <v>0</v>
      </c>
      <c r="S199" s="275">
        <f t="shared" ca="1" si="47"/>
        <v>0</v>
      </c>
      <c r="T199" s="275">
        <f t="shared" ca="1" si="47"/>
        <v>0</v>
      </c>
      <c r="U199" s="275">
        <f t="shared" ca="1" si="47"/>
        <v>0</v>
      </c>
      <c r="V199" s="275">
        <f t="shared" ca="1" si="47"/>
        <v>0</v>
      </c>
      <c r="W199" s="275">
        <f t="shared" ca="1" si="47"/>
        <v>0</v>
      </c>
      <c r="X199" s="275">
        <f t="shared" ca="1" si="47"/>
        <v>0</v>
      </c>
      <c r="Y199" s="275">
        <f t="shared" ca="1" si="43"/>
        <v>0</v>
      </c>
    </row>
    <row r="200" spans="1:26">
      <c r="A200" s="24"/>
      <c r="B200" s="24"/>
      <c r="C200" s="24" t="s">
        <v>779</v>
      </c>
      <c r="D200" s="24"/>
      <c r="E200" s="275">
        <f t="shared" ca="1" si="47"/>
        <v>0</v>
      </c>
      <c r="F200" s="275">
        <f t="shared" ca="1" si="47"/>
        <v>0</v>
      </c>
      <c r="G200" s="275">
        <f t="shared" ca="1" si="47"/>
        <v>0</v>
      </c>
      <c r="H200" s="275">
        <f t="shared" ca="1" si="47"/>
        <v>0</v>
      </c>
      <c r="I200" s="275">
        <f t="shared" ca="1" si="47"/>
        <v>0</v>
      </c>
      <c r="J200" s="275">
        <f t="shared" ca="1" si="47"/>
        <v>0</v>
      </c>
      <c r="K200" s="275">
        <f t="shared" ca="1" si="47"/>
        <v>0</v>
      </c>
      <c r="L200" s="275">
        <f t="shared" ca="1" si="47"/>
        <v>0</v>
      </c>
      <c r="M200" s="275">
        <f t="shared" ca="1" si="47"/>
        <v>0</v>
      </c>
      <c r="N200" s="275">
        <f t="shared" ca="1" si="47"/>
        <v>0</v>
      </c>
      <c r="O200" s="275">
        <f t="shared" ca="1" si="47"/>
        <v>0</v>
      </c>
      <c r="P200" s="275">
        <f t="shared" ca="1" si="47"/>
        <v>0</v>
      </c>
      <c r="Q200" s="275">
        <f t="shared" ca="1" si="47"/>
        <v>0</v>
      </c>
      <c r="R200" s="275">
        <f t="shared" ca="1" si="47"/>
        <v>0</v>
      </c>
      <c r="S200" s="275">
        <f t="shared" ca="1" si="47"/>
        <v>0</v>
      </c>
      <c r="T200" s="275">
        <f t="shared" ca="1" si="47"/>
        <v>0</v>
      </c>
      <c r="U200" s="275">
        <f t="shared" ca="1" si="47"/>
        <v>0</v>
      </c>
      <c r="V200" s="275">
        <f t="shared" ca="1" si="47"/>
        <v>0</v>
      </c>
      <c r="W200" s="275">
        <f t="shared" ca="1" si="47"/>
        <v>0</v>
      </c>
      <c r="X200" s="275">
        <f t="shared" ca="1" si="47"/>
        <v>0</v>
      </c>
      <c r="Y200" s="275">
        <f t="shared" ca="1" si="43"/>
        <v>0</v>
      </c>
    </row>
    <row r="201" spans="1:26">
      <c r="A201" s="24"/>
      <c r="B201" s="24"/>
      <c r="C201" s="24" t="s">
        <v>782</v>
      </c>
      <c r="D201" s="24"/>
      <c r="E201" s="275">
        <f t="shared" ca="1" si="47"/>
        <v>0</v>
      </c>
      <c r="F201" s="275">
        <f t="shared" ca="1" si="47"/>
        <v>0</v>
      </c>
      <c r="G201" s="275">
        <f t="shared" ca="1" si="47"/>
        <v>0</v>
      </c>
      <c r="H201" s="275">
        <f t="shared" ca="1" si="47"/>
        <v>0</v>
      </c>
      <c r="I201" s="275">
        <f t="shared" ca="1" si="47"/>
        <v>0</v>
      </c>
      <c r="J201" s="275">
        <f t="shared" ca="1" si="47"/>
        <v>0</v>
      </c>
      <c r="K201" s="275">
        <f t="shared" ca="1" si="47"/>
        <v>0</v>
      </c>
      <c r="L201" s="275">
        <f t="shared" ca="1" si="47"/>
        <v>0</v>
      </c>
      <c r="M201" s="275">
        <f t="shared" ca="1" si="47"/>
        <v>0</v>
      </c>
      <c r="N201" s="275">
        <f t="shared" ca="1" si="47"/>
        <v>0</v>
      </c>
      <c r="O201" s="275">
        <f t="shared" ca="1" si="47"/>
        <v>0</v>
      </c>
      <c r="P201" s="275">
        <f t="shared" ca="1" si="47"/>
        <v>0</v>
      </c>
      <c r="Q201" s="275">
        <f t="shared" ca="1" si="47"/>
        <v>0</v>
      </c>
      <c r="R201" s="275">
        <f t="shared" ca="1" si="47"/>
        <v>0</v>
      </c>
      <c r="S201" s="275">
        <f t="shared" ca="1" si="47"/>
        <v>0</v>
      </c>
      <c r="T201" s="275">
        <f t="shared" ca="1" si="47"/>
        <v>0</v>
      </c>
      <c r="U201" s="275">
        <f t="shared" ca="1" si="47"/>
        <v>0</v>
      </c>
      <c r="V201" s="275">
        <f t="shared" ca="1" si="47"/>
        <v>0</v>
      </c>
      <c r="W201" s="275">
        <f t="shared" ca="1" si="47"/>
        <v>0</v>
      </c>
      <c r="X201" s="275">
        <f t="shared" ca="1" si="47"/>
        <v>0</v>
      </c>
      <c r="Y201" s="275">
        <f t="shared" ca="1" si="43"/>
        <v>0</v>
      </c>
    </row>
    <row r="202" spans="1:26">
      <c r="A202" s="24"/>
      <c r="B202" s="24"/>
      <c r="C202" s="24"/>
      <c r="D202" s="24"/>
      <c r="E202" s="269"/>
      <c r="F202" s="24"/>
      <c r="G202" s="24"/>
      <c r="H202" s="24"/>
      <c r="I202" s="24"/>
      <c r="J202" s="24"/>
      <c r="K202" s="24"/>
      <c r="L202" s="24"/>
      <c r="M202" s="24"/>
      <c r="N202" s="24"/>
      <c r="O202" s="24"/>
      <c r="P202" s="24"/>
      <c r="Q202" s="24"/>
      <c r="R202" s="24"/>
      <c r="S202" s="24"/>
      <c r="T202" s="24"/>
      <c r="U202" s="24"/>
      <c r="V202" s="24"/>
      <c r="W202" s="24"/>
      <c r="X202" s="24"/>
      <c r="Y202" s="24"/>
      <c r="Z202" s="24"/>
    </row>
    <row r="203" spans="1:26" ht="15">
      <c r="A203" s="24"/>
      <c r="B203" s="24"/>
      <c r="C203" s="276" t="s">
        <v>787</v>
      </c>
      <c r="D203" s="277"/>
      <c r="E203" s="277">
        <f t="shared" ref="E203:X203" ca="1" si="48">SUM(E170:E201)</f>
        <v>4.3910848161196387</v>
      </c>
      <c r="F203" s="277">
        <f t="shared" ca="1" si="48"/>
        <v>7.4367528257647644</v>
      </c>
      <c r="G203" s="277">
        <f t="shared" ca="1" si="48"/>
        <v>9.5171581412648099</v>
      </c>
      <c r="H203" s="277">
        <f t="shared" ca="1" si="48"/>
        <v>11.114331536267246</v>
      </c>
      <c r="I203" s="277">
        <f t="shared" ca="1" si="48"/>
        <v>12.495652594642026</v>
      </c>
      <c r="J203" s="277">
        <f t="shared" ca="1" si="48"/>
        <v>13.865543706927049</v>
      </c>
      <c r="K203" s="277">
        <f t="shared" ca="1" si="48"/>
        <v>14.814925472843582</v>
      </c>
      <c r="L203" s="277">
        <f t="shared" ca="1" si="48"/>
        <v>15.610384201702233</v>
      </c>
      <c r="M203" s="277">
        <f t="shared" ca="1" si="48"/>
        <v>16.280913024220393</v>
      </c>
      <c r="N203" s="277">
        <f t="shared" ca="1" si="48"/>
        <v>16.811084989231865</v>
      </c>
      <c r="O203" s="277">
        <f t="shared" ca="1" si="48"/>
        <v>17.242918007461952</v>
      </c>
      <c r="P203" s="277">
        <f t="shared" ca="1" si="48"/>
        <v>17.570710021067381</v>
      </c>
      <c r="Q203" s="277">
        <f t="shared" ca="1" si="48"/>
        <v>17.800530466339413</v>
      </c>
      <c r="R203" s="277">
        <f t="shared" ca="1" si="48"/>
        <v>17.964993609714327</v>
      </c>
      <c r="S203" s="277">
        <f t="shared" ca="1" si="48"/>
        <v>18.074446032348924</v>
      </c>
      <c r="T203" s="277">
        <f t="shared" ca="1" si="48"/>
        <v>18.141543347721733</v>
      </c>
      <c r="U203" s="277">
        <f t="shared" ca="1" si="48"/>
        <v>18.179970637942048</v>
      </c>
      <c r="V203" s="277">
        <f t="shared" ca="1" si="48"/>
        <v>18.191286626964121</v>
      </c>
      <c r="W203" s="277">
        <f t="shared" ca="1" si="48"/>
        <v>18.176211038222796</v>
      </c>
      <c r="X203" s="277">
        <f t="shared" ca="1" si="48"/>
        <v>18.152209439007514</v>
      </c>
      <c r="Y203" s="248" t="s">
        <v>695</v>
      </c>
    </row>
    <row r="204" spans="1:26" ht="15">
      <c r="A204" s="24"/>
      <c r="B204" s="24"/>
      <c r="C204" s="276" t="s">
        <v>928</v>
      </c>
      <c r="D204" s="277"/>
      <c r="E204" s="277">
        <f ca="1">IF((D204+E203)&lt;$Y$204,(D204+E203),$Y$204)</f>
        <v>4.3910848161196387</v>
      </c>
      <c r="F204" s="277">
        <f ca="1">IF((E204+F203)&lt;$Y$204,(E204+F203),$Y$204)</f>
        <v>11.827837641884404</v>
      </c>
      <c r="G204" s="277">
        <f t="shared" ref="G204:X204" ca="1" si="49">IF((F204+G203)&lt;$Y$204,(F204+G203),$Y$204)</f>
        <v>21.344995783149216</v>
      </c>
      <c r="H204" s="277">
        <f t="shared" ca="1" si="49"/>
        <v>32.45932731941646</v>
      </c>
      <c r="I204" s="277">
        <f t="shared" ca="1" si="49"/>
        <v>44.954979914058484</v>
      </c>
      <c r="J204" s="277">
        <f t="shared" ca="1" si="49"/>
        <v>58.820523620985533</v>
      </c>
      <c r="K204" s="277">
        <f t="shared" ca="1" si="49"/>
        <v>73.635449093829109</v>
      </c>
      <c r="L204" s="277">
        <f t="shared" ca="1" si="49"/>
        <v>89.245833295531341</v>
      </c>
      <c r="M204" s="277">
        <f t="shared" ca="1" si="49"/>
        <v>105.52674631975174</v>
      </c>
      <c r="N204" s="277">
        <f t="shared" ca="1" si="49"/>
        <v>122.3378313089836</v>
      </c>
      <c r="O204" s="277">
        <f t="shared" ca="1" si="49"/>
        <v>123.72449000056638</v>
      </c>
      <c r="P204" s="277">
        <f t="shared" ca="1" si="49"/>
        <v>123.72449000056638</v>
      </c>
      <c r="Q204" s="277">
        <f t="shared" ca="1" si="49"/>
        <v>123.72449000056638</v>
      </c>
      <c r="R204" s="277">
        <f t="shared" ca="1" si="49"/>
        <v>123.72449000056638</v>
      </c>
      <c r="S204" s="277">
        <f t="shared" ca="1" si="49"/>
        <v>123.72449000056638</v>
      </c>
      <c r="T204" s="277">
        <f t="shared" ca="1" si="49"/>
        <v>123.72449000056638</v>
      </c>
      <c r="U204" s="277">
        <f t="shared" ca="1" si="49"/>
        <v>123.72449000056638</v>
      </c>
      <c r="V204" s="277">
        <f t="shared" ca="1" si="49"/>
        <v>123.72449000056638</v>
      </c>
      <c r="W204" s="277">
        <f t="shared" ca="1" si="49"/>
        <v>123.72449000056638</v>
      </c>
      <c r="X204" s="277">
        <f t="shared" ca="1" si="49"/>
        <v>123.72449000056638</v>
      </c>
      <c r="Y204" s="277">
        <f ca="1">SUM(Y170:Y201)</f>
        <v>123.72449000056638</v>
      </c>
    </row>
  </sheetData>
  <mergeCells count="1">
    <mergeCell ref="B1:S5"/>
  </mergeCells>
  <pageMargins left="0.7" right="0.7" top="0.75" bottom="0.75" header="0.3" footer="0.3"/>
  <legacyDrawing r:id="rId1"/>
</worksheet>
</file>

<file path=xl/worksheets/sheet5.xml><?xml version="1.0" encoding="utf-8"?>
<worksheet xmlns="http://schemas.openxmlformats.org/spreadsheetml/2006/main" xmlns:r="http://schemas.openxmlformats.org/officeDocument/2006/relationships">
  <sheetPr>
    <tabColor theme="6" tint="-0.249977111117893"/>
  </sheetPr>
  <dimension ref="A1:EA28"/>
  <sheetViews>
    <sheetView workbookViewId="0">
      <selection sqref="A1:EA28"/>
    </sheetView>
  </sheetViews>
  <sheetFormatPr defaultRowHeight="12.75"/>
  <cols>
    <col min="1" max="1" width="48.85546875" customWidth="1"/>
    <col min="2" max="2" width="17.85546875" customWidth="1"/>
  </cols>
  <sheetData>
    <row r="1" spans="1:131" ht="13.5" thickBot="1">
      <c r="A1" s="187" t="s">
        <v>384</v>
      </c>
      <c r="B1" s="188"/>
      <c r="C1" s="45"/>
      <c r="D1" s="45"/>
      <c r="E1" s="45"/>
      <c r="F1" s="45"/>
      <c r="G1" s="45"/>
      <c r="H1" s="45"/>
      <c r="I1" s="45"/>
      <c r="J1" s="45"/>
      <c r="K1" s="45"/>
      <c r="L1" s="45"/>
      <c r="M1" s="45"/>
      <c r="N1" s="45"/>
      <c r="O1" s="45"/>
      <c r="P1" s="45"/>
      <c r="Q1" s="45"/>
      <c r="R1" s="45"/>
      <c r="S1" s="45"/>
      <c r="T1" s="45"/>
      <c r="U1" s="45"/>
      <c r="V1" s="45"/>
      <c r="W1" s="45"/>
      <c r="X1" s="45"/>
      <c r="Y1" s="45"/>
      <c r="Z1" s="45"/>
      <c r="AA1" s="45"/>
      <c r="AB1" s="45"/>
      <c r="AC1" s="45"/>
      <c r="AD1" s="45"/>
      <c r="AE1" s="45"/>
      <c r="AF1" s="45"/>
      <c r="AG1" s="45"/>
      <c r="AH1" s="45"/>
      <c r="AI1" s="45"/>
      <c r="AJ1" s="45"/>
      <c r="AK1" s="45"/>
      <c r="AL1" s="45"/>
      <c r="AM1" s="45"/>
      <c r="AN1" s="45"/>
      <c r="AO1" s="45"/>
      <c r="AP1" s="45"/>
      <c r="AQ1" s="45"/>
      <c r="AR1" s="45"/>
      <c r="AS1" s="45"/>
      <c r="AT1" s="45"/>
      <c r="AU1" s="45"/>
      <c r="AV1" s="45"/>
      <c r="AW1" s="45"/>
      <c r="AX1" s="45"/>
      <c r="AY1" s="45"/>
      <c r="AZ1" s="45"/>
      <c r="BA1" s="45"/>
      <c r="BB1" s="45"/>
      <c r="BC1" s="45"/>
      <c r="BD1" s="45"/>
      <c r="BE1" s="45"/>
      <c r="BF1" s="45"/>
      <c r="BG1" s="45"/>
      <c r="BH1" s="45"/>
      <c r="BI1" s="45"/>
      <c r="BJ1" s="45"/>
      <c r="BK1" s="45"/>
      <c r="BL1" s="45"/>
      <c r="BM1" s="45"/>
      <c r="BN1" s="45"/>
      <c r="BO1" s="45"/>
      <c r="BP1" s="45"/>
      <c r="BQ1" s="45"/>
      <c r="BR1" s="45"/>
      <c r="BS1" s="45"/>
      <c r="BT1" s="45"/>
      <c r="BU1" s="45"/>
      <c r="BV1" s="45"/>
      <c r="BW1" s="45"/>
      <c r="BX1" s="45"/>
      <c r="BY1" s="45"/>
      <c r="BZ1" s="45"/>
      <c r="CA1" s="45"/>
      <c r="CB1" s="45"/>
      <c r="CC1" s="45"/>
      <c r="CD1" s="45"/>
      <c r="CE1" s="45"/>
      <c r="CF1" s="45"/>
      <c r="CG1" s="45"/>
      <c r="CH1" s="45"/>
      <c r="CI1" s="45"/>
      <c r="CJ1" s="45"/>
      <c r="CK1" s="45"/>
      <c r="CL1" s="45"/>
      <c r="CM1" s="45"/>
      <c r="CN1" s="45"/>
      <c r="CO1" s="45"/>
      <c r="CP1" s="45"/>
      <c r="CQ1" s="45"/>
      <c r="CR1" s="45"/>
      <c r="CS1" s="45"/>
      <c r="CT1" s="45"/>
      <c r="CU1" s="45"/>
      <c r="CV1" s="45"/>
      <c r="CW1" s="45"/>
      <c r="CX1" s="24"/>
      <c r="CY1" s="24"/>
      <c r="CZ1" s="24"/>
      <c r="DA1" s="24"/>
      <c r="DB1" s="24"/>
      <c r="DC1" s="24"/>
      <c r="DD1" s="24"/>
      <c r="DE1" s="24"/>
      <c r="DF1" s="24"/>
      <c r="DG1" s="24"/>
      <c r="DH1" s="24"/>
      <c r="DI1" s="24"/>
      <c r="DJ1" s="24"/>
      <c r="DK1" s="24"/>
      <c r="DL1" s="24"/>
      <c r="DM1" s="24"/>
      <c r="DN1" s="24"/>
      <c r="DO1" s="24"/>
      <c r="DP1" s="24"/>
      <c r="DQ1" s="24"/>
      <c r="DR1" s="24"/>
      <c r="DS1" s="24"/>
      <c r="DT1" s="24"/>
      <c r="DU1" s="24"/>
      <c r="DV1" s="24"/>
      <c r="DW1" s="24"/>
      <c r="DX1" s="24"/>
      <c r="DY1" s="24"/>
      <c r="DZ1" s="24"/>
      <c r="EA1" s="24"/>
    </row>
    <row r="2" spans="1:131" ht="13.5" thickBot="1">
      <c r="A2" s="189"/>
      <c r="B2" s="190"/>
      <c r="C2" s="191"/>
      <c r="D2" s="191"/>
      <c r="E2" s="191"/>
      <c r="F2" s="191"/>
      <c r="G2" s="191"/>
      <c r="H2" s="191"/>
      <c r="I2" s="191"/>
      <c r="J2" s="191"/>
      <c r="K2" s="191"/>
      <c r="L2" s="191"/>
      <c r="M2" s="191"/>
      <c r="N2" s="191"/>
      <c r="O2" s="192" t="s">
        <v>385</v>
      </c>
      <c r="P2" s="193"/>
      <c r="Q2" s="193"/>
      <c r="R2" s="193"/>
      <c r="S2" s="193"/>
      <c r="T2" s="193"/>
      <c r="U2" s="193"/>
      <c r="V2" s="193"/>
      <c r="W2" s="193"/>
      <c r="X2" s="193"/>
      <c r="Y2" s="193"/>
      <c r="Z2" s="194"/>
      <c r="AA2" s="191"/>
      <c r="AB2" s="192" t="s">
        <v>386</v>
      </c>
      <c r="AC2" s="193"/>
      <c r="AD2" s="193"/>
      <c r="AE2" s="193"/>
      <c r="AF2" s="193"/>
      <c r="AG2" s="193"/>
      <c r="AH2" s="193"/>
      <c r="AI2" s="193"/>
      <c r="AJ2" s="193"/>
      <c r="AK2" s="193"/>
      <c r="AL2" s="193"/>
      <c r="AM2" s="194"/>
      <c r="AN2" s="45"/>
      <c r="AO2" s="45"/>
      <c r="AP2" s="45"/>
      <c r="AQ2" s="45"/>
      <c r="AR2" s="45"/>
      <c r="AS2" s="45"/>
      <c r="AT2" s="45"/>
      <c r="AU2" s="45"/>
      <c r="AV2" s="45"/>
      <c r="AW2" s="45"/>
      <c r="AX2" s="45"/>
      <c r="AY2" s="45"/>
      <c r="AZ2" s="45"/>
      <c r="BA2" s="45"/>
      <c r="BB2" s="45"/>
      <c r="BC2" s="45"/>
      <c r="BD2" s="45"/>
      <c r="BE2" s="45"/>
      <c r="BF2" s="45"/>
      <c r="BG2" s="45"/>
      <c r="BH2" s="45"/>
      <c r="BI2" s="45"/>
      <c r="BJ2" s="45"/>
      <c r="BK2" s="45"/>
      <c r="BL2" s="45"/>
      <c r="BM2" s="45"/>
      <c r="BN2" s="45"/>
      <c r="BO2" s="45"/>
      <c r="BP2" s="45"/>
      <c r="BQ2" s="45"/>
      <c r="BR2" s="45"/>
      <c r="BS2" s="45"/>
      <c r="BT2" s="45"/>
      <c r="BU2" s="45"/>
      <c r="BV2" s="45"/>
      <c r="BW2" s="45"/>
      <c r="BX2" s="45"/>
      <c r="BY2" s="45"/>
      <c r="BZ2" s="45"/>
      <c r="CA2" s="45"/>
      <c r="CB2" s="45"/>
      <c r="CC2" s="45"/>
      <c r="CD2" s="45"/>
      <c r="CE2" s="45"/>
      <c r="CF2" s="45"/>
      <c r="CG2" s="45"/>
      <c r="CH2" s="45"/>
      <c r="CI2" s="45"/>
      <c r="CJ2" s="45"/>
      <c r="CK2" s="45"/>
      <c r="CL2" s="45"/>
      <c r="CM2" s="45"/>
      <c r="CN2" s="45"/>
      <c r="CO2" s="45"/>
      <c r="CP2" s="45"/>
      <c r="CQ2" s="45"/>
      <c r="CR2" s="45"/>
      <c r="CS2" s="45"/>
      <c r="CT2" s="45"/>
      <c r="CU2" s="45"/>
      <c r="CV2" s="45"/>
      <c r="CW2" s="45"/>
      <c r="CX2" s="24"/>
      <c r="CY2" s="24"/>
      <c r="CZ2" s="24"/>
      <c r="DA2" s="24"/>
      <c r="DB2" s="24"/>
      <c r="DC2" s="24"/>
      <c r="DD2" s="24"/>
      <c r="DE2" s="24"/>
      <c r="DF2" s="24"/>
      <c r="DG2" s="24"/>
      <c r="DH2" s="24"/>
      <c r="DI2" s="24"/>
      <c r="DJ2" s="24"/>
      <c r="DK2" s="24"/>
      <c r="DL2" s="24"/>
      <c r="DM2" s="24"/>
      <c r="DN2" s="24"/>
      <c r="DO2" s="24"/>
      <c r="DP2" s="24"/>
      <c r="DQ2" s="24"/>
      <c r="DR2" s="24"/>
      <c r="DS2" s="24"/>
      <c r="DT2" s="24"/>
      <c r="DU2" s="24"/>
      <c r="DV2" s="24"/>
      <c r="DW2" s="24"/>
      <c r="DX2" s="24"/>
      <c r="DY2" s="24"/>
      <c r="DZ2" s="24"/>
      <c r="EA2" s="24"/>
    </row>
    <row r="3" spans="1:131" ht="191.25">
      <c r="A3" s="195" t="s">
        <v>387</v>
      </c>
      <c r="B3" s="196" t="s">
        <v>388</v>
      </c>
      <c r="C3" s="197" t="s">
        <v>389</v>
      </c>
      <c r="D3" s="197" t="s">
        <v>390</v>
      </c>
      <c r="E3" s="197" t="s">
        <v>391</v>
      </c>
      <c r="F3" s="197" t="s">
        <v>392</v>
      </c>
      <c r="G3" s="197" t="s">
        <v>393</v>
      </c>
      <c r="H3" s="197" t="s">
        <v>394</v>
      </c>
      <c r="I3" s="197" t="s">
        <v>395</v>
      </c>
      <c r="J3" s="197" t="s">
        <v>396</v>
      </c>
      <c r="K3" s="197" t="s">
        <v>397</v>
      </c>
      <c r="L3" s="197" t="s">
        <v>398</v>
      </c>
      <c r="M3" s="197" t="s">
        <v>399</v>
      </c>
      <c r="N3" s="197" t="s">
        <v>400</v>
      </c>
      <c r="O3" s="197" t="s">
        <v>401</v>
      </c>
      <c r="P3" s="197" t="s">
        <v>402</v>
      </c>
      <c r="Q3" s="197" t="s">
        <v>403</v>
      </c>
      <c r="R3" s="197" t="s">
        <v>404</v>
      </c>
      <c r="S3" s="197" t="s">
        <v>405</v>
      </c>
      <c r="T3" s="197" t="s">
        <v>406</v>
      </c>
      <c r="U3" s="197" t="s">
        <v>407</v>
      </c>
      <c r="V3" s="197" t="s">
        <v>408</v>
      </c>
      <c r="W3" s="197" t="s">
        <v>409</v>
      </c>
      <c r="X3" s="197" t="s">
        <v>410</v>
      </c>
      <c r="Y3" s="197" t="s">
        <v>411</v>
      </c>
      <c r="Z3" s="197" t="s">
        <v>412</v>
      </c>
      <c r="AA3" s="197"/>
      <c r="AB3" s="197" t="s">
        <v>401</v>
      </c>
      <c r="AC3" s="197" t="s">
        <v>402</v>
      </c>
      <c r="AD3" s="197" t="s">
        <v>403</v>
      </c>
      <c r="AE3" s="197" t="s">
        <v>404</v>
      </c>
      <c r="AF3" s="197" t="s">
        <v>405</v>
      </c>
      <c r="AG3" s="197" t="s">
        <v>406</v>
      </c>
      <c r="AH3" s="197" t="s">
        <v>407</v>
      </c>
      <c r="AI3" s="197" t="s">
        <v>408</v>
      </c>
      <c r="AJ3" s="197" t="s">
        <v>409</v>
      </c>
      <c r="AK3" s="197" t="s">
        <v>410</v>
      </c>
      <c r="AL3" s="197" t="s">
        <v>411</v>
      </c>
      <c r="AM3" s="197" t="s">
        <v>412</v>
      </c>
      <c r="AN3" s="45"/>
      <c r="AO3" s="45"/>
      <c r="AP3" s="45"/>
      <c r="AQ3" s="45"/>
      <c r="AR3" s="45"/>
      <c r="AS3" s="45"/>
      <c r="AT3" s="45"/>
      <c r="AU3" s="45"/>
      <c r="AV3" s="45"/>
      <c r="AW3" s="45"/>
      <c r="AX3" s="45"/>
      <c r="AY3" s="45"/>
      <c r="AZ3" s="45"/>
      <c r="BA3" s="45"/>
      <c r="BB3" s="45"/>
      <c r="BC3" s="45"/>
      <c r="BD3" s="45"/>
      <c r="BE3" s="45"/>
      <c r="BF3" s="45"/>
      <c r="BG3" s="45"/>
      <c r="BH3" s="45"/>
      <c r="BI3" s="45"/>
      <c r="BJ3" s="45"/>
      <c r="BK3" s="45"/>
      <c r="BL3" s="45"/>
      <c r="BM3" s="45"/>
      <c r="BN3" s="45"/>
      <c r="BO3" s="45"/>
      <c r="BP3" s="45"/>
      <c r="BQ3" s="45"/>
      <c r="BR3" s="45"/>
      <c r="BS3" s="45"/>
      <c r="BT3" s="45"/>
      <c r="BU3" s="45"/>
      <c r="BV3" s="45"/>
      <c r="BW3" s="45"/>
      <c r="BX3" s="45"/>
      <c r="BY3" s="45"/>
      <c r="BZ3" s="45"/>
      <c r="CA3" s="45"/>
      <c r="CB3" s="45"/>
      <c r="CC3" s="45"/>
      <c r="CD3" s="45"/>
      <c r="CE3" s="45"/>
      <c r="CF3" s="45"/>
      <c r="CG3" s="45"/>
      <c r="CH3" s="45"/>
      <c r="CI3" s="45"/>
      <c r="CJ3" s="45"/>
      <c r="CK3" s="45"/>
      <c r="CL3" s="45"/>
      <c r="CM3" s="45"/>
      <c r="CN3" s="45"/>
      <c r="CO3" s="45"/>
      <c r="CP3" s="45"/>
      <c r="CQ3" s="45"/>
      <c r="CR3" s="45"/>
      <c r="CS3" s="45"/>
      <c r="CT3" s="45"/>
      <c r="CU3" s="45"/>
      <c r="CV3" s="45"/>
      <c r="CW3" s="45"/>
      <c r="CX3" s="24"/>
      <c r="CY3" s="24"/>
      <c r="CZ3" s="24"/>
      <c r="DA3" s="24"/>
      <c r="DB3" s="24"/>
      <c r="DC3" s="24"/>
      <c r="DD3" s="24"/>
      <c r="DE3" s="24"/>
      <c r="DF3" s="24"/>
      <c r="DG3" s="24"/>
      <c r="DH3" s="24"/>
      <c r="DI3" s="24"/>
      <c r="DJ3" s="24"/>
      <c r="DK3" s="24"/>
      <c r="DL3" s="24"/>
      <c r="DM3" s="24"/>
      <c r="DN3" s="24"/>
      <c r="DO3" s="24"/>
      <c r="DP3" s="24"/>
      <c r="DQ3" s="24"/>
      <c r="DR3" s="24"/>
      <c r="DS3" s="24"/>
      <c r="DT3" s="24"/>
      <c r="DU3" s="24"/>
      <c r="DV3" s="24"/>
      <c r="DW3" s="24"/>
      <c r="DX3" s="24"/>
      <c r="DY3" s="24"/>
      <c r="DZ3" s="24"/>
      <c r="EA3" s="24"/>
    </row>
    <row r="4" spans="1:131">
      <c r="A4" s="24" t="s">
        <v>414</v>
      </c>
      <c r="B4" s="24"/>
      <c r="C4" s="198">
        <v>71.596806262868725</v>
      </c>
      <c r="D4" s="198">
        <v>0.68761315445724391</v>
      </c>
      <c r="E4" s="198">
        <v>0.13752263089144878</v>
      </c>
      <c r="F4" s="198">
        <v>0.8251357853486927</v>
      </c>
      <c r="G4" s="198">
        <v>-4.6182687988272475</v>
      </c>
      <c r="H4" s="198">
        <v>47.211993048167585</v>
      </c>
      <c r="I4" s="198">
        <v>100.95687024245389</v>
      </c>
      <c r="J4" s="198">
        <v>-12.644513228249725</v>
      </c>
      <c r="K4" s="198">
        <v>-17.998720942754002</v>
      </c>
      <c r="L4" s="199">
        <v>53.089279810445447</v>
      </c>
      <c r="M4" s="198">
        <v>0.68017146155360431</v>
      </c>
      <c r="N4" s="198">
        <v>1.6711750705328442E-2</v>
      </c>
      <c r="O4" s="198">
        <v>2.9324237661945984</v>
      </c>
      <c r="P4" s="198">
        <v>2.1678308879708323</v>
      </c>
      <c r="Q4" s="198">
        <v>2.0194344583692723</v>
      </c>
      <c r="R4" s="198">
        <v>1.1593040081315777</v>
      </c>
      <c r="S4" s="198">
        <v>0.93125606815032491</v>
      </c>
      <c r="T4" s="198">
        <v>0.72238231088986893</v>
      </c>
      <c r="U4" s="198">
        <v>0.75380030172015144</v>
      </c>
      <c r="V4" s="198">
        <v>1.0971812274574739</v>
      </c>
      <c r="W4" s="198">
        <v>1.3862023586538053</v>
      </c>
      <c r="X4" s="198">
        <v>2.2614326464244927</v>
      </c>
      <c r="Y4" s="198">
        <v>2.6187997845454936</v>
      </c>
      <c r="Z4" s="198">
        <v>3.0848933388005535</v>
      </c>
      <c r="AA4" s="198"/>
      <c r="AB4" s="198">
        <v>4.8600313080389581</v>
      </c>
      <c r="AC4" s="198">
        <v>4.2156699211594963</v>
      </c>
      <c r="AD4" s="198">
        <v>4.2498514163807597</v>
      </c>
      <c r="AE4" s="198">
        <v>4.046920949060631</v>
      </c>
      <c r="AF4" s="198">
        <v>3.7274201942931775</v>
      </c>
      <c r="AG4" s="198">
        <v>3.3867074400754942</v>
      </c>
      <c r="AH4" s="198">
        <v>3.6981971434441596</v>
      </c>
      <c r="AI4" s="198">
        <v>3.9933263256117955</v>
      </c>
      <c r="AJ4" s="198">
        <v>4.3043940819596651</v>
      </c>
      <c r="AK4" s="198">
        <v>4.4423785419133628</v>
      </c>
      <c r="AL4" s="198">
        <v>4.6568533418584641</v>
      </c>
      <c r="AM4" s="45">
        <v>4.8801144417643396</v>
      </c>
      <c r="AN4" s="45"/>
      <c r="AO4" s="45"/>
      <c r="AP4" s="45"/>
      <c r="AQ4" s="45"/>
      <c r="AR4" s="45"/>
      <c r="AS4" s="45"/>
      <c r="AT4" s="45"/>
      <c r="AU4" s="45"/>
      <c r="AV4" s="45"/>
      <c r="AW4" s="45"/>
      <c r="AX4" s="45"/>
      <c r="AY4" s="45"/>
      <c r="AZ4" s="45"/>
      <c r="BA4" s="45"/>
      <c r="BB4" s="45"/>
      <c r="BC4" s="45"/>
      <c r="BD4" s="45"/>
      <c r="BE4" s="45"/>
      <c r="BF4" s="45"/>
      <c r="BG4" s="45"/>
      <c r="BH4" s="45"/>
      <c r="BI4" s="45"/>
      <c r="BJ4" s="45"/>
      <c r="BK4" s="45"/>
      <c r="BL4" s="45"/>
      <c r="BM4" s="45"/>
      <c r="BN4" s="45"/>
      <c r="BO4" s="45"/>
      <c r="BP4" s="45"/>
      <c r="BQ4" s="45"/>
      <c r="BR4" s="45"/>
      <c r="BS4" s="45"/>
      <c r="BT4" s="45"/>
      <c r="BU4" s="45"/>
      <c r="BV4" s="45"/>
      <c r="BW4" s="45"/>
      <c r="BX4" s="45"/>
      <c r="BY4" s="45"/>
      <c r="BZ4" s="45"/>
      <c r="CA4" s="45"/>
      <c r="CB4" s="45"/>
      <c r="CC4" s="45"/>
      <c r="CD4" s="45"/>
      <c r="CE4" s="45"/>
      <c r="CF4" s="45"/>
      <c r="CG4" s="45"/>
      <c r="CH4" s="45"/>
      <c r="CI4" s="45"/>
      <c r="CJ4" s="45"/>
      <c r="CK4" s="45"/>
      <c r="CL4" s="45"/>
      <c r="CM4" s="45"/>
      <c r="CN4" s="45"/>
      <c r="CO4" s="45"/>
      <c r="CP4" s="45"/>
      <c r="CQ4" s="45"/>
      <c r="CR4" s="45"/>
      <c r="CS4" s="45"/>
      <c r="CT4" s="45"/>
      <c r="CU4" s="45"/>
      <c r="CV4" s="45"/>
      <c r="CW4" s="45"/>
      <c r="CX4" s="24"/>
      <c r="CY4" s="24"/>
      <c r="CZ4" s="24"/>
      <c r="DA4" s="24"/>
      <c r="DB4" s="24"/>
      <c r="DC4" s="24"/>
      <c r="DD4" s="24"/>
      <c r="DE4" s="24"/>
      <c r="DF4" s="24"/>
      <c r="DG4" s="24"/>
      <c r="DH4" s="24"/>
      <c r="DI4" s="24"/>
      <c r="DJ4" s="24"/>
      <c r="DK4" s="24"/>
      <c r="DL4" s="24"/>
      <c r="DM4" s="24"/>
      <c r="DN4" s="24"/>
      <c r="DO4" s="24"/>
      <c r="DP4" s="24"/>
      <c r="DQ4" s="24"/>
      <c r="DR4" s="24"/>
      <c r="DS4" s="24"/>
      <c r="DT4" s="24"/>
      <c r="DU4" s="24"/>
      <c r="DV4" s="24"/>
      <c r="DW4" s="24"/>
      <c r="DX4" s="24"/>
      <c r="DY4" s="24"/>
      <c r="DZ4" s="24"/>
      <c r="EA4" s="24"/>
    </row>
    <row r="5" spans="1:131">
      <c r="A5" s="24" t="s">
        <v>416</v>
      </c>
      <c r="B5" s="24"/>
      <c r="C5" s="198">
        <v>1.8393233905827586</v>
      </c>
      <c r="D5" s="198">
        <v>2.9394812076628273E-2</v>
      </c>
      <c r="E5" s="198">
        <v>5.8789624153256547E-3</v>
      </c>
      <c r="F5" s="198">
        <v>3.527377449195393E-2</v>
      </c>
      <c r="G5" s="198">
        <v>-2.8647769502477667</v>
      </c>
      <c r="H5" s="198">
        <v>1.2128770494412531</v>
      </c>
      <c r="I5" s="198">
        <v>167.99561519826892</v>
      </c>
      <c r="J5" s="198">
        <v>-12.240845660188754</v>
      </c>
      <c r="K5" s="198">
        <v>-127.85722269419684</v>
      </c>
      <c r="L5" s="199">
        <v>49.51909212605657</v>
      </c>
      <c r="M5" s="198">
        <v>1.7473618505400069E-2</v>
      </c>
      <c r="N5" s="198">
        <v>4.2932521119786187E-4</v>
      </c>
      <c r="O5" s="198">
        <v>7.5334025437664806E-2</v>
      </c>
      <c r="P5" s="198">
        <v>5.5691619042795827E-2</v>
      </c>
      <c r="Q5" s="198">
        <v>5.1879311786477984E-2</v>
      </c>
      <c r="R5" s="198">
        <v>2.9782543248142328E-2</v>
      </c>
      <c r="S5" s="198">
        <v>2.392398709073916E-2</v>
      </c>
      <c r="T5" s="198">
        <v>1.8558016072457759E-2</v>
      </c>
      <c r="U5" s="198">
        <v>1.9365144887772291E-2</v>
      </c>
      <c r="V5" s="198">
        <v>2.8186607765176785E-2</v>
      </c>
      <c r="W5" s="198">
        <v>3.5611566429258966E-2</v>
      </c>
      <c r="X5" s="198">
        <v>5.8096250097027395E-2</v>
      </c>
      <c r="Y5" s="198">
        <v>6.7277019051416767E-2</v>
      </c>
      <c r="Z5" s="198">
        <v>7.9250971819555718E-2</v>
      </c>
      <c r="AA5" s="198"/>
      <c r="AB5" s="198">
        <v>0.12485430189470022</v>
      </c>
      <c r="AC5" s="198">
        <v>0.10830064492675807</v>
      </c>
      <c r="AD5" s="198">
        <v>0.10917876822536908</v>
      </c>
      <c r="AE5" s="198">
        <v>0.10396548044499808</v>
      </c>
      <c r="AF5" s="198">
        <v>9.5757499639331944E-2</v>
      </c>
      <c r="AG5" s="198">
        <v>8.7004582141844825E-2</v>
      </c>
      <c r="AH5" s="198">
        <v>9.5006758876211295E-2</v>
      </c>
      <c r="AI5" s="198">
        <v>0.10258863349239815</v>
      </c>
      <c r="AJ5" s="198">
        <v>0.11057997039932753</v>
      </c>
      <c r="AK5" s="198">
        <v>0.11412479394631568</v>
      </c>
      <c r="AL5" s="198">
        <v>0.11963465586363657</v>
      </c>
      <c r="AM5" s="45">
        <v>0.12537023800338182</v>
      </c>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24"/>
      <c r="CY5" s="24"/>
      <c r="CZ5" s="24"/>
      <c r="DA5" s="24"/>
      <c r="DB5" s="24"/>
      <c r="DC5" s="24"/>
      <c r="DD5" s="24"/>
      <c r="DE5" s="24"/>
      <c r="DF5" s="24"/>
      <c r="DG5" s="24"/>
      <c r="DH5" s="24"/>
      <c r="DI5" s="24"/>
      <c r="DJ5" s="24"/>
      <c r="DK5" s="24"/>
      <c r="DL5" s="24"/>
      <c r="DM5" s="24"/>
      <c r="DN5" s="24"/>
      <c r="DO5" s="24"/>
      <c r="DP5" s="24"/>
      <c r="DQ5" s="24"/>
      <c r="DR5" s="24"/>
      <c r="DS5" s="24"/>
      <c r="DT5" s="24"/>
      <c r="DU5" s="24"/>
      <c r="DV5" s="24"/>
      <c r="DW5" s="24"/>
      <c r="DX5" s="24"/>
      <c r="DY5" s="24"/>
      <c r="DZ5" s="24"/>
      <c r="EA5" s="24"/>
    </row>
    <row r="6" spans="1:131">
      <c r="A6" s="24" t="s">
        <v>417</v>
      </c>
      <c r="B6" s="24"/>
      <c r="C6" s="198">
        <v>1.8393233905827586</v>
      </c>
      <c r="D6" s="198">
        <v>2.9394812076628273E-2</v>
      </c>
      <c r="E6" s="198">
        <v>5.8789624153256547E-3</v>
      </c>
      <c r="F6" s="198">
        <v>3.527377449195393E-2</v>
      </c>
      <c r="G6" s="198">
        <v>-2.8647769502477667</v>
      </c>
      <c r="H6" s="198">
        <v>1.2128770494412531</v>
      </c>
      <c r="I6" s="198">
        <v>167.99561519826892</v>
      </c>
      <c r="J6" s="198">
        <v>-12.240845660188754</v>
      </c>
      <c r="K6" s="198">
        <v>-127.85722269419684</v>
      </c>
      <c r="L6" s="199">
        <v>49.51909212605657</v>
      </c>
      <c r="M6" s="198">
        <v>1.7473618505400069E-2</v>
      </c>
      <c r="N6" s="198">
        <v>4.2932521119786187E-4</v>
      </c>
      <c r="O6" s="198">
        <v>7.5334025437664806E-2</v>
      </c>
      <c r="P6" s="198">
        <v>5.5691619042795827E-2</v>
      </c>
      <c r="Q6" s="198">
        <v>5.1879311786477984E-2</v>
      </c>
      <c r="R6" s="198">
        <v>2.9782543248142328E-2</v>
      </c>
      <c r="S6" s="198">
        <v>2.392398709073916E-2</v>
      </c>
      <c r="T6" s="198">
        <v>1.8558016072457759E-2</v>
      </c>
      <c r="U6" s="198">
        <v>1.9365144887772291E-2</v>
      </c>
      <c r="V6" s="198">
        <v>2.8186607765176785E-2</v>
      </c>
      <c r="W6" s="198">
        <v>3.5611566429258966E-2</v>
      </c>
      <c r="X6" s="198">
        <v>5.8096250097027395E-2</v>
      </c>
      <c r="Y6" s="198">
        <v>6.7277019051416767E-2</v>
      </c>
      <c r="Z6" s="198">
        <v>7.9250971819555718E-2</v>
      </c>
      <c r="AA6" s="198"/>
      <c r="AB6" s="198">
        <v>0.12485430189470022</v>
      </c>
      <c r="AC6" s="198">
        <v>0.10830064492675807</v>
      </c>
      <c r="AD6" s="198">
        <v>0.10917876822536908</v>
      </c>
      <c r="AE6" s="198">
        <v>0.10396548044499808</v>
      </c>
      <c r="AF6" s="198">
        <v>9.5757499639331944E-2</v>
      </c>
      <c r="AG6" s="198">
        <v>8.7004582141844825E-2</v>
      </c>
      <c r="AH6" s="198">
        <v>9.5006758876211295E-2</v>
      </c>
      <c r="AI6" s="198">
        <v>0.10258863349239815</v>
      </c>
      <c r="AJ6" s="198">
        <v>0.11057997039932753</v>
      </c>
      <c r="AK6" s="198">
        <v>0.11412479394631568</v>
      </c>
      <c r="AL6" s="198">
        <v>0.11963465586363657</v>
      </c>
      <c r="AM6" s="45">
        <v>0.12537023800338182</v>
      </c>
      <c r="AN6" s="45"/>
      <c r="AO6" s="45"/>
      <c r="AP6" s="45"/>
      <c r="AQ6" s="45"/>
      <c r="AR6" s="45"/>
      <c r="AS6" s="45"/>
      <c r="AT6" s="45"/>
      <c r="AU6" s="45"/>
      <c r="AV6" s="45"/>
      <c r="AW6" s="45"/>
      <c r="AX6" s="45"/>
      <c r="AY6" s="45"/>
      <c r="AZ6" s="45"/>
      <c r="BA6" s="45"/>
      <c r="BB6" s="45"/>
      <c r="BC6" s="45"/>
      <c r="BD6" s="45"/>
      <c r="BE6" s="45"/>
      <c r="BF6" s="45"/>
      <c r="BG6" s="45"/>
      <c r="BH6" s="45"/>
      <c r="BI6" s="45"/>
      <c r="BJ6" s="45"/>
      <c r="BK6" s="45"/>
      <c r="BL6" s="45"/>
      <c r="BM6" s="45"/>
      <c r="BN6" s="45"/>
      <c r="BO6" s="45"/>
      <c r="BP6" s="45"/>
      <c r="BQ6" s="45"/>
      <c r="BR6" s="45"/>
      <c r="BS6" s="45"/>
      <c r="BT6" s="45"/>
      <c r="BU6" s="45"/>
      <c r="BV6" s="45"/>
      <c r="BW6" s="45"/>
      <c r="BX6" s="45"/>
      <c r="BY6" s="45"/>
      <c r="BZ6" s="45"/>
      <c r="CA6" s="45"/>
      <c r="CB6" s="45"/>
      <c r="CC6" s="45"/>
      <c r="CD6" s="45"/>
      <c r="CE6" s="45"/>
      <c r="CF6" s="45"/>
      <c r="CG6" s="45"/>
      <c r="CH6" s="45"/>
      <c r="CI6" s="45"/>
      <c r="CJ6" s="45"/>
      <c r="CK6" s="45"/>
      <c r="CL6" s="45"/>
      <c r="CM6" s="45"/>
      <c r="CN6" s="45"/>
      <c r="CO6" s="45"/>
      <c r="CP6" s="45"/>
      <c r="CQ6" s="45"/>
      <c r="CR6" s="45"/>
      <c r="CS6" s="45"/>
      <c r="CT6" s="45"/>
      <c r="CU6" s="45"/>
      <c r="CV6" s="45"/>
      <c r="CW6" s="45"/>
      <c r="CX6" s="24"/>
      <c r="CY6" s="24"/>
      <c r="CZ6" s="24"/>
      <c r="DA6" s="24"/>
      <c r="DB6" s="24"/>
      <c r="DC6" s="24"/>
      <c r="DD6" s="24"/>
      <c r="DE6" s="24"/>
      <c r="DF6" s="24"/>
      <c r="DG6" s="24"/>
      <c r="DH6" s="24"/>
      <c r="DI6" s="24"/>
      <c r="DJ6" s="24"/>
      <c r="DK6" s="24"/>
      <c r="DL6" s="24"/>
      <c r="DM6" s="24"/>
      <c r="DN6" s="24"/>
      <c r="DO6" s="24"/>
      <c r="DP6" s="24"/>
      <c r="DQ6" s="24"/>
      <c r="DR6" s="24"/>
      <c r="DS6" s="24"/>
      <c r="DT6" s="24"/>
      <c r="DU6" s="24"/>
      <c r="DV6" s="24"/>
      <c r="DW6" s="24"/>
      <c r="DX6" s="24"/>
      <c r="DY6" s="24"/>
      <c r="DZ6" s="24"/>
      <c r="EA6" s="24"/>
    </row>
    <row r="7" spans="1:131">
      <c r="A7" s="24" t="s">
        <v>415</v>
      </c>
      <c r="B7" s="24"/>
      <c r="C7" s="198">
        <v>71.761669722483219</v>
      </c>
      <c r="D7" s="198">
        <v>0.75267609869364605</v>
      </c>
      <c r="E7" s="198">
        <v>0.15053521973872921</v>
      </c>
      <c r="F7" s="198">
        <v>0.90321131843237523</v>
      </c>
      <c r="G7" s="198">
        <v>-4.880902675755749</v>
      </c>
      <c r="H7" s="198">
        <v>47.320706451956013</v>
      </c>
      <c r="I7" s="198">
        <v>110.25567242325056</v>
      </c>
      <c r="J7" s="198">
        <v>-12.588521355718759</v>
      </c>
      <c r="K7" s="198">
        <v>-18.257111921085425</v>
      </c>
      <c r="L7" s="199">
        <v>48.927512778754668</v>
      </c>
      <c r="M7" s="198">
        <v>0.68173766856947449</v>
      </c>
      <c r="N7" s="198">
        <v>1.6750232268701249E-2</v>
      </c>
      <c r="O7" s="198">
        <v>2.939176155754764</v>
      </c>
      <c r="P7" s="198">
        <v>2.1728226762740399</v>
      </c>
      <c r="Q7" s="198">
        <v>2.0240845394084892</v>
      </c>
      <c r="R7" s="198">
        <v>1.1619734968909476</v>
      </c>
      <c r="S7" s="198">
        <v>0.93340043890086588</v>
      </c>
      <c r="T7" s="198">
        <v>0.72404571535096118</v>
      </c>
      <c r="U7" s="198">
        <v>0.7555360512889765</v>
      </c>
      <c r="V7" s="198">
        <v>1.0997076682643248</v>
      </c>
      <c r="W7" s="198">
        <v>1.3893943183025967</v>
      </c>
      <c r="X7" s="198">
        <v>2.2666399682204657</v>
      </c>
      <c r="Y7" s="198">
        <v>2.624830003141176</v>
      </c>
      <c r="Z7" s="198">
        <v>3.0919968147085295</v>
      </c>
      <c r="AA7" s="198"/>
      <c r="AB7" s="198">
        <v>4.8712223320119579</v>
      </c>
      <c r="AC7" s="198">
        <v>4.2253771967220866</v>
      </c>
      <c r="AD7" s="198">
        <v>4.2596374004759108</v>
      </c>
      <c r="AE7" s="198">
        <v>4.0562396522720405</v>
      </c>
      <c r="AF7" s="198">
        <v>3.7360031943003547</v>
      </c>
      <c r="AG7" s="198">
        <v>3.3945058927498075</v>
      </c>
      <c r="AH7" s="198">
        <v>3.7067128525550674</v>
      </c>
      <c r="AI7" s="198">
        <v>4.0025216183598102</v>
      </c>
      <c r="AJ7" s="198">
        <v>4.3143056595416391</v>
      </c>
      <c r="AK7" s="198">
        <v>4.4526078514812788</v>
      </c>
      <c r="AL7" s="198">
        <v>4.6675765150407607</v>
      </c>
      <c r="AM7" s="45">
        <v>4.8913517104663811</v>
      </c>
      <c r="AN7" s="45"/>
      <c r="AO7" s="45"/>
      <c r="AP7" s="45"/>
      <c r="AQ7" s="45"/>
      <c r="AR7" s="45"/>
      <c r="AS7" s="45"/>
      <c r="AT7" s="45"/>
      <c r="AU7" s="45"/>
      <c r="AV7" s="45"/>
      <c r="AW7" s="45"/>
      <c r="AX7" s="45"/>
      <c r="AY7" s="45"/>
      <c r="AZ7" s="45"/>
      <c r="BA7" s="45"/>
      <c r="BB7" s="45"/>
      <c r="BC7" s="45"/>
      <c r="BD7" s="45"/>
      <c r="BE7" s="45"/>
      <c r="BF7" s="45"/>
      <c r="BG7" s="45"/>
      <c r="BH7" s="45"/>
      <c r="BI7" s="45"/>
      <c r="BJ7" s="45"/>
      <c r="BK7" s="45"/>
      <c r="BL7" s="45"/>
      <c r="BM7" s="45"/>
      <c r="BN7" s="45"/>
      <c r="BO7" s="45"/>
      <c r="BP7" s="45"/>
      <c r="BQ7" s="45"/>
      <c r="BR7" s="45"/>
      <c r="BS7" s="45"/>
      <c r="BT7" s="45"/>
      <c r="BU7" s="45"/>
      <c r="BV7" s="45"/>
      <c r="BW7" s="45"/>
      <c r="BX7" s="45"/>
      <c r="BY7" s="45"/>
      <c r="BZ7" s="45"/>
      <c r="CA7" s="45"/>
      <c r="CB7" s="45"/>
      <c r="CC7" s="45"/>
      <c r="CD7" s="45"/>
      <c r="CE7" s="45"/>
      <c r="CF7" s="45"/>
      <c r="CG7" s="45"/>
      <c r="CH7" s="45"/>
      <c r="CI7" s="45"/>
      <c r="CJ7" s="45"/>
      <c r="CK7" s="45"/>
      <c r="CL7" s="45"/>
      <c r="CM7" s="45"/>
      <c r="CN7" s="45"/>
      <c r="CO7" s="45"/>
      <c r="CP7" s="45"/>
      <c r="CQ7" s="45"/>
      <c r="CR7" s="45"/>
      <c r="CS7" s="45"/>
      <c r="CT7" s="45"/>
      <c r="CU7" s="45"/>
      <c r="CV7" s="45"/>
      <c r="CW7" s="45"/>
      <c r="CX7" s="24"/>
      <c r="CY7" s="24"/>
      <c r="CZ7" s="24"/>
      <c r="DA7" s="24"/>
      <c r="DB7" s="24"/>
      <c r="DC7" s="24"/>
      <c r="DD7" s="24"/>
      <c r="DE7" s="24"/>
      <c r="DF7" s="24"/>
      <c r="DG7" s="24"/>
      <c r="DH7" s="24"/>
      <c r="DI7" s="24"/>
      <c r="DJ7" s="24"/>
      <c r="DK7" s="24"/>
      <c r="DL7" s="24"/>
      <c r="DM7" s="24"/>
      <c r="DN7" s="24"/>
      <c r="DO7" s="24"/>
      <c r="DP7" s="24"/>
      <c r="DQ7" s="24"/>
      <c r="DR7" s="24"/>
      <c r="DS7" s="24"/>
      <c r="DT7" s="24"/>
      <c r="DU7" s="24"/>
      <c r="DV7" s="24"/>
      <c r="DW7" s="24"/>
      <c r="DX7" s="24"/>
      <c r="DY7" s="24"/>
      <c r="DZ7" s="24"/>
      <c r="EA7" s="24"/>
    </row>
    <row r="8" spans="1:131">
      <c r="A8" s="24" t="s">
        <v>418</v>
      </c>
      <c r="B8" s="24"/>
      <c r="C8" s="198">
        <v>30.963239695039977</v>
      </c>
      <c r="D8" s="198">
        <v>0.93212841418794667</v>
      </c>
      <c r="E8" s="198">
        <v>0.18642568283758934</v>
      </c>
      <c r="F8" s="198">
        <v>1.1185540970255361</v>
      </c>
      <c r="G8" s="198">
        <v>-0.56436433027084487</v>
      </c>
      <c r="H8" s="198">
        <v>20.41761823654285</v>
      </c>
      <c r="I8" s="198">
        <v>316.45699824858218</v>
      </c>
      <c r="J8" s="198">
        <v>-11.346899249253024</v>
      </c>
      <c r="K8" s="198">
        <v>-14.593583923608218</v>
      </c>
      <c r="L8" s="199">
        <v>16.555354087226934</v>
      </c>
      <c r="M8" s="198">
        <v>0.29415155643237295</v>
      </c>
      <c r="N8" s="198">
        <v>7.2272768831756675E-3</v>
      </c>
      <c r="O8" s="198">
        <v>1.2681758405081849</v>
      </c>
      <c r="P8" s="198">
        <v>0.9375148265148715</v>
      </c>
      <c r="Q8" s="198">
        <v>0.8733383016183387</v>
      </c>
      <c r="R8" s="198">
        <v>0.50136046224473518</v>
      </c>
      <c r="S8" s="198">
        <v>0.40273730576377881</v>
      </c>
      <c r="T8" s="198">
        <v>0.31240634619117003</v>
      </c>
      <c r="U8" s="198">
        <v>0.32599358327047423</v>
      </c>
      <c r="V8" s="198">
        <v>0.47449442381457907</v>
      </c>
      <c r="W8" s="198">
        <v>0.59948645948314094</v>
      </c>
      <c r="X8" s="198">
        <v>0.97799447685342278</v>
      </c>
      <c r="Y8" s="198">
        <v>1.1325438895205855</v>
      </c>
      <c r="Z8" s="198">
        <v>1.3341138644120087</v>
      </c>
      <c r="AA8" s="198"/>
      <c r="AB8" s="198">
        <v>2.1018020519478329</v>
      </c>
      <c r="AC8" s="198">
        <v>1.8231371629173796</v>
      </c>
      <c r="AD8" s="198">
        <v>1.8379195238202533</v>
      </c>
      <c r="AE8" s="198">
        <v>1.7501588396636152</v>
      </c>
      <c r="AF8" s="198">
        <v>1.6119853795753345</v>
      </c>
      <c r="AG8" s="198">
        <v>1.4646384345556578</v>
      </c>
      <c r="AH8" s="198">
        <v>1.5993473811046159</v>
      </c>
      <c r="AI8" s="198">
        <v>1.7269809458603782</v>
      </c>
      <c r="AJ8" s="198">
        <v>1.8615074143432682</v>
      </c>
      <c r="AK8" s="198">
        <v>1.9211811083352965</v>
      </c>
      <c r="AL8" s="198">
        <v>2.0139343327579615</v>
      </c>
      <c r="AM8" s="45">
        <v>2.110487339963103</v>
      </c>
      <c r="AN8" s="45"/>
      <c r="AO8" s="45"/>
      <c r="AP8" s="45"/>
      <c r="AQ8" s="45"/>
      <c r="AR8" s="45"/>
      <c r="AS8" s="45"/>
      <c r="AT8" s="45"/>
      <c r="AU8" s="45"/>
      <c r="AV8" s="45"/>
      <c r="AW8" s="45"/>
      <c r="AX8" s="45"/>
      <c r="AY8" s="45"/>
      <c r="AZ8" s="45"/>
      <c r="BA8" s="45"/>
      <c r="BB8" s="45"/>
      <c r="BC8" s="45"/>
      <c r="BD8" s="45"/>
      <c r="BE8" s="45"/>
      <c r="BF8" s="45"/>
      <c r="BG8" s="45"/>
      <c r="BH8" s="45"/>
      <c r="BI8" s="45"/>
      <c r="BJ8" s="45"/>
      <c r="BK8" s="45"/>
      <c r="BL8" s="45"/>
      <c r="BM8" s="45"/>
      <c r="BN8" s="45"/>
      <c r="BO8" s="45"/>
      <c r="BP8" s="45"/>
      <c r="BQ8" s="45"/>
      <c r="BR8" s="45"/>
      <c r="BS8" s="45"/>
      <c r="BT8" s="45"/>
      <c r="BU8" s="45"/>
      <c r="BV8" s="45"/>
      <c r="BW8" s="45"/>
      <c r="BX8" s="45"/>
      <c r="BY8" s="45"/>
      <c r="BZ8" s="45"/>
      <c r="CA8" s="45"/>
      <c r="CB8" s="45"/>
      <c r="CC8" s="45"/>
      <c r="CD8" s="45"/>
      <c r="CE8" s="45"/>
      <c r="CF8" s="45"/>
      <c r="CG8" s="45"/>
      <c r="CH8" s="45"/>
      <c r="CI8" s="45"/>
      <c r="CJ8" s="45"/>
      <c r="CK8" s="45"/>
      <c r="CL8" s="45"/>
      <c r="CM8" s="45"/>
      <c r="CN8" s="45"/>
      <c r="CO8" s="45"/>
      <c r="CP8" s="45"/>
      <c r="CQ8" s="45"/>
      <c r="CR8" s="45"/>
      <c r="CS8" s="45"/>
      <c r="CT8" s="45"/>
      <c r="CU8" s="45"/>
      <c r="CV8" s="45"/>
      <c r="CW8" s="45"/>
      <c r="CX8" s="24"/>
      <c r="CY8" s="24"/>
      <c r="CZ8" s="24"/>
      <c r="DA8" s="24"/>
      <c r="DB8" s="24"/>
      <c r="DC8" s="24"/>
      <c r="DD8" s="24"/>
      <c r="DE8" s="24"/>
      <c r="DF8" s="24"/>
      <c r="DG8" s="24"/>
      <c r="DH8" s="24"/>
      <c r="DI8" s="24"/>
      <c r="DJ8" s="24"/>
      <c r="DK8" s="24"/>
      <c r="DL8" s="24"/>
      <c r="DM8" s="24"/>
      <c r="DN8" s="24"/>
      <c r="DO8" s="24"/>
      <c r="DP8" s="24"/>
      <c r="DQ8" s="24"/>
      <c r="DR8" s="24"/>
      <c r="DS8" s="24"/>
      <c r="DT8" s="24"/>
      <c r="DU8" s="24"/>
      <c r="DV8" s="24"/>
      <c r="DW8" s="24"/>
      <c r="DX8" s="24"/>
      <c r="DY8" s="24"/>
      <c r="DZ8" s="24"/>
      <c r="EA8" s="24"/>
    </row>
    <row r="9" spans="1:131">
      <c r="A9" s="24" t="s">
        <v>422</v>
      </c>
      <c r="B9" s="24"/>
      <c r="C9" s="198">
        <v>1.8393233905827586</v>
      </c>
      <c r="D9" s="198">
        <v>0.18729926518091722</v>
      </c>
      <c r="E9" s="198">
        <v>3.7459853036183446E-2</v>
      </c>
      <c r="F9" s="198">
        <v>0.22475911821710065</v>
      </c>
      <c r="G9" s="198">
        <v>-2.413314747954256</v>
      </c>
      <c r="H9" s="198">
        <v>1.2128770494412531</v>
      </c>
      <c r="I9" s="198">
        <v>1070.4424712165446</v>
      </c>
      <c r="J9" s="198">
        <v>-6.806845845406106</v>
      </c>
      <c r="K9" s="198">
        <v>-109.79657103171296</v>
      </c>
      <c r="L9" s="199">
        <v>7.7715436088052439</v>
      </c>
      <c r="M9" s="198">
        <v>1.7473618505400069E-2</v>
      </c>
      <c r="N9" s="198">
        <v>4.2932521119786187E-4</v>
      </c>
      <c r="O9" s="198">
        <v>7.5334025437664806E-2</v>
      </c>
      <c r="P9" s="198">
        <v>5.5691619042795827E-2</v>
      </c>
      <c r="Q9" s="198">
        <v>5.1879311786477984E-2</v>
      </c>
      <c r="R9" s="198">
        <v>2.9782543248142328E-2</v>
      </c>
      <c r="S9" s="198">
        <v>2.392398709073916E-2</v>
      </c>
      <c r="T9" s="198">
        <v>1.8558016072457759E-2</v>
      </c>
      <c r="U9" s="198">
        <v>1.9365144887772291E-2</v>
      </c>
      <c r="V9" s="198">
        <v>2.8186607765176785E-2</v>
      </c>
      <c r="W9" s="198">
        <v>3.5611566429258966E-2</v>
      </c>
      <c r="X9" s="198">
        <v>5.8096250097027395E-2</v>
      </c>
      <c r="Y9" s="198">
        <v>6.7277019051416767E-2</v>
      </c>
      <c r="Z9" s="198">
        <v>7.9250971819555718E-2</v>
      </c>
      <c r="AA9" s="198"/>
      <c r="AB9" s="198">
        <v>0.12485430189470022</v>
      </c>
      <c r="AC9" s="198">
        <v>0.10830064492675807</v>
      </c>
      <c r="AD9" s="198">
        <v>0.10917876822536908</v>
      </c>
      <c r="AE9" s="198">
        <v>0.10396548044499808</v>
      </c>
      <c r="AF9" s="198">
        <v>9.5757499639331944E-2</v>
      </c>
      <c r="AG9" s="198">
        <v>8.7004582141844825E-2</v>
      </c>
      <c r="AH9" s="198">
        <v>9.5006758876211295E-2</v>
      </c>
      <c r="AI9" s="198">
        <v>0.10258863349239815</v>
      </c>
      <c r="AJ9" s="198">
        <v>0.11057997039932753</v>
      </c>
      <c r="AK9" s="198">
        <v>0.11412479394631568</v>
      </c>
      <c r="AL9" s="198">
        <v>0.11963465586363657</v>
      </c>
      <c r="AM9" s="45">
        <v>0.12537023800338182</v>
      </c>
      <c r="AN9" s="45"/>
      <c r="AO9" s="45"/>
      <c r="AP9" s="45"/>
      <c r="AQ9" s="45"/>
      <c r="AR9" s="45"/>
      <c r="AS9" s="45"/>
      <c r="AT9" s="45"/>
      <c r="AU9" s="45"/>
      <c r="AV9" s="45"/>
      <c r="AW9" s="45"/>
      <c r="AX9" s="45"/>
      <c r="AY9" s="45"/>
      <c r="AZ9" s="45"/>
      <c r="BA9" s="45"/>
      <c r="BB9" s="45"/>
      <c r="BC9" s="45"/>
      <c r="BD9" s="45"/>
      <c r="BE9" s="45"/>
      <c r="BF9" s="45"/>
      <c r="BG9" s="45"/>
      <c r="BH9" s="45"/>
      <c r="BI9" s="45"/>
      <c r="BJ9" s="45"/>
      <c r="BK9" s="45"/>
      <c r="BL9" s="45"/>
      <c r="BM9" s="45"/>
      <c r="BN9" s="45"/>
      <c r="BO9" s="45"/>
      <c r="BP9" s="45"/>
      <c r="BQ9" s="45"/>
      <c r="BR9" s="45"/>
      <c r="BS9" s="45"/>
      <c r="BT9" s="45"/>
      <c r="BU9" s="45"/>
      <c r="BV9" s="45"/>
      <c r="BW9" s="45"/>
      <c r="BX9" s="45"/>
      <c r="BY9" s="45"/>
      <c r="BZ9" s="45"/>
      <c r="CA9" s="45"/>
      <c r="CB9" s="45"/>
      <c r="CC9" s="45"/>
      <c r="CD9" s="45"/>
      <c r="CE9" s="45"/>
      <c r="CF9" s="45"/>
      <c r="CG9" s="45"/>
      <c r="CH9" s="45"/>
      <c r="CI9" s="45"/>
      <c r="CJ9" s="45"/>
      <c r="CK9" s="45"/>
      <c r="CL9" s="45"/>
      <c r="CM9" s="45"/>
      <c r="CN9" s="45"/>
      <c r="CO9" s="45"/>
      <c r="CP9" s="45"/>
      <c r="CQ9" s="45"/>
      <c r="CR9" s="45"/>
      <c r="CS9" s="45"/>
      <c r="CT9" s="45"/>
      <c r="CU9" s="45"/>
      <c r="CV9" s="45"/>
      <c r="CW9" s="45"/>
      <c r="CX9" s="24"/>
      <c r="CY9" s="24"/>
      <c r="CZ9" s="24"/>
      <c r="DA9" s="24"/>
      <c r="DB9" s="24"/>
      <c r="DC9" s="24"/>
      <c r="DD9" s="24"/>
      <c r="DE9" s="24"/>
      <c r="DF9" s="24"/>
      <c r="DG9" s="24"/>
      <c r="DH9" s="24"/>
      <c r="DI9" s="24"/>
      <c r="DJ9" s="24"/>
      <c r="DK9" s="24"/>
      <c r="DL9" s="24"/>
      <c r="DM9" s="24"/>
      <c r="DN9" s="24"/>
      <c r="DO9" s="24"/>
      <c r="DP9" s="24"/>
      <c r="DQ9" s="24"/>
      <c r="DR9" s="24"/>
      <c r="DS9" s="24"/>
      <c r="DT9" s="24"/>
      <c r="DU9" s="24"/>
      <c r="DV9" s="24"/>
      <c r="DW9" s="24"/>
      <c r="DX9" s="24"/>
      <c r="DY9" s="24"/>
      <c r="DZ9" s="24"/>
      <c r="EA9" s="24"/>
    </row>
    <row r="10" spans="1:131">
      <c r="A10" s="24" t="s">
        <v>420</v>
      </c>
      <c r="B10" s="24"/>
      <c r="C10" s="198">
        <v>2.4778634129914572</v>
      </c>
      <c r="D10" s="198">
        <v>0.13553311531055059</v>
      </c>
      <c r="E10" s="198">
        <v>2.7106623062110119E-2</v>
      </c>
      <c r="F10" s="198">
        <v>0.16263973837266071</v>
      </c>
      <c r="G10" s="198">
        <v>-0.92626173971967207</v>
      </c>
      <c r="H10" s="198">
        <v>1.633939784952835</v>
      </c>
      <c r="I10" s="198">
        <v>574.98088904927863</v>
      </c>
      <c r="J10" s="198">
        <v>-9.7902216838547282</v>
      </c>
      <c r="K10" s="198">
        <v>-40.758354707123942</v>
      </c>
      <c r="L10" s="199">
        <v>7.6069605392943602</v>
      </c>
      <c r="M10" s="198">
        <v>2.3539764790020557E-2</v>
      </c>
      <c r="N10" s="198">
        <v>5.7836987152376843E-4</v>
      </c>
      <c r="O10" s="198">
        <v>0.10148700676622992</v>
      </c>
      <c r="P10" s="198">
        <v>7.5025537076805357E-2</v>
      </c>
      <c r="Q10" s="198">
        <v>6.9889748167755006E-2</v>
      </c>
      <c r="R10" s="198">
        <v>4.0121859287086149E-2</v>
      </c>
      <c r="S10" s="198">
        <v>3.2229445136475167E-2</v>
      </c>
      <c r="T10" s="198">
        <v>2.5000622119572553E-2</v>
      </c>
      <c r="U10" s="198">
        <v>2.6087954000023093E-2</v>
      </c>
      <c r="V10" s="198">
        <v>3.7971878395752924E-2</v>
      </c>
      <c r="W10" s="198">
        <v>4.7974487785107808E-2</v>
      </c>
      <c r="X10" s="198">
        <v>7.8264960519974683E-2</v>
      </c>
      <c r="Y10" s="198">
        <v>9.063292779080992E-2</v>
      </c>
      <c r="Z10" s="198">
        <v>0.10676376134893639</v>
      </c>
      <c r="AA10" s="198"/>
      <c r="AB10" s="198">
        <v>0.16819875624016742</v>
      </c>
      <c r="AC10" s="198">
        <v>0.14589832709209946</v>
      </c>
      <c r="AD10" s="198">
        <v>0.1470812999205123</v>
      </c>
      <c r="AE10" s="198">
        <v>0.14005816569707161</v>
      </c>
      <c r="AF10" s="198">
        <v>0.12900069998058744</v>
      </c>
      <c r="AG10" s="198">
        <v>0.11720911719802715</v>
      </c>
      <c r="AH10" s="198">
        <v>0.1279893318442922</v>
      </c>
      <c r="AI10" s="198">
        <v>0.13820333217154609</v>
      </c>
      <c r="AJ10" s="198">
        <v>0.148968943832851</v>
      </c>
      <c r="AK10" s="198">
        <v>0.15374438931327281</v>
      </c>
      <c r="AL10" s="198">
        <v>0.16116705643394633</v>
      </c>
      <c r="AM10" s="45">
        <v>0.16889380487255518</v>
      </c>
      <c r="AN10" s="45"/>
      <c r="AO10" s="45"/>
      <c r="AP10" s="45"/>
      <c r="AQ10" s="45"/>
      <c r="AR10" s="45"/>
      <c r="AS10" s="45"/>
      <c r="AT10" s="45"/>
      <c r="AU10" s="45"/>
      <c r="AV10" s="45"/>
      <c r="AW10" s="45"/>
      <c r="AX10" s="45"/>
      <c r="AY10" s="45"/>
      <c r="AZ10" s="45"/>
      <c r="BA10" s="45"/>
      <c r="BB10" s="45"/>
      <c r="BC10" s="45"/>
      <c r="BD10" s="45"/>
      <c r="BE10" s="45"/>
      <c r="BF10" s="45"/>
      <c r="BG10" s="45"/>
      <c r="BH10" s="45"/>
      <c r="BI10" s="45"/>
      <c r="BJ10" s="45"/>
      <c r="BK10" s="45"/>
      <c r="BL10" s="45"/>
      <c r="BM10" s="45"/>
      <c r="BN10" s="45"/>
      <c r="BO10" s="45"/>
      <c r="BP10" s="45"/>
      <c r="BQ10" s="45"/>
      <c r="BR10" s="45"/>
      <c r="BS10" s="45"/>
      <c r="BT10" s="45"/>
      <c r="BU10" s="45"/>
      <c r="BV10" s="45"/>
      <c r="BW10" s="45"/>
      <c r="BX10" s="45"/>
      <c r="BY10" s="45"/>
      <c r="BZ10" s="45"/>
      <c r="CA10" s="45"/>
      <c r="CB10" s="45"/>
      <c r="CC10" s="45"/>
      <c r="CD10" s="45"/>
      <c r="CE10" s="45"/>
      <c r="CF10" s="45"/>
      <c r="CG10" s="45"/>
      <c r="CH10" s="45"/>
      <c r="CI10" s="45"/>
      <c r="CJ10" s="45"/>
      <c r="CK10" s="45"/>
      <c r="CL10" s="45"/>
      <c r="CM10" s="45"/>
      <c r="CN10" s="45"/>
      <c r="CO10" s="45"/>
      <c r="CP10" s="45"/>
      <c r="CQ10" s="45"/>
      <c r="CR10" s="45"/>
      <c r="CS10" s="45"/>
      <c r="CT10" s="45"/>
      <c r="CU10" s="45"/>
      <c r="CV10" s="45"/>
      <c r="CW10" s="45"/>
      <c r="CX10" s="24"/>
      <c r="CY10" s="24"/>
      <c r="CZ10" s="24"/>
      <c r="DA10" s="24"/>
      <c r="DB10" s="24"/>
      <c r="DC10" s="24"/>
      <c r="DD10" s="24"/>
      <c r="DE10" s="24"/>
      <c r="DF10" s="24"/>
      <c r="DG10" s="24"/>
      <c r="DH10" s="24"/>
      <c r="DI10" s="24"/>
      <c r="DJ10" s="24"/>
      <c r="DK10" s="24"/>
      <c r="DL10" s="24"/>
      <c r="DM10" s="24"/>
      <c r="DN10" s="24"/>
      <c r="DO10" s="24"/>
      <c r="DP10" s="24"/>
      <c r="DQ10" s="24"/>
      <c r="DR10" s="24"/>
      <c r="DS10" s="24"/>
      <c r="DT10" s="24"/>
      <c r="DU10" s="24"/>
      <c r="DV10" s="24"/>
      <c r="DW10" s="24"/>
      <c r="DX10" s="24"/>
      <c r="DY10" s="24"/>
      <c r="DZ10" s="24"/>
      <c r="EA10" s="24"/>
    </row>
    <row r="11" spans="1:131">
      <c r="A11" s="24" t="s">
        <v>421</v>
      </c>
      <c r="B11" s="24"/>
      <c r="C11" s="198">
        <v>2.4778634129914572</v>
      </c>
      <c r="D11" s="198">
        <v>0.13553311531055059</v>
      </c>
      <c r="E11" s="198">
        <v>2.7106623062110119E-2</v>
      </c>
      <c r="F11" s="198">
        <v>0.16263973837266071</v>
      </c>
      <c r="G11" s="198">
        <v>-0.92626173971967207</v>
      </c>
      <c r="H11" s="198">
        <v>1.633939784952835</v>
      </c>
      <c r="I11" s="198">
        <v>574.98088904927863</v>
      </c>
      <c r="J11" s="198">
        <v>-9.7902216838547282</v>
      </c>
      <c r="K11" s="198">
        <v>-40.758354707123942</v>
      </c>
      <c r="L11" s="199">
        <v>7.6069605392943602</v>
      </c>
      <c r="M11" s="198">
        <v>2.3539764790020557E-2</v>
      </c>
      <c r="N11" s="198">
        <v>5.7836987152376843E-4</v>
      </c>
      <c r="O11" s="198">
        <v>0.10148700676622992</v>
      </c>
      <c r="P11" s="198">
        <v>7.5025537076805357E-2</v>
      </c>
      <c r="Q11" s="198">
        <v>6.9889748167755006E-2</v>
      </c>
      <c r="R11" s="198">
        <v>4.0121859287086149E-2</v>
      </c>
      <c r="S11" s="198">
        <v>3.2229445136475167E-2</v>
      </c>
      <c r="T11" s="198">
        <v>2.5000622119572553E-2</v>
      </c>
      <c r="U11" s="198">
        <v>2.6087954000023093E-2</v>
      </c>
      <c r="V11" s="198">
        <v>3.7971878395752924E-2</v>
      </c>
      <c r="W11" s="198">
        <v>4.7974487785107808E-2</v>
      </c>
      <c r="X11" s="198">
        <v>7.8264960519974683E-2</v>
      </c>
      <c r="Y11" s="198">
        <v>9.063292779080992E-2</v>
      </c>
      <c r="Z11" s="198">
        <v>0.10676376134893639</v>
      </c>
      <c r="AA11" s="198"/>
      <c r="AB11" s="198">
        <v>0.16819875624016742</v>
      </c>
      <c r="AC11" s="198">
        <v>0.14589832709209946</v>
      </c>
      <c r="AD11" s="198">
        <v>0.1470812999205123</v>
      </c>
      <c r="AE11" s="198">
        <v>0.14005816569707161</v>
      </c>
      <c r="AF11" s="198">
        <v>0.12900069998058744</v>
      </c>
      <c r="AG11" s="198">
        <v>0.11720911719802715</v>
      </c>
      <c r="AH11" s="198">
        <v>0.1279893318442922</v>
      </c>
      <c r="AI11" s="198">
        <v>0.13820333217154609</v>
      </c>
      <c r="AJ11" s="198">
        <v>0.148968943832851</v>
      </c>
      <c r="AK11" s="198">
        <v>0.15374438931327281</v>
      </c>
      <c r="AL11" s="198">
        <v>0.16116705643394633</v>
      </c>
      <c r="AM11" s="45">
        <v>0.16889380487255518</v>
      </c>
      <c r="AN11" s="45"/>
      <c r="AO11" s="45"/>
      <c r="AP11" s="45"/>
      <c r="AQ11" s="45"/>
      <c r="AR11" s="45"/>
      <c r="AS11" s="45"/>
      <c r="AT11" s="45"/>
      <c r="AU11" s="45"/>
      <c r="AV11" s="45"/>
      <c r="AW11" s="45"/>
      <c r="AX11" s="45"/>
      <c r="AY11" s="45"/>
      <c r="AZ11" s="45"/>
      <c r="BA11" s="45"/>
      <c r="BB11" s="45"/>
      <c r="BC11" s="45"/>
      <c r="BD11" s="45"/>
      <c r="BE11" s="45"/>
      <c r="BF11" s="45"/>
      <c r="BG11" s="45"/>
      <c r="BH11" s="45"/>
      <c r="BI11" s="45"/>
      <c r="BJ11" s="45"/>
      <c r="BK11" s="45"/>
      <c r="BL11" s="45"/>
      <c r="BM11" s="45"/>
      <c r="BN11" s="45"/>
      <c r="BO11" s="45"/>
      <c r="BP11" s="45"/>
      <c r="BQ11" s="45"/>
      <c r="BR11" s="45"/>
      <c r="BS11" s="45"/>
      <c r="BT11" s="45"/>
      <c r="BU11" s="45"/>
      <c r="BV11" s="45"/>
      <c r="BW11" s="45"/>
      <c r="BX11" s="45"/>
      <c r="BY11" s="45"/>
      <c r="BZ11" s="45"/>
      <c r="CA11" s="45"/>
      <c r="CB11" s="45"/>
      <c r="CC11" s="45"/>
      <c r="CD11" s="45"/>
      <c r="CE11" s="45"/>
      <c r="CF11" s="45"/>
      <c r="CG11" s="45"/>
      <c r="CH11" s="45"/>
      <c r="CI11" s="45"/>
      <c r="CJ11" s="45"/>
      <c r="CK11" s="45"/>
      <c r="CL11" s="45"/>
      <c r="CM11" s="45"/>
      <c r="CN11" s="45"/>
      <c r="CO11" s="45"/>
      <c r="CP11" s="45"/>
      <c r="CQ11" s="45"/>
      <c r="CR11" s="45"/>
      <c r="CS11" s="45"/>
      <c r="CT11" s="45"/>
      <c r="CU11" s="45"/>
      <c r="CV11" s="45"/>
      <c r="CW11" s="45"/>
      <c r="CX11" s="24"/>
      <c r="CY11" s="24"/>
      <c r="CZ11" s="24"/>
      <c r="DA11" s="24"/>
      <c r="DB11" s="24"/>
      <c r="DC11" s="24"/>
      <c r="DD11" s="24"/>
      <c r="DE11" s="24"/>
      <c r="DF11" s="24"/>
      <c r="DG11" s="24"/>
      <c r="DH11" s="24"/>
      <c r="DI11" s="24"/>
      <c r="DJ11" s="24"/>
      <c r="DK11" s="24"/>
      <c r="DL11" s="24"/>
      <c r="DM11" s="24"/>
      <c r="DN11" s="24"/>
      <c r="DO11" s="24"/>
      <c r="DP11" s="24"/>
      <c r="DQ11" s="24"/>
      <c r="DR11" s="24"/>
      <c r="DS11" s="24"/>
      <c r="DT11" s="24"/>
      <c r="DU11" s="24"/>
      <c r="DV11" s="24"/>
      <c r="DW11" s="24"/>
      <c r="DX11" s="24"/>
      <c r="DY11" s="24"/>
      <c r="DZ11" s="24"/>
      <c r="EA11" s="24"/>
    </row>
    <row r="12" spans="1:131">
      <c r="A12" s="24" t="s">
        <v>423</v>
      </c>
      <c r="B12" s="24"/>
      <c r="C12" s="198">
        <v>55.109130131336691</v>
      </c>
      <c r="D12" s="198">
        <v>5.3072521232113603</v>
      </c>
      <c r="E12" s="198">
        <v>1.061450424642272</v>
      </c>
      <c r="F12" s="198">
        <v>6.3687025478536325</v>
      </c>
      <c r="G12" s="198">
        <v>7.383720228275469</v>
      </c>
      <c r="H12" s="198">
        <v>36.339775535498632</v>
      </c>
      <c r="I12" s="198">
        <v>1012.3519312723475</v>
      </c>
      <c r="J12" s="198">
        <v>-7.1566326291843181</v>
      </c>
      <c r="K12" s="198">
        <v>-3.3936670549990122</v>
      </c>
      <c r="L12" s="199">
        <v>3.9720955455112072</v>
      </c>
      <c r="M12" s="198">
        <v>0.52353812331736238</v>
      </c>
      <c r="N12" s="198">
        <v>1.2863283886728799E-2</v>
      </c>
      <c r="O12" s="198">
        <v>2.2571303297819401</v>
      </c>
      <c r="P12" s="198">
        <v>1.6686117823369091</v>
      </c>
      <c r="Q12" s="198">
        <v>1.554388836135755</v>
      </c>
      <c r="R12" s="198">
        <v>0.89233359392228662</v>
      </c>
      <c r="S12" s="198">
        <v>0.71680169164066421</v>
      </c>
      <c r="T12" s="198">
        <v>0.55602844391191164</v>
      </c>
      <c r="U12" s="198">
        <v>0.58021134026589494</v>
      </c>
      <c r="V12" s="198">
        <v>0.84451676265581743</v>
      </c>
      <c r="W12" s="198">
        <v>1.0669806400433919</v>
      </c>
      <c r="X12" s="198">
        <v>1.740658452522251</v>
      </c>
      <c r="Y12" s="198">
        <v>2.0157292712828823</v>
      </c>
      <c r="Z12" s="198">
        <v>2.374488434932065</v>
      </c>
      <c r="AA12" s="198"/>
      <c r="AB12" s="198">
        <v>3.740838618048687</v>
      </c>
      <c r="AC12" s="198">
        <v>3.2448640435575755</v>
      </c>
      <c r="AD12" s="198">
        <v>3.2711740504776636</v>
      </c>
      <c r="AE12" s="198">
        <v>3.1149754417003637</v>
      </c>
      <c r="AF12" s="198">
        <v>2.8690509432402784</v>
      </c>
      <c r="AG12" s="198">
        <v>2.6067992522828543</v>
      </c>
      <c r="AH12" s="198">
        <v>2.8465575249422561</v>
      </c>
      <c r="AI12" s="198">
        <v>3.0737228603053524</v>
      </c>
      <c r="AJ12" s="198">
        <v>3.3131563540466531</v>
      </c>
      <c r="AK12" s="198">
        <v>3.4193650518448702</v>
      </c>
      <c r="AL12" s="198">
        <v>3.584449505705444</v>
      </c>
      <c r="AM12" s="45">
        <v>3.7562969057529396</v>
      </c>
      <c r="AN12" s="45"/>
      <c r="AO12" s="45"/>
      <c r="AP12" s="45"/>
      <c r="AQ12" s="45"/>
      <c r="AR12" s="45"/>
      <c r="AS12" s="45"/>
      <c r="AT12" s="45"/>
      <c r="AU12" s="45"/>
      <c r="AV12" s="45"/>
      <c r="AW12" s="45"/>
      <c r="AX12" s="45"/>
      <c r="AY12" s="45"/>
      <c r="AZ12" s="45"/>
      <c r="BA12" s="45"/>
      <c r="BB12" s="45"/>
      <c r="BC12" s="45"/>
      <c r="BD12" s="45"/>
      <c r="BE12" s="45"/>
      <c r="BF12" s="45"/>
      <c r="BG12" s="45"/>
      <c r="BH12" s="45"/>
      <c r="BI12" s="45"/>
      <c r="BJ12" s="45"/>
      <c r="BK12" s="45"/>
      <c r="BL12" s="45"/>
      <c r="BM12" s="45"/>
      <c r="BN12" s="45"/>
      <c r="BO12" s="45"/>
      <c r="BP12" s="45"/>
      <c r="BQ12" s="45"/>
      <c r="BR12" s="45"/>
      <c r="BS12" s="45"/>
      <c r="BT12" s="45"/>
      <c r="BU12" s="45"/>
      <c r="BV12" s="45"/>
      <c r="BW12" s="45"/>
      <c r="BX12" s="45"/>
      <c r="BY12" s="45"/>
      <c r="BZ12" s="45"/>
      <c r="CA12" s="45"/>
      <c r="CB12" s="45"/>
      <c r="CC12" s="45"/>
      <c r="CD12" s="45"/>
      <c r="CE12" s="45"/>
      <c r="CF12" s="45"/>
      <c r="CG12" s="45"/>
      <c r="CH12" s="45"/>
      <c r="CI12" s="45"/>
      <c r="CJ12" s="45"/>
      <c r="CK12" s="45"/>
      <c r="CL12" s="45"/>
      <c r="CM12" s="45"/>
      <c r="CN12" s="45"/>
      <c r="CO12" s="45"/>
      <c r="CP12" s="45"/>
      <c r="CQ12" s="45"/>
      <c r="CR12" s="45"/>
      <c r="CS12" s="45"/>
      <c r="CT12" s="45"/>
      <c r="CU12" s="45"/>
      <c r="CV12" s="45"/>
      <c r="CW12" s="45"/>
      <c r="CX12" s="24"/>
      <c r="CY12" s="24"/>
      <c r="CZ12" s="24"/>
      <c r="DA12" s="24"/>
      <c r="DB12" s="24"/>
      <c r="DC12" s="24"/>
      <c r="DD12" s="24"/>
      <c r="DE12" s="24"/>
      <c r="DF12" s="24"/>
      <c r="DG12" s="24"/>
      <c r="DH12" s="24"/>
      <c r="DI12" s="24"/>
      <c r="DJ12" s="24"/>
      <c r="DK12" s="24"/>
      <c r="DL12" s="24"/>
      <c r="DM12" s="24"/>
      <c r="DN12" s="24"/>
      <c r="DO12" s="24"/>
      <c r="DP12" s="24"/>
      <c r="DQ12" s="24"/>
      <c r="DR12" s="24"/>
      <c r="DS12" s="24"/>
      <c r="DT12" s="24"/>
      <c r="DU12" s="24"/>
      <c r="DV12" s="24"/>
      <c r="DW12" s="24"/>
      <c r="DX12" s="24"/>
      <c r="DY12" s="24"/>
      <c r="DZ12" s="24"/>
      <c r="EA12" s="24"/>
    </row>
    <row r="13" spans="1:131">
      <c r="A13" s="24" t="s">
        <v>413</v>
      </c>
      <c r="B13" s="24"/>
      <c r="C13" s="198">
        <v>139.58339165168746</v>
      </c>
      <c r="D13" s="198">
        <v>14.537319798098604</v>
      </c>
      <c r="E13" s="198">
        <v>2.9074639596197209</v>
      </c>
      <c r="F13" s="198">
        <v>17.444783757718326</v>
      </c>
      <c r="G13" s="198">
        <v>21.101671210578026</v>
      </c>
      <c r="H13" s="198">
        <v>92.043353052701903</v>
      </c>
      <c r="I13" s="198">
        <v>1094.8029268334883</v>
      </c>
      <c r="J13" s="198">
        <v>-6.6601616274627435</v>
      </c>
      <c r="K13" s="198">
        <v>-2.1286144119562276</v>
      </c>
      <c r="L13" s="199">
        <v>3.6583381548019998</v>
      </c>
      <c r="M13" s="198">
        <v>1.3260457339362539</v>
      </c>
      <c r="N13" s="198">
        <v>3.2580822604331608E-2</v>
      </c>
      <c r="O13" s="198">
        <v>5.7169820332856913</v>
      </c>
      <c r="P13" s="198">
        <v>4.2263503592504215</v>
      </c>
      <c r="Q13" s="198">
        <v>3.9370402903524311</v>
      </c>
      <c r="R13" s="198">
        <v>2.2601508901986227</v>
      </c>
      <c r="S13" s="198">
        <v>1.8155541744611476</v>
      </c>
      <c r="T13" s="198">
        <v>1.4083389788782386</v>
      </c>
      <c r="U13" s="198">
        <v>1.4695907294503421</v>
      </c>
      <c r="V13" s="198">
        <v>2.139037828346555</v>
      </c>
      <c r="W13" s="198">
        <v>2.7025063942944967</v>
      </c>
      <c r="X13" s="198">
        <v>4.4088340703471802</v>
      </c>
      <c r="Y13" s="198">
        <v>5.1055483486439233</v>
      </c>
      <c r="Z13" s="198">
        <v>6.0142330026918467</v>
      </c>
      <c r="AA13" s="198"/>
      <c r="AB13" s="198">
        <v>9.4749988011865209</v>
      </c>
      <c r="AC13" s="198">
        <v>8.2187675176318251</v>
      </c>
      <c r="AD13" s="198">
        <v>8.2854069291328436</v>
      </c>
      <c r="AE13" s="198">
        <v>7.8897786270266392</v>
      </c>
      <c r="AF13" s="198">
        <v>7.2668877284860445</v>
      </c>
      <c r="AG13" s="198">
        <v>6.6026424318720771</v>
      </c>
      <c r="AH13" s="198">
        <v>7.2099151795019552</v>
      </c>
      <c r="AI13" s="198">
        <v>7.7852918530242183</v>
      </c>
      <c r="AJ13" s="198">
        <v>8.3917419830076643</v>
      </c>
      <c r="AK13" s="198">
        <v>8.6607531291871318</v>
      </c>
      <c r="AL13" s="198">
        <v>9.07888798132341</v>
      </c>
      <c r="AM13" s="45">
        <v>9.5141523901062683</v>
      </c>
      <c r="AN13" s="45"/>
      <c r="AO13" s="45"/>
      <c r="AP13" s="45"/>
      <c r="AQ13" s="45"/>
      <c r="AR13" s="45"/>
      <c r="AS13" s="45"/>
      <c r="AT13" s="45"/>
      <c r="AU13" s="45"/>
      <c r="AV13" s="45"/>
      <c r="AW13" s="45"/>
      <c r="AX13" s="45"/>
      <c r="AY13" s="45"/>
      <c r="AZ13" s="45"/>
      <c r="BA13" s="45"/>
      <c r="BB13" s="45"/>
      <c r="BC13" s="45"/>
      <c r="BD13" s="45"/>
      <c r="BE13" s="45"/>
      <c r="BF13" s="45"/>
      <c r="BG13" s="45"/>
      <c r="BH13" s="45"/>
      <c r="BI13" s="45"/>
      <c r="BJ13" s="45"/>
      <c r="BK13" s="45"/>
      <c r="BL13" s="45"/>
      <c r="BM13" s="45"/>
      <c r="BN13" s="45"/>
      <c r="BO13" s="45"/>
      <c r="BP13" s="45"/>
      <c r="BQ13" s="45"/>
      <c r="BR13" s="45"/>
      <c r="BS13" s="45"/>
      <c r="BT13" s="45"/>
      <c r="BU13" s="45"/>
      <c r="BV13" s="45"/>
      <c r="BW13" s="45"/>
      <c r="BX13" s="45"/>
      <c r="BY13" s="45"/>
      <c r="BZ13" s="45"/>
      <c r="CA13" s="45"/>
      <c r="CB13" s="45"/>
      <c r="CC13" s="45"/>
      <c r="CD13" s="45"/>
      <c r="CE13" s="45"/>
      <c r="CF13" s="45"/>
      <c r="CG13" s="45"/>
      <c r="CH13" s="45"/>
      <c r="CI13" s="45"/>
      <c r="CJ13" s="45"/>
      <c r="CK13" s="45"/>
      <c r="CL13" s="45"/>
      <c r="CM13" s="45"/>
      <c r="CN13" s="45"/>
      <c r="CO13" s="45"/>
      <c r="CP13" s="45"/>
      <c r="CQ13" s="45"/>
      <c r="CR13" s="45"/>
      <c r="CS13" s="45"/>
      <c r="CT13" s="45"/>
      <c r="CU13" s="45"/>
      <c r="CV13" s="45"/>
      <c r="CW13" s="45"/>
      <c r="CX13" s="24"/>
      <c r="CY13" s="24"/>
      <c r="CZ13" s="24"/>
      <c r="DA13" s="24"/>
      <c r="DB13" s="24"/>
      <c r="DC13" s="24"/>
      <c r="DD13" s="24"/>
      <c r="DE13" s="24"/>
      <c r="DF13" s="24"/>
      <c r="DG13" s="24"/>
      <c r="DH13" s="24"/>
      <c r="DI13" s="24"/>
      <c r="DJ13" s="24"/>
      <c r="DK13" s="24"/>
      <c r="DL13" s="24"/>
      <c r="DM13" s="24"/>
      <c r="DN13" s="24"/>
      <c r="DO13" s="24"/>
      <c r="DP13" s="24"/>
      <c r="DQ13" s="24"/>
      <c r="DR13" s="24"/>
      <c r="DS13" s="24"/>
      <c r="DT13" s="24"/>
      <c r="DU13" s="24"/>
      <c r="DV13" s="24"/>
      <c r="DW13" s="24"/>
      <c r="DX13" s="24"/>
      <c r="DY13" s="24"/>
      <c r="DZ13" s="24"/>
      <c r="EA13" s="24"/>
    </row>
    <row r="14" spans="1:131">
      <c r="A14" s="24" t="s">
        <v>425</v>
      </c>
      <c r="B14" s="24"/>
      <c r="C14" s="198">
        <v>30.963239695039977</v>
      </c>
      <c r="D14" s="198">
        <v>5.9720678877064044</v>
      </c>
      <c r="E14" s="198">
        <v>1.194413577541281</v>
      </c>
      <c r="F14" s="198">
        <v>7.1664814652476849</v>
      </c>
      <c r="G14" s="198">
        <v>6.7288032786674723</v>
      </c>
      <c r="H14" s="198">
        <v>20.41761823654285</v>
      </c>
      <c r="I14" s="198">
        <v>2027.5132141817264</v>
      </c>
      <c r="J14" s="198">
        <v>-1.0439333754652038</v>
      </c>
      <c r="K14" s="198">
        <v>2.7380662328742003</v>
      </c>
      <c r="L14" s="199">
        <v>2.5839820045269772</v>
      </c>
      <c r="M14" s="198">
        <v>0.29415155643237295</v>
      </c>
      <c r="N14" s="198">
        <v>7.2272768831756675E-3</v>
      </c>
      <c r="O14" s="198">
        <v>1.2681758405081849</v>
      </c>
      <c r="P14" s="198">
        <v>0.9375148265148715</v>
      </c>
      <c r="Q14" s="198">
        <v>0.8733383016183387</v>
      </c>
      <c r="R14" s="198">
        <v>0.50136046224473518</v>
      </c>
      <c r="S14" s="198">
        <v>0.40273730576377881</v>
      </c>
      <c r="T14" s="198">
        <v>0.31240634619117003</v>
      </c>
      <c r="U14" s="198">
        <v>0.32599358327047423</v>
      </c>
      <c r="V14" s="198">
        <v>0.47449442381457907</v>
      </c>
      <c r="W14" s="198">
        <v>0.59948645948314094</v>
      </c>
      <c r="X14" s="198">
        <v>0.97799447685342278</v>
      </c>
      <c r="Y14" s="198">
        <v>1.1325438895205855</v>
      </c>
      <c r="Z14" s="198">
        <v>1.3341138644120087</v>
      </c>
      <c r="AA14" s="198"/>
      <c r="AB14" s="198">
        <v>2.1018020519478329</v>
      </c>
      <c r="AC14" s="198">
        <v>1.8231371629173796</v>
      </c>
      <c r="AD14" s="198">
        <v>1.8379195238202533</v>
      </c>
      <c r="AE14" s="198">
        <v>1.7501588396636152</v>
      </c>
      <c r="AF14" s="198">
        <v>1.6119853795753345</v>
      </c>
      <c r="AG14" s="198">
        <v>1.4646384345556578</v>
      </c>
      <c r="AH14" s="198">
        <v>1.5993473811046159</v>
      </c>
      <c r="AI14" s="198">
        <v>1.7269809458603782</v>
      </c>
      <c r="AJ14" s="198">
        <v>1.8615074143432682</v>
      </c>
      <c r="AK14" s="198">
        <v>1.9211811083352965</v>
      </c>
      <c r="AL14" s="198">
        <v>2.0139343327579615</v>
      </c>
      <c r="AM14" s="45">
        <v>2.110487339963103</v>
      </c>
      <c r="AN14" s="45"/>
      <c r="AO14" s="45"/>
      <c r="AP14" s="45"/>
      <c r="AQ14" s="45"/>
      <c r="AR14" s="45"/>
      <c r="AS14" s="45"/>
      <c r="AT14" s="45"/>
      <c r="AU14" s="45"/>
      <c r="AV14" s="45"/>
      <c r="AW14" s="45"/>
      <c r="AX14" s="45"/>
      <c r="AY14" s="45"/>
      <c r="AZ14" s="45"/>
      <c r="BA14" s="45"/>
      <c r="BB14" s="45"/>
      <c r="BC14" s="45"/>
      <c r="BD14" s="45"/>
      <c r="BE14" s="45"/>
      <c r="BF14" s="45"/>
      <c r="BG14" s="45"/>
      <c r="BH14" s="45"/>
      <c r="BI14" s="45"/>
      <c r="BJ14" s="45"/>
      <c r="BK14" s="45"/>
      <c r="BL14" s="45"/>
      <c r="BM14" s="45"/>
      <c r="BN14" s="45"/>
      <c r="BO14" s="45"/>
      <c r="BP14" s="45"/>
      <c r="BQ14" s="45"/>
      <c r="BR14" s="45"/>
      <c r="BS14" s="45"/>
      <c r="BT14" s="45"/>
      <c r="BU14" s="45"/>
      <c r="BV14" s="45"/>
      <c r="BW14" s="45"/>
      <c r="BX14" s="45"/>
      <c r="BY14" s="45"/>
      <c r="BZ14" s="45"/>
      <c r="CA14" s="45"/>
      <c r="CB14" s="45"/>
      <c r="CC14" s="45"/>
      <c r="CD14" s="45"/>
      <c r="CE14" s="45"/>
      <c r="CF14" s="45"/>
      <c r="CG14" s="45"/>
      <c r="CH14" s="45"/>
      <c r="CI14" s="45"/>
      <c r="CJ14" s="45"/>
      <c r="CK14" s="45"/>
      <c r="CL14" s="45"/>
      <c r="CM14" s="45"/>
      <c r="CN14" s="45"/>
      <c r="CO14" s="45"/>
      <c r="CP14" s="45"/>
      <c r="CQ14" s="45"/>
      <c r="CR14" s="45"/>
      <c r="CS14" s="45"/>
      <c r="CT14" s="45"/>
      <c r="CU14" s="45"/>
      <c r="CV14" s="45"/>
      <c r="CW14" s="45"/>
      <c r="CX14" s="24"/>
      <c r="CY14" s="24"/>
      <c r="CZ14" s="24"/>
      <c r="DA14" s="24"/>
      <c r="DB14" s="24"/>
      <c r="DC14" s="24"/>
      <c r="DD14" s="24"/>
      <c r="DE14" s="24"/>
      <c r="DF14" s="24"/>
      <c r="DG14" s="24"/>
      <c r="DH14" s="24"/>
      <c r="DI14" s="24"/>
      <c r="DJ14" s="24"/>
      <c r="DK14" s="24"/>
      <c r="DL14" s="24"/>
      <c r="DM14" s="24"/>
      <c r="DN14" s="24"/>
      <c r="DO14" s="24"/>
      <c r="DP14" s="24"/>
      <c r="DQ14" s="24"/>
      <c r="DR14" s="24"/>
      <c r="DS14" s="24"/>
      <c r="DT14" s="24"/>
      <c r="DU14" s="24"/>
      <c r="DV14" s="24"/>
      <c r="DW14" s="24"/>
      <c r="DX14" s="24"/>
      <c r="DY14" s="24"/>
      <c r="DZ14" s="24"/>
      <c r="EA14" s="24"/>
    </row>
    <row r="15" spans="1:131">
      <c r="A15" s="24" t="s">
        <v>424</v>
      </c>
      <c r="B15" s="24"/>
      <c r="C15" s="198">
        <v>6.702605615817987</v>
      </c>
      <c r="D15" s="198">
        <v>1.0527185054529571</v>
      </c>
      <c r="E15" s="198">
        <v>0.21054370109059142</v>
      </c>
      <c r="F15" s="198">
        <v>1.2632622065435486</v>
      </c>
      <c r="G15" s="198">
        <v>1.8064630587575683</v>
      </c>
      <c r="H15" s="198">
        <v>4.4197972822528104</v>
      </c>
      <c r="I15" s="198">
        <v>1651.0261178437197</v>
      </c>
      <c r="J15" s="198">
        <v>-3.3109154122748685</v>
      </c>
      <c r="K15" s="198">
        <v>6.5790829489429443</v>
      </c>
      <c r="L15" s="199">
        <v>2.3523085296231874</v>
      </c>
      <c r="M15" s="198">
        <v>6.3674922051553298E-2</v>
      </c>
      <c r="N15" s="198">
        <v>1.5644870207817637E-3</v>
      </c>
      <c r="O15" s="198">
        <v>0.27452174236782106</v>
      </c>
      <c r="P15" s="198">
        <v>0.20294362615155573</v>
      </c>
      <c r="Q15" s="198">
        <v>0.18905134806916599</v>
      </c>
      <c r="R15" s="198">
        <v>0.1085293878446761</v>
      </c>
      <c r="S15" s="198">
        <v>8.7180455078288421E-2</v>
      </c>
      <c r="T15" s="198">
        <v>6.7626532333874084E-2</v>
      </c>
      <c r="U15" s="198">
        <v>7.0567758524936477E-2</v>
      </c>
      <c r="V15" s="198">
        <v>0.1027137024761456</v>
      </c>
      <c r="W15" s="198">
        <v>0.12977070066031263</v>
      </c>
      <c r="X15" s="198">
        <v>0.21170624706454064</v>
      </c>
      <c r="Y15" s="198">
        <v>0.24516152407905265</v>
      </c>
      <c r="Z15" s="198">
        <v>0.2887953317488608</v>
      </c>
      <c r="AA15" s="198"/>
      <c r="AB15" s="198">
        <v>0.4549766231012321</v>
      </c>
      <c r="AC15" s="198">
        <v>0.39465409650056721</v>
      </c>
      <c r="AD15" s="198">
        <v>0.39785403088012511</v>
      </c>
      <c r="AE15" s="198">
        <v>0.37885649508381303</v>
      </c>
      <c r="AF15" s="198">
        <v>0.34894611688482025</v>
      </c>
      <c r="AG15" s="198">
        <v>0.31704995644135364</v>
      </c>
      <c r="AH15" s="198">
        <v>0.34621037216440886</v>
      </c>
      <c r="AI15" s="198">
        <v>0.37383918156305462</v>
      </c>
      <c r="AJ15" s="198">
        <v>0.4029600962997002</v>
      </c>
      <c r="AK15" s="198">
        <v>0.41587764757685697</v>
      </c>
      <c r="AL15" s="198">
        <v>0.43595591745506251</v>
      </c>
      <c r="AM15" s="45">
        <v>0.45685672546776424</v>
      </c>
      <c r="AN15" s="45"/>
      <c r="AO15" s="45"/>
      <c r="AP15" s="45"/>
      <c r="AQ15" s="45"/>
      <c r="AR15" s="45"/>
      <c r="AS15" s="45"/>
      <c r="AT15" s="45"/>
      <c r="AU15" s="45"/>
      <c r="AV15" s="45"/>
      <c r="AW15" s="45"/>
      <c r="AX15" s="45"/>
      <c r="AY15" s="45"/>
      <c r="AZ15" s="45"/>
      <c r="BA15" s="45"/>
      <c r="BB15" s="45"/>
      <c r="BC15" s="45"/>
      <c r="BD15" s="45"/>
      <c r="BE15" s="45"/>
      <c r="BF15" s="45"/>
      <c r="BG15" s="45"/>
      <c r="BH15" s="45"/>
      <c r="BI15" s="45"/>
      <c r="BJ15" s="45"/>
      <c r="BK15" s="45"/>
      <c r="BL15" s="45"/>
      <c r="BM15" s="45"/>
      <c r="BN15" s="45"/>
      <c r="BO15" s="45"/>
      <c r="BP15" s="45"/>
      <c r="BQ15" s="45"/>
      <c r="BR15" s="45"/>
      <c r="BS15" s="45"/>
      <c r="BT15" s="45"/>
      <c r="BU15" s="45"/>
      <c r="BV15" s="45"/>
      <c r="BW15" s="45"/>
      <c r="BX15" s="45"/>
      <c r="BY15" s="45"/>
      <c r="BZ15" s="45"/>
      <c r="CA15" s="45"/>
      <c r="CB15" s="45"/>
      <c r="CC15" s="45"/>
      <c r="CD15" s="45"/>
      <c r="CE15" s="45"/>
      <c r="CF15" s="45"/>
      <c r="CG15" s="45"/>
      <c r="CH15" s="45"/>
      <c r="CI15" s="45"/>
      <c r="CJ15" s="45"/>
      <c r="CK15" s="45"/>
      <c r="CL15" s="45"/>
      <c r="CM15" s="45"/>
      <c r="CN15" s="45"/>
      <c r="CO15" s="45"/>
      <c r="CP15" s="45"/>
      <c r="CQ15" s="45"/>
      <c r="CR15" s="45"/>
      <c r="CS15" s="45"/>
      <c r="CT15" s="45"/>
      <c r="CU15" s="45"/>
      <c r="CV15" s="45"/>
      <c r="CW15" s="45"/>
      <c r="CX15" s="24"/>
      <c r="CY15" s="24"/>
      <c r="CZ15" s="24"/>
      <c r="DA15" s="24"/>
      <c r="DB15" s="24"/>
      <c r="DC15" s="24"/>
      <c r="DD15" s="24"/>
      <c r="DE15" s="24"/>
      <c r="DF15" s="24"/>
      <c r="DG15" s="24"/>
      <c r="DH15" s="24"/>
      <c r="DI15" s="24"/>
      <c r="DJ15" s="24"/>
      <c r="DK15" s="24"/>
      <c r="DL15" s="24"/>
      <c r="DM15" s="24"/>
      <c r="DN15" s="24"/>
      <c r="DO15" s="24"/>
      <c r="DP15" s="24"/>
      <c r="DQ15" s="24"/>
      <c r="DR15" s="24"/>
      <c r="DS15" s="24"/>
      <c r="DT15" s="24"/>
      <c r="DU15" s="24"/>
      <c r="DV15" s="24"/>
      <c r="DW15" s="24"/>
      <c r="DX15" s="24"/>
      <c r="DY15" s="24"/>
      <c r="DZ15" s="24"/>
      <c r="EA15" s="24"/>
    </row>
    <row r="16" spans="1:131">
      <c r="A16" s="24" t="s">
        <v>426</v>
      </c>
      <c r="B16" s="24"/>
      <c r="C16" s="198">
        <v>30.963239695039977</v>
      </c>
      <c r="D16" s="198">
        <v>6.677762119662626</v>
      </c>
      <c r="E16" s="198">
        <v>1.3355524239325254</v>
      </c>
      <c r="F16" s="198">
        <v>8.0133145435951505</v>
      </c>
      <c r="G16" s="198">
        <v>7.7499953666598875</v>
      </c>
      <c r="H16" s="198">
        <v>20.41761823654285</v>
      </c>
      <c r="I16" s="198">
        <v>2267.095952919241</v>
      </c>
      <c r="J16" s="198">
        <v>0.39869180433642087</v>
      </c>
      <c r="K16" s="198">
        <v>5.1648504452596393</v>
      </c>
      <c r="L16" s="199">
        <v>2.3109113015883271</v>
      </c>
      <c r="M16" s="198">
        <v>0.29415155643237295</v>
      </c>
      <c r="N16" s="198">
        <v>7.2272768831756675E-3</v>
      </c>
      <c r="O16" s="198">
        <v>1.2681758405081849</v>
      </c>
      <c r="P16" s="198">
        <v>0.9375148265148715</v>
      </c>
      <c r="Q16" s="198">
        <v>0.8733383016183387</v>
      </c>
      <c r="R16" s="198">
        <v>0.50136046224473518</v>
      </c>
      <c r="S16" s="198">
        <v>0.40273730576377881</v>
      </c>
      <c r="T16" s="198">
        <v>0.31240634619117003</v>
      </c>
      <c r="U16" s="198">
        <v>0.32599358327047423</v>
      </c>
      <c r="V16" s="198">
        <v>0.47449442381457907</v>
      </c>
      <c r="W16" s="198">
        <v>0.59948645948314094</v>
      </c>
      <c r="X16" s="198">
        <v>0.97799447685342278</v>
      </c>
      <c r="Y16" s="198">
        <v>1.1325438895205855</v>
      </c>
      <c r="Z16" s="198">
        <v>1.3341138644120087</v>
      </c>
      <c r="AA16" s="198"/>
      <c r="AB16" s="198">
        <v>2.1018020519478329</v>
      </c>
      <c r="AC16" s="198">
        <v>1.8231371629173796</v>
      </c>
      <c r="AD16" s="198">
        <v>1.8379195238202533</v>
      </c>
      <c r="AE16" s="198">
        <v>1.7501588396636152</v>
      </c>
      <c r="AF16" s="198">
        <v>1.6119853795753345</v>
      </c>
      <c r="AG16" s="198">
        <v>1.4646384345556578</v>
      </c>
      <c r="AH16" s="198">
        <v>1.5993473811046159</v>
      </c>
      <c r="AI16" s="198">
        <v>1.7269809458603782</v>
      </c>
      <c r="AJ16" s="198">
        <v>1.8615074143432682</v>
      </c>
      <c r="AK16" s="198">
        <v>1.9211811083352965</v>
      </c>
      <c r="AL16" s="198">
        <v>2.0139343327579615</v>
      </c>
      <c r="AM16" s="45">
        <v>2.110487339963103</v>
      </c>
      <c r="AN16" s="45"/>
      <c r="AO16" s="45"/>
      <c r="AP16" s="45"/>
      <c r="AQ16" s="45"/>
      <c r="AR16" s="45"/>
      <c r="AS16" s="45"/>
      <c r="AT16" s="45"/>
      <c r="AU16" s="45"/>
      <c r="AV16" s="45"/>
      <c r="AW16" s="45"/>
      <c r="AX16" s="45"/>
      <c r="AY16" s="45"/>
      <c r="AZ16" s="45"/>
      <c r="BA16" s="45"/>
      <c r="BB16" s="45"/>
      <c r="BC16" s="45"/>
      <c r="BD16" s="45"/>
      <c r="BE16" s="45"/>
      <c r="BF16" s="45"/>
      <c r="BG16" s="45"/>
      <c r="BH16" s="45"/>
      <c r="BI16" s="45"/>
      <c r="BJ16" s="45"/>
      <c r="BK16" s="45"/>
      <c r="BL16" s="45"/>
      <c r="BM16" s="45"/>
      <c r="BN16" s="45"/>
      <c r="BO16" s="45"/>
      <c r="BP16" s="45"/>
      <c r="BQ16" s="45"/>
      <c r="BR16" s="45"/>
      <c r="BS16" s="45"/>
      <c r="BT16" s="45"/>
      <c r="BU16" s="45"/>
      <c r="BV16" s="45"/>
      <c r="BW16" s="45"/>
      <c r="BX16" s="45"/>
      <c r="BY16" s="45"/>
      <c r="BZ16" s="45"/>
      <c r="CA16" s="45"/>
      <c r="CB16" s="45"/>
      <c r="CC16" s="45"/>
      <c r="CD16" s="45"/>
      <c r="CE16" s="45"/>
      <c r="CF16" s="45"/>
      <c r="CG16" s="45"/>
      <c r="CH16" s="45"/>
      <c r="CI16" s="45"/>
      <c r="CJ16" s="45"/>
      <c r="CK16" s="45"/>
      <c r="CL16" s="45"/>
      <c r="CM16" s="45"/>
      <c r="CN16" s="45"/>
      <c r="CO16" s="45"/>
      <c r="CP16" s="45"/>
      <c r="CQ16" s="45"/>
      <c r="CR16" s="45"/>
      <c r="CS16" s="45"/>
      <c r="CT16" s="45"/>
      <c r="CU16" s="45"/>
      <c r="CV16" s="45"/>
      <c r="CW16" s="45"/>
      <c r="CX16" s="24"/>
      <c r="CY16" s="24"/>
      <c r="CZ16" s="24"/>
      <c r="DA16" s="24"/>
      <c r="DB16" s="24"/>
      <c r="DC16" s="24"/>
      <c r="DD16" s="24"/>
      <c r="DE16" s="24"/>
      <c r="DF16" s="24"/>
      <c r="DG16" s="24"/>
      <c r="DH16" s="24"/>
      <c r="DI16" s="24"/>
      <c r="DJ16" s="24"/>
      <c r="DK16" s="24"/>
      <c r="DL16" s="24"/>
      <c r="DM16" s="24"/>
      <c r="DN16" s="24"/>
      <c r="DO16" s="24"/>
      <c r="DP16" s="24"/>
      <c r="DQ16" s="24"/>
      <c r="DR16" s="24"/>
      <c r="DS16" s="24"/>
      <c r="DT16" s="24"/>
      <c r="DU16" s="24"/>
      <c r="DV16" s="24"/>
      <c r="DW16" s="24"/>
      <c r="DX16" s="24"/>
      <c r="DY16" s="24"/>
      <c r="DZ16" s="24"/>
      <c r="EA16" s="24"/>
    </row>
    <row r="17" spans="1:131">
      <c r="A17" s="24" t="s">
        <v>428</v>
      </c>
      <c r="B17" s="24"/>
      <c r="C17" s="198">
        <v>70.745011721527277</v>
      </c>
      <c r="D17" s="198">
        <v>15.900946569337281</v>
      </c>
      <c r="E17" s="198">
        <v>3.1801893138674564</v>
      </c>
      <c r="F17" s="198">
        <v>19.081135883204738</v>
      </c>
      <c r="G17" s="198">
        <v>19.959076542190065</v>
      </c>
      <c r="H17" s="198">
        <v>46.650307128594193</v>
      </c>
      <c r="I17" s="198">
        <v>2362.7213604095077</v>
      </c>
      <c r="J17" s="198">
        <v>0.9744913022517826</v>
      </c>
      <c r="K17" s="198">
        <v>7.5069814065752967</v>
      </c>
      <c r="L17" s="199">
        <v>2.0437526010154148</v>
      </c>
      <c r="M17" s="198">
        <v>0.67207939197161215</v>
      </c>
      <c r="N17" s="198">
        <v>1.6512929294568948E-2</v>
      </c>
      <c r="O17" s="198">
        <v>2.8975364201337466</v>
      </c>
      <c r="P17" s="198">
        <v>2.1420399817375948</v>
      </c>
      <c r="Q17" s="198">
        <v>1.9954090396666526</v>
      </c>
      <c r="R17" s="198">
        <v>1.145511649541501</v>
      </c>
      <c r="S17" s="198">
        <v>0.9201768192725307</v>
      </c>
      <c r="T17" s="198">
        <v>0.71378805450755978</v>
      </c>
      <c r="U17" s="198">
        <v>0.74483226228122257</v>
      </c>
      <c r="V17" s="198">
        <v>1.0841279499554122</v>
      </c>
      <c r="W17" s="198">
        <v>1.3697105671350498</v>
      </c>
      <c r="X17" s="198">
        <v>2.234528150478635</v>
      </c>
      <c r="Y17" s="198">
        <v>2.5876436551344688</v>
      </c>
      <c r="Z17" s="198">
        <v>3.0481920466093446</v>
      </c>
      <c r="AA17" s="198"/>
      <c r="AB17" s="198">
        <v>4.8022110175117945</v>
      </c>
      <c r="AC17" s="198">
        <v>4.1655156640861151</v>
      </c>
      <c r="AD17" s="198">
        <v>4.1992904985558157</v>
      </c>
      <c r="AE17" s="198">
        <v>3.9987743158016844</v>
      </c>
      <c r="AF17" s="198">
        <v>3.6830746942560983</v>
      </c>
      <c r="AG17" s="198">
        <v>3.3464154345915449</v>
      </c>
      <c r="AH17" s="198">
        <v>3.6541993130378061</v>
      </c>
      <c r="AI17" s="198">
        <v>3.9458173130803904</v>
      </c>
      <c r="AJ17" s="198">
        <v>4.2531842644528028</v>
      </c>
      <c r="AK17" s="198">
        <v>4.3895271091458001</v>
      </c>
      <c r="AL17" s="198">
        <v>4.6014502804166035</v>
      </c>
      <c r="AM17" s="45">
        <v>4.8220552201371278</v>
      </c>
      <c r="AN17" s="45"/>
      <c r="AO17" s="45"/>
      <c r="AP17" s="45"/>
      <c r="AQ17" s="45"/>
      <c r="AR17" s="45"/>
      <c r="AS17" s="45"/>
      <c r="AT17" s="45"/>
      <c r="AU17" s="45"/>
      <c r="AV17" s="45"/>
      <c r="AW17" s="45"/>
      <c r="AX17" s="45"/>
      <c r="AY17" s="45"/>
      <c r="AZ17" s="45"/>
      <c r="BA17" s="45"/>
      <c r="BB17" s="45"/>
      <c r="BC17" s="45"/>
      <c r="BD17" s="45"/>
      <c r="BE17" s="45"/>
      <c r="BF17" s="45"/>
      <c r="BG17" s="45"/>
      <c r="BH17" s="45"/>
      <c r="BI17" s="45"/>
      <c r="BJ17" s="45"/>
      <c r="BK17" s="45"/>
      <c r="BL17" s="45"/>
      <c r="BM17" s="45"/>
      <c r="BN17" s="45"/>
      <c r="BO17" s="45"/>
      <c r="BP17" s="45"/>
      <c r="BQ17" s="45"/>
      <c r="BR17" s="45"/>
      <c r="BS17" s="45"/>
      <c r="BT17" s="45"/>
      <c r="BU17" s="45"/>
      <c r="BV17" s="45"/>
      <c r="BW17" s="45"/>
      <c r="BX17" s="45"/>
      <c r="BY17" s="45"/>
      <c r="BZ17" s="45"/>
      <c r="CA17" s="45"/>
      <c r="CB17" s="45"/>
      <c r="CC17" s="45"/>
      <c r="CD17" s="45"/>
      <c r="CE17" s="45"/>
      <c r="CF17" s="45"/>
      <c r="CG17" s="45"/>
      <c r="CH17" s="45"/>
      <c r="CI17" s="45"/>
      <c r="CJ17" s="45"/>
      <c r="CK17" s="45"/>
      <c r="CL17" s="45"/>
      <c r="CM17" s="45"/>
      <c r="CN17" s="45"/>
      <c r="CO17" s="45"/>
      <c r="CP17" s="45"/>
      <c r="CQ17" s="45"/>
      <c r="CR17" s="45"/>
      <c r="CS17" s="45"/>
      <c r="CT17" s="45"/>
      <c r="CU17" s="45"/>
      <c r="CV17" s="45"/>
      <c r="CW17" s="45"/>
      <c r="CX17" s="24"/>
      <c r="CY17" s="24"/>
      <c r="CZ17" s="24"/>
      <c r="DA17" s="24"/>
      <c r="DB17" s="24"/>
      <c r="DC17" s="24"/>
      <c r="DD17" s="24"/>
      <c r="DE17" s="24"/>
      <c r="DF17" s="24"/>
      <c r="DG17" s="24"/>
      <c r="DH17" s="24"/>
      <c r="DI17" s="24"/>
      <c r="DJ17" s="24"/>
      <c r="DK17" s="24"/>
      <c r="DL17" s="24"/>
      <c r="DM17" s="24"/>
      <c r="DN17" s="24"/>
      <c r="DO17" s="24"/>
      <c r="DP17" s="24"/>
      <c r="DQ17" s="24"/>
      <c r="DR17" s="24"/>
      <c r="DS17" s="24"/>
      <c r="DT17" s="24"/>
      <c r="DU17" s="24"/>
      <c r="DV17" s="24"/>
      <c r="DW17" s="24"/>
      <c r="DX17" s="24"/>
      <c r="DY17" s="24"/>
      <c r="DZ17" s="24"/>
      <c r="EA17" s="24"/>
    </row>
    <row r="18" spans="1:131">
      <c r="A18" s="24" t="s">
        <v>430</v>
      </c>
      <c r="B18" s="24"/>
      <c r="C18" s="198">
        <v>71.761669722483219</v>
      </c>
      <c r="D18" s="198">
        <v>19.271398161973615</v>
      </c>
      <c r="E18" s="198">
        <v>3.8542796323947233</v>
      </c>
      <c r="F18" s="198">
        <v>23.125677794368336</v>
      </c>
      <c r="G18" s="198">
        <v>21.917066748380471</v>
      </c>
      <c r="H18" s="198">
        <v>47.320706451956013</v>
      </c>
      <c r="I18" s="198">
        <v>2822.9685605433624</v>
      </c>
      <c r="J18" s="198">
        <v>3.7458270142695458</v>
      </c>
      <c r="K18" s="198">
        <v>9.22053043459732</v>
      </c>
      <c r="L18" s="199">
        <v>1.9109443501490662</v>
      </c>
      <c r="M18" s="198">
        <v>0.68173766856947449</v>
      </c>
      <c r="N18" s="198">
        <v>1.6750232268701249E-2</v>
      </c>
      <c r="O18" s="198">
        <v>2.939176155754764</v>
      </c>
      <c r="P18" s="198">
        <v>2.1728226762740399</v>
      </c>
      <c r="Q18" s="198">
        <v>2.0240845394084892</v>
      </c>
      <c r="R18" s="198">
        <v>1.1619734968909476</v>
      </c>
      <c r="S18" s="198">
        <v>0.93340043890086588</v>
      </c>
      <c r="T18" s="198">
        <v>0.72404571535096118</v>
      </c>
      <c r="U18" s="198">
        <v>0.7555360512889765</v>
      </c>
      <c r="V18" s="198">
        <v>1.0997076682643248</v>
      </c>
      <c r="W18" s="198">
        <v>1.3893943183025967</v>
      </c>
      <c r="X18" s="198">
        <v>2.2666399682204657</v>
      </c>
      <c r="Y18" s="198">
        <v>2.624830003141176</v>
      </c>
      <c r="Z18" s="198">
        <v>3.0919968147085295</v>
      </c>
      <c r="AA18" s="198"/>
      <c r="AB18" s="198">
        <v>4.8712223320119579</v>
      </c>
      <c r="AC18" s="198">
        <v>4.2253771967220866</v>
      </c>
      <c r="AD18" s="198">
        <v>4.2596374004759108</v>
      </c>
      <c r="AE18" s="198">
        <v>4.0562396522720405</v>
      </c>
      <c r="AF18" s="198">
        <v>3.7360031943003547</v>
      </c>
      <c r="AG18" s="198">
        <v>3.3945058927498075</v>
      </c>
      <c r="AH18" s="198">
        <v>3.7067128525550674</v>
      </c>
      <c r="AI18" s="198">
        <v>4.0025216183598102</v>
      </c>
      <c r="AJ18" s="198">
        <v>4.3143056595416391</v>
      </c>
      <c r="AK18" s="198">
        <v>4.4526078514812788</v>
      </c>
      <c r="AL18" s="198">
        <v>4.6675765150407607</v>
      </c>
      <c r="AM18" s="45">
        <v>4.8913517104663811</v>
      </c>
      <c r="AN18" s="45"/>
      <c r="AO18" s="45"/>
      <c r="AP18" s="45"/>
      <c r="AQ18" s="45"/>
      <c r="AR18" s="45"/>
      <c r="AS18" s="45"/>
      <c r="AT18" s="45"/>
      <c r="AU18" s="45"/>
      <c r="AV18" s="45"/>
      <c r="AW18" s="45"/>
      <c r="AX18" s="45"/>
      <c r="AY18" s="45"/>
      <c r="AZ18" s="45"/>
      <c r="BA18" s="45"/>
      <c r="BB18" s="45"/>
      <c r="BC18" s="45"/>
      <c r="BD18" s="45"/>
      <c r="BE18" s="45"/>
      <c r="BF18" s="45"/>
      <c r="BG18" s="45"/>
      <c r="BH18" s="45"/>
      <c r="BI18" s="45"/>
      <c r="BJ18" s="45"/>
      <c r="BK18" s="45"/>
      <c r="BL18" s="45"/>
      <c r="BM18" s="45"/>
      <c r="BN18" s="45"/>
      <c r="BO18" s="45"/>
      <c r="BP18" s="45"/>
      <c r="BQ18" s="45"/>
      <c r="BR18" s="45"/>
      <c r="BS18" s="45"/>
      <c r="BT18" s="45"/>
      <c r="BU18" s="45"/>
      <c r="BV18" s="45"/>
      <c r="BW18" s="45"/>
      <c r="BX18" s="45"/>
      <c r="BY18" s="45"/>
      <c r="BZ18" s="45"/>
      <c r="CA18" s="45"/>
      <c r="CB18" s="45"/>
      <c r="CC18" s="45"/>
      <c r="CD18" s="45"/>
      <c r="CE18" s="45"/>
      <c r="CF18" s="45"/>
      <c r="CG18" s="45"/>
      <c r="CH18" s="45"/>
      <c r="CI18" s="45"/>
      <c r="CJ18" s="45"/>
      <c r="CK18" s="45"/>
      <c r="CL18" s="45"/>
      <c r="CM18" s="45"/>
      <c r="CN18" s="45"/>
      <c r="CO18" s="45"/>
      <c r="CP18" s="45"/>
      <c r="CQ18" s="45"/>
      <c r="CR18" s="45"/>
      <c r="CS18" s="45"/>
      <c r="CT18" s="45"/>
      <c r="CU18" s="45"/>
      <c r="CV18" s="45"/>
      <c r="CW18" s="45"/>
      <c r="CX18" s="24"/>
      <c r="CY18" s="24"/>
      <c r="CZ18" s="24"/>
      <c r="DA18" s="24"/>
      <c r="DB18" s="24"/>
      <c r="DC18" s="24"/>
      <c r="DD18" s="24"/>
      <c r="DE18" s="24"/>
      <c r="DF18" s="24"/>
      <c r="DG18" s="24"/>
      <c r="DH18" s="24"/>
      <c r="DI18" s="24"/>
      <c r="DJ18" s="24"/>
      <c r="DK18" s="24"/>
      <c r="DL18" s="24"/>
      <c r="DM18" s="24"/>
      <c r="DN18" s="24"/>
      <c r="DO18" s="24"/>
      <c r="DP18" s="24"/>
      <c r="DQ18" s="24"/>
      <c r="DR18" s="24"/>
      <c r="DS18" s="24"/>
      <c r="DT18" s="24"/>
      <c r="DU18" s="24"/>
      <c r="DV18" s="24"/>
      <c r="DW18" s="24"/>
      <c r="DX18" s="24"/>
      <c r="DY18" s="24"/>
      <c r="DZ18" s="24"/>
      <c r="EA18" s="24"/>
    </row>
    <row r="19" spans="1:131">
      <c r="A19" s="24" t="s">
        <v>429</v>
      </c>
      <c r="B19" s="24"/>
      <c r="C19" s="198">
        <v>55.109130131336691</v>
      </c>
      <c r="D19" s="198">
        <v>13.388193469372712</v>
      </c>
      <c r="E19" s="198">
        <v>2.6776386938745427</v>
      </c>
      <c r="F19" s="198">
        <v>16.065832163247254</v>
      </c>
      <c r="G19" s="198">
        <v>22.218081987351372</v>
      </c>
      <c r="H19" s="198">
        <v>36.339775535498632</v>
      </c>
      <c r="I19" s="198">
        <v>2553.7817311694216</v>
      </c>
      <c r="J19" s="198">
        <v>2.1249435559196241</v>
      </c>
      <c r="K19" s="198">
        <v>16.413183473026312</v>
      </c>
      <c r="L19" s="199">
        <v>1.5745897731264606</v>
      </c>
      <c r="M19" s="198">
        <v>0.52353812331736238</v>
      </c>
      <c r="N19" s="198">
        <v>1.2863283886728799E-2</v>
      </c>
      <c r="O19" s="198">
        <v>2.2571303297819401</v>
      </c>
      <c r="P19" s="198">
        <v>1.6686117823369091</v>
      </c>
      <c r="Q19" s="198">
        <v>1.554388836135755</v>
      </c>
      <c r="R19" s="198">
        <v>0.89233359392228662</v>
      </c>
      <c r="S19" s="198">
        <v>0.71680169164066421</v>
      </c>
      <c r="T19" s="198">
        <v>0.55602844391191164</v>
      </c>
      <c r="U19" s="198">
        <v>0.58021134026589494</v>
      </c>
      <c r="V19" s="198">
        <v>0.84451676265581743</v>
      </c>
      <c r="W19" s="198">
        <v>1.0669806400433919</v>
      </c>
      <c r="X19" s="198">
        <v>1.740658452522251</v>
      </c>
      <c r="Y19" s="198">
        <v>2.0157292712828823</v>
      </c>
      <c r="Z19" s="198">
        <v>2.374488434932065</v>
      </c>
      <c r="AA19" s="198"/>
      <c r="AB19" s="198">
        <v>3.740838618048687</v>
      </c>
      <c r="AC19" s="198">
        <v>3.2448640435575755</v>
      </c>
      <c r="AD19" s="198">
        <v>3.2711740504776636</v>
      </c>
      <c r="AE19" s="198">
        <v>3.1149754417003637</v>
      </c>
      <c r="AF19" s="198">
        <v>2.8690509432402784</v>
      </c>
      <c r="AG19" s="198">
        <v>2.6067992522828543</v>
      </c>
      <c r="AH19" s="198">
        <v>2.8465575249422561</v>
      </c>
      <c r="AI19" s="198">
        <v>3.0737228603053524</v>
      </c>
      <c r="AJ19" s="198">
        <v>3.3131563540466531</v>
      </c>
      <c r="AK19" s="198">
        <v>3.4193650518448702</v>
      </c>
      <c r="AL19" s="198">
        <v>3.584449505705444</v>
      </c>
      <c r="AM19" s="45">
        <v>3.7562969057529396</v>
      </c>
      <c r="AN19" s="45"/>
      <c r="AO19" s="45"/>
      <c r="AP19" s="45"/>
      <c r="AQ19" s="45"/>
      <c r="AR19" s="45"/>
      <c r="AS19" s="45"/>
      <c r="AT19" s="45"/>
      <c r="AU19" s="45"/>
      <c r="AV19" s="45"/>
      <c r="AW19" s="45"/>
      <c r="AX19" s="45"/>
      <c r="AY19" s="45"/>
      <c r="AZ19" s="45"/>
      <c r="BA19" s="45"/>
      <c r="BB19" s="45"/>
      <c r="BC19" s="45"/>
      <c r="BD19" s="45"/>
      <c r="BE19" s="45"/>
      <c r="BF19" s="45"/>
      <c r="BG19" s="45"/>
      <c r="BH19" s="45"/>
      <c r="BI19" s="45"/>
      <c r="BJ19" s="45"/>
      <c r="BK19" s="45"/>
      <c r="BL19" s="45"/>
      <c r="BM19" s="45"/>
      <c r="BN19" s="45"/>
      <c r="BO19" s="45"/>
      <c r="BP19" s="45"/>
      <c r="BQ19" s="45"/>
      <c r="BR19" s="45"/>
      <c r="BS19" s="45"/>
      <c r="BT19" s="45"/>
      <c r="BU19" s="45"/>
      <c r="BV19" s="45"/>
      <c r="BW19" s="45"/>
      <c r="BX19" s="45"/>
      <c r="BY19" s="45"/>
      <c r="BZ19" s="45"/>
      <c r="CA19" s="45"/>
      <c r="CB19" s="45"/>
      <c r="CC19" s="45"/>
      <c r="CD19" s="45"/>
      <c r="CE19" s="45"/>
      <c r="CF19" s="45"/>
      <c r="CG19" s="45"/>
      <c r="CH19" s="45"/>
      <c r="CI19" s="45"/>
      <c r="CJ19" s="45"/>
      <c r="CK19" s="45"/>
      <c r="CL19" s="45"/>
      <c r="CM19" s="45"/>
      <c r="CN19" s="45"/>
      <c r="CO19" s="45"/>
      <c r="CP19" s="45"/>
      <c r="CQ19" s="45"/>
      <c r="CR19" s="45"/>
      <c r="CS19" s="45"/>
      <c r="CT19" s="45"/>
      <c r="CU19" s="45"/>
      <c r="CV19" s="45"/>
      <c r="CW19" s="45"/>
      <c r="CX19" s="24"/>
      <c r="CY19" s="24"/>
      <c r="CZ19" s="24"/>
      <c r="DA19" s="24"/>
      <c r="DB19" s="24"/>
      <c r="DC19" s="24"/>
      <c r="DD19" s="24"/>
      <c r="DE19" s="24"/>
      <c r="DF19" s="24"/>
      <c r="DG19" s="24"/>
      <c r="DH19" s="24"/>
      <c r="DI19" s="24"/>
      <c r="DJ19" s="24"/>
      <c r="DK19" s="24"/>
      <c r="DL19" s="24"/>
      <c r="DM19" s="24"/>
      <c r="DN19" s="24"/>
      <c r="DO19" s="24"/>
      <c r="DP19" s="24"/>
      <c r="DQ19" s="24"/>
      <c r="DR19" s="24"/>
      <c r="DS19" s="24"/>
      <c r="DT19" s="24"/>
      <c r="DU19" s="24"/>
      <c r="DV19" s="24"/>
      <c r="DW19" s="24"/>
      <c r="DX19" s="24"/>
      <c r="DY19" s="24"/>
      <c r="DZ19" s="24"/>
      <c r="EA19" s="24"/>
    </row>
    <row r="20" spans="1:131">
      <c r="A20" s="24" t="s">
        <v>435</v>
      </c>
      <c r="B20" s="24"/>
      <c r="C20" s="198">
        <v>71.761669722483219</v>
      </c>
      <c r="D20" s="198">
        <v>23.583436394929375</v>
      </c>
      <c r="E20" s="198">
        <v>4.7166872789858756</v>
      </c>
      <c r="F20" s="198">
        <v>28.300123673915252</v>
      </c>
      <c r="G20" s="198">
        <v>28.156907074705252</v>
      </c>
      <c r="H20" s="198">
        <v>47.320706451956013</v>
      </c>
      <c r="I20" s="198">
        <v>3454.6169890167243</v>
      </c>
      <c r="J20" s="198">
        <v>7.5492392821964787</v>
      </c>
      <c r="K20" s="198">
        <v>15.618630907422441</v>
      </c>
      <c r="L20" s="199">
        <v>1.5615438234020289</v>
      </c>
      <c r="M20" s="198">
        <v>0.68173766856947449</v>
      </c>
      <c r="N20" s="198">
        <v>1.6750232268701249E-2</v>
      </c>
      <c r="O20" s="198">
        <v>2.939176155754764</v>
      </c>
      <c r="P20" s="198">
        <v>2.1728226762740399</v>
      </c>
      <c r="Q20" s="198">
        <v>2.0240845394084892</v>
      </c>
      <c r="R20" s="198">
        <v>1.1619734968909476</v>
      </c>
      <c r="S20" s="198">
        <v>0.93340043890086588</v>
      </c>
      <c r="T20" s="198">
        <v>0.72404571535096118</v>
      </c>
      <c r="U20" s="198">
        <v>0.7555360512889765</v>
      </c>
      <c r="V20" s="198">
        <v>1.0997076682643248</v>
      </c>
      <c r="W20" s="198">
        <v>1.3893943183025967</v>
      </c>
      <c r="X20" s="198">
        <v>2.2666399682204657</v>
      </c>
      <c r="Y20" s="198">
        <v>2.624830003141176</v>
      </c>
      <c r="Z20" s="198">
        <v>3.0919968147085295</v>
      </c>
      <c r="AA20" s="198"/>
      <c r="AB20" s="198">
        <v>4.8712223320119579</v>
      </c>
      <c r="AC20" s="198">
        <v>4.2253771967220866</v>
      </c>
      <c r="AD20" s="198">
        <v>4.2596374004759108</v>
      </c>
      <c r="AE20" s="198">
        <v>4.0562396522720405</v>
      </c>
      <c r="AF20" s="198">
        <v>3.7360031943003547</v>
      </c>
      <c r="AG20" s="198">
        <v>3.3945058927498075</v>
      </c>
      <c r="AH20" s="198">
        <v>3.7067128525550674</v>
      </c>
      <c r="AI20" s="198">
        <v>4.0025216183598102</v>
      </c>
      <c r="AJ20" s="198">
        <v>4.3143056595416391</v>
      </c>
      <c r="AK20" s="198">
        <v>4.4526078514812788</v>
      </c>
      <c r="AL20" s="198">
        <v>4.6675765150407607</v>
      </c>
      <c r="AM20" s="45">
        <v>4.8913517104663811</v>
      </c>
      <c r="AN20" s="45"/>
      <c r="AO20" s="45"/>
      <c r="AP20" s="45"/>
      <c r="AQ20" s="45"/>
      <c r="AR20" s="45"/>
      <c r="AS20" s="45"/>
      <c r="AT20" s="45"/>
      <c r="AU20" s="45"/>
      <c r="AV20" s="45"/>
      <c r="AW20" s="45"/>
      <c r="AX20" s="45"/>
      <c r="AY20" s="45"/>
      <c r="AZ20" s="45"/>
      <c r="BA20" s="45"/>
      <c r="BB20" s="45"/>
      <c r="BC20" s="45"/>
      <c r="BD20" s="45"/>
      <c r="BE20" s="45"/>
      <c r="BF20" s="45"/>
      <c r="BG20" s="45"/>
      <c r="BH20" s="45"/>
      <c r="BI20" s="45"/>
      <c r="BJ20" s="45"/>
      <c r="BK20" s="45"/>
      <c r="BL20" s="45"/>
      <c r="BM20" s="45"/>
      <c r="BN20" s="45"/>
      <c r="BO20" s="45"/>
      <c r="BP20" s="45"/>
      <c r="BQ20" s="45"/>
      <c r="BR20" s="45"/>
      <c r="BS20" s="45"/>
      <c r="BT20" s="45"/>
      <c r="BU20" s="45"/>
      <c r="BV20" s="45"/>
      <c r="BW20" s="45"/>
      <c r="BX20" s="45"/>
      <c r="BY20" s="45"/>
      <c r="BZ20" s="45"/>
      <c r="CA20" s="45"/>
      <c r="CB20" s="45"/>
      <c r="CC20" s="45"/>
      <c r="CD20" s="45"/>
      <c r="CE20" s="45"/>
      <c r="CF20" s="45"/>
      <c r="CG20" s="45"/>
      <c r="CH20" s="45"/>
      <c r="CI20" s="45"/>
      <c r="CJ20" s="45"/>
      <c r="CK20" s="45"/>
      <c r="CL20" s="45"/>
      <c r="CM20" s="45"/>
      <c r="CN20" s="45"/>
      <c r="CO20" s="45"/>
      <c r="CP20" s="45"/>
      <c r="CQ20" s="45"/>
      <c r="CR20" s="45"/>
      <c r="CS20" s="45"/>
      <c r="CT20" s="45"/>
      <c r="CU20" s="45"/>
      <c r="CV20" s="45"/>
      <c r="CW20" s="45"/>
      <c r="CX20" s="24"/>
      <c r="CY20" s="24"/>
      <c r="CZ20" s="24"/>
      <c r="DA20" s="24"/>
      <c r="DB20" s="24"/>
      <c r="DC20" s="24"/>
      <c r="DD20" s="24"/>
      <c r="DE20" s="24"/>
      <c r="DF20" s="24"/>
      <c r="DG20" s="24"/>
      <c r="DH20" s="24"/>
      <c r="DI20" s="24"/>
      <c r="DJ20" s="24"/>
      <c r="DK20" s="24"/>
      <c r="DL20" s="24"/>
      <c r="DM20" s="24"/>
      <c r="DN20" s="24"/>
      <c r="DO20" s="24"/>
      <c r="DP20" s="24"/>
      <c r="DQ20" s="24"/>
      <c r="DR20" s="24"/>
      <c r="DS20" s="24"/>
      <c r="DT20" s="24"/>
      <c r="DU20" s="24"/>
      <c r="DV20" s="24"/>
      <c r="DW20" s="24"/>
      <c r="DX20" s="24"/>
      <c r="DY20" s="24"/>
      <c r="DZ20" s="24"/>
      <c r="EA20" s="24"/>
    </row>
    <row r="21" spans="1:131">
      <c r="A21" s="24" t="s">
        <v>419</v>
      </c>
      <c r="B21" s="24"/>
      <c r="C21" s="198">
        <v>70.745011721527277</v>
      </c>
      <c r="D21" s="198">
        <v>21.673265650078871</v>
      </c>
      <c r="E21" s="198">
        <v>4.3346531300157745</v>
      </c>
      <c r="F21" s="198">
        <v>26.007918780094645</v>
      </c>
      <c r="G21" s="198">
        <v>29.242290884237864</v>
      </c>
      <c r="H21" s="198">
        <v>46.650307128594193</v>
      </c>
      <c r="I21" s="198">
        <v>3220.4301472226912</v>
      </c>
      <c r="J21" s="198">
        <v>6.1391049940145921</v>
      </c>
      <c r="K21" s="198">
        <v>17.162434750091414</v>
      </c>
      <c r="L21" s="199">
        <v>1.4994325928714827</v>
      </c>
      <c r="M21" s="198">
        <v>0.67207939197161215</v>
      </c>
      <c r="N21" s="198">
        <v>1.6512929294568948E-2</v>
      </c>
      <c r="O21" s="198">
        <v>2.8975364201337466</v>
      </c>
      <c r="P21" s="198">
        <v>2.1420399817375948</v>
      </c>
      <c r="Q21" s="198">
        <v>1.9954090396666526</v>
      </c>
      <c r="R21" s="198">
        <v>1.145511649541501</v>
      </c>
      <c r="S21" s="198">
        <v>0.9201768192725307</v>
      </c>
      <c r="T21" s="198">
        <v>0.71378805450755978</v>
      </c>
      <c r="U21" s="198">
        <v>0.74483226228122257</v>
      </c>
      <c r="V21" s="198">
        <v>1.0841279499554122</v>
      </c>
      <c r="W21" s="198">
        <v>1.3697105671350498</v>
      </c>
      <c r="X21" s="198">
        <v>2.234528150478635</v>
      </c>
      <c r="Y21" s="198">
        <v>2.5876436551344688</v>
      </c>
      <c r="Z21" s="198">
        <v>3.0481920466093446</v>
      </c>
      <c r="AA21" s="198"/>
      <c r="AB21" s="198">
        <v>4.8022110175117945</v>
      </c>
      <c r="AC21" s="198">
        <v>4.1655156640861151</v>
      </c>
      <c r="AD21" s="198">
        <v>4.1992904985558157</v>
      </c>
      <c r="AE21" s="198">
        <v>3.9987743158016844</v>
      </c>
      <c r="AF21" s="198">
        <v>3.6830746942560983</v>
      </c>
      <c r="AG21" s="198">
        <v>3.3464154345915449</v>
      </c>
      <c r="AH21" s="198">
        <v>3.6541993130378061</v>
      </c>
      <c r="AI21" s="198">
        <v>3.9458173130803904</v>
      </c>
      <c r="AJ21" s="198">
        <v>4.2531842644528028</v>
      </c>
      <c r="AK21" s="198">
        <v>4.3895271091458001</v>
      </c>
      <c r="AL21" s="198">
        <v>4.6014502804166035</v>
      </c>
      <c r="AM21" s="45">
        <v>4.8220552201371278</v>
      </c>
      <c r="AN21" s="45"/>
      <c r="AO21" s="45"/>
      <c r="AP21" s="45"/>
      <c r="AQ21" s="45"/>
      <c r="AR21" s="45"/>
      <c r="AS21" s="45"/>
      <c r="AT21" s="45"/>
      <c r="AU21" s="45"/>
      <c r="AV21" s="45"/>
      <c r="AW21" s="45"/>
      <c r="AX21" s="45"/>
      <c r="AY21" s="45"/>
      <c r="AZ21" s="45"/>
      <c r="BA21" s="45"/>
      <c r="BB21" s="45"/>
      <c r="BC21" s="45"/>
      <c r="BD21" s="45"/>
      <c r="BE21" s="45"/>
      <c r="BF21" s="45"/>
      <c r="BG21" s="45"/>
      <c r="BH21" s="45"/>
      <c r="BI21" s="45"/>
      <c r="BJ21" s="45"/>
      <c r="BK21" s="45"/>
      <c r="BL21" s="45"/>
      <c r="BM21" s="45"/>
      <c r="BN21" s="45"/>
      <c r="BO21" s="45"/>
      <c r="BP21" s="45"/>
      <c r="BQ21" s="45"/>
      <c r="BR21" s="45"/>
      <c r="BS21" s="45"/>
      <c r="BT21" s="45"/>
      <c r="BU21" s="45"/>
      <c r="BV21" s="45"/>
      <c r="BW21" s="45"/>
      <c r="BX21" s="45"/>
      <c r="BY21" s="45"/>
      <c r="BZ21" s="45"/>
      <c r="CA21" s="45"/>
      <c r="CB21" s="45"/>
      <c r="CC21" s="45"/>
      <c r="CD21" s="45"/>
      <c r="CE21" s="45"/>
      <c r="CF21" s="45"/>
      <c r="CG21" s="45"/>
      <c r="CH21" s="45"/>
      <c r="CI21" s="45"/>
      <c r="CJ21" s="45"/>
      <c r="CK21" s="45"/>
      <c r="CL21" s="45"/>
      <c r="CM21" s="45"/>
      <c r="CN21" s="45"/>
      <c r="CO21" s="45"/>
      <c r="CP21" s="45"/>
      <c r="CQ21" s="45"/>
      <c r="CR21" s="45"/>
      <c r="CS21" s="45"/>
      <c r="CT21" s="45"/>
      <c r="CU21" s="45"/>
      <c r="CV21" s="45"/>
      <c r="CW21" s="45"/>
      <c r="CX21" s="24"/>
      <c r="CY21" s="24"/>
      <c r="CZ21" s="24"/>
      <c r="DA21" s="24"/>
      <c r="DB21" s="24"/>
      <c r="DC21" s="24"/>
      <c r="DD21" s="24"/>
      <c r="DE21" s="24"/>
      <c r="DF21" s="24"/>
      <c r="DG21" s="24"/>
      <c r="DH21" s="24"/>
      <c r="DI21" s="24"/>
      <c r="DJ21" s="24"/>
      <c r="DK21" s="24"/>
      <c r="DL21" s="24"/>
      <c r="DM21" s="24"/>
      <c r="DN21" s="24"/>
      <c r="DO21" s="24"/>
      <c r="DP21" s="24"/>
      <c r="DQ21" s="24"/>
      <c r="DR21" s="24"/>
      <c r="DS21" s="24"/>
      <c r="DT21" s="24"/>
      <c r="DU21" s="24"/>
      <c r="DV21" s="24"/>
      <c r="DW21" s="24"/>
      <c r="DX21" s="24"/>
      <c r="DY21" s="24"/>
      <c r="DZ21" s="24"/>
      <c r="EA21" s="24"/>
    </row>
    <row r="22" spans="1:131">
      <c r="A22" s="24" t="s">
        <v>432</v>
      </c>
      <c r="B22" s="24"/>
      <c r="C22" s="198">
        <v>55.109130131336691</v>
      </c>
      <c r="D22" s="198">
        <v>14.529979530207335</v>
      </c>
      <c r="E22" s="198">
        <v>2.9059959060414671</v>
      </c>
      <c r="F22" s="198">
        <v>17.435975436248803</v>
      </c>
      <c r="G22" s="198">
        <v>24.314083771343636</v>
      </c>
      <c r="H22" s="198">
        <v>36.339775535498632</v>
      </c>
      <c r="I22" s="198">
        <v>2771.5760429810794</v>
      </c>
      <c r="J22" s="198">
        <v>3.4363717493392416</v>
      </c>
      <c r="K22" s="198">
        <v>19.211766567887778</v>
      </c>
      <c r="L22" s="199">
        <v>1.4508563121982545</v>
      </c>
      <c r="M22" s="198">
        <v>0.52353812331736238</v>
      </c>
      <c r="N22" s="198">
        <v>1.2863283886728799E-2</v>
      </c>
      <c r="O22" s="198">
        <v>2.2571303297819401</v>
      </c>
      <c r="P22" s="198">
        <v>1.6686117823369091</v>
      </c>
      <c r="Q22" s="198">
        <v>1.554388836135755</v>
      </c>
      <c r="R22" s="198">
        <v>0.89233359392228662</v>
      </c>
      <c r="S22" s="198">
        <v>0.71680169164066421</v>
      </c>
      <c r="T22" s="198">
        <v>0.55602844391191164</v>
      </c>
      <c r="U22" s="198">
        <v>0.58021134026589494</v>
      </c>
      <c r="V22" s="198">
        <v>0.84451676265581743</v>
      </c>
      <c r="W22" s="198">
        <v>1.0669806400433919</v>
      </c>
      <c r="X22" s="198">
        <v>1.740658452522251</v>
      </c>
      <c r="Y22" s="198">
        <v>2.0157292712828823</v>
      </c>
      <c r="Z22" s="198">
        <v>2.374488434932065</v>
      </c>
      <c r="AA22" s="198"/>
      <c r="AB22" s="198">
        <v>3.740838618048687</v>
      </c>
      <c r="AC22" s="198">
        <v>3.2448640435575755</v>
      </c>
      <c r="AD22" s="198">
        <v>3.2711740504776636</v>
      </c>
      <c r="AE22" s="198">
        <v>3.1149754417003637</v>
      </c>
      <c r="AF22" s="198">
        <v>2.8690509432402784</v>
      </c>
      <c r="AG22" s="198">
        <v>2.6067992522828543</v>
      </c>
      <c r="AH22" s="198">
        <v>2.8465575249422561</v>
      </c>
      <c r="AI22" s="198">
        <v>3.0737228603053524</v>
      </c>
      <c r="AJ22" s="198">
        <v>3.3131563540466531</v>
      </c>
      <c r="AK22" s="198">
        <v>3.4193650518448702</v>
      </c>
      <c r="AL22" s="198">
        <v>3.584449505705444</v>
      </c>
      <c r="AM22" s="45">
        <v>3.7562969057529396</v>
      </c>
      <c r="AN22" s="45"/>
      <c r="AO22" s="45"/>
      <c r="AP22" s="45"/>
      <c r="AQ22" s="45"/>
      <c r="AR22" s="45"/>
      <c r="AS22" s="45"/>
      <c r="AT22" s="45"/>
      <c r="AU22" s="45"/>
      <c r="AV22" s="45"/>
      <c r="AW22" s="45"/>
      <c r="AX22" s="45"/>
      <c r="AY22" s="45"/>
      <c r="AZ22" s="45"/>
      <c r="BA22" s="45"/>
      <c r="BB22" s="45"/>
      <c r="BC22" s="45"/>
      <c r="BD22" s="45"/>
      <c r="BE22" s="45"/>
      <c r="BF22" s="45"/>
      <c r="BG22" s="45"/>
      <c r="BH22" s="45"/>
      <c r="BI22" s="45"/>
      <c r="BJ22" s="45"/>
      <c r="BK22" s="45"/>
      <c r="BL22" s="45"/>
      <c r="BM22" s="45"/>
      <c r="BN22" s="45"/>
      <c r="BO22" s="45"/>
      <c r="BP22" s="45"/>
      <c r="BQ22" s="45"/>
      <c r="BR22" s="45"/>
      <c r="BS22" s="45"/>
      <c r="BT22" s="45"/>
      <c r="BU22" s="45"/>
      <c r="BV22" s="45"/>
      <c r="BW22" s="45"/>
      <c r="BX22" s="45"/>
      <c r="BY22" s="45"/>
      <c r="BZ22" s="45"/>
      <c r="CA22" s="45"/>
      <c r="CB22" s="45"/>
      <c r="CC22" s="45"/>
      <c r="CD22" s="45"/>
      <c r="CE22" s="45"/>
      <c r="CF22" s="45"/>
      <c r="CG22" s="45"/>
      <c r="CH22" s="45"/>
      <c r="CI22" s="45"/>
      <c r="CJ22" s="45"/>
      <c r="CK22" s="45"/>
      <c r="CL22" s="45"/>
      <c r="CM22" s="45"/>
      <c r="CN22" s="45"/>
      <c r="CO22" s="45"/>
      <c r="CP22" s="45"/>
      <c r="CQ22" s="45"/>
      <c r="CR22" s="45"/>
      <c r="CS22" s="45"/>
      <c r="CT22" s="45"/>
      <c r="CU22" s="45"/>
      <c r="CV22" s="45"/>
      <c r="CW22" s="45"/>
      <c r="CX22" s="24"/>
      <c r="CY22" s="24"/>
      <c r="CZ22" s="24"/>
      <c r="DA22" s="24"/>
      <c r="DB22" s="24"/>
      <c r="DC22" s="24"/>
      <c r="DD22" s="24"/>
      <c r="DE22" s="24"/>
      <c r="DF22" s="24"/>
      <c r="DG22" s="24"/>
      <c r="DH22" s="24"/>
      <c r="DI22" s="24"/>
      <c r="DJ22" s="24"/>
      <c r="DK22" s="24"/>
      <c r="DL22" s="24"/>
      <c r="DM22" s="24"/>
      <c r="DN22" s="24"/>
      <c r="DO22" s="24"/>
      <c r="DP22" s="24"/>
      <c r="DQ22" s="24"/>
      <c r="DR22" s="24"/>
      <c r="DS22" s="24"/>
      <c r="DT22" s="24"/>
      <c r="DU22" s="24"/>
      <c r="DV22" s="24"/>
      <c r="DW22" s="24"/>
      <c r="DX22" s="24"/>
      <c r="DY22" s="24"/>
      <c r="DZ22" s="24"/>
      <c r="EA22" s="24"/>
    </row>
    <row r="23" spans="1:131">
      <c r="A23" s="24" t="s">
        <v>433</v>
      </c>
      <c r="B23" s="24"/>
      <c r="C23" s="198">
        <v>6.702605615817987</v>
      </c>
      <c r="D23" s="198">
        <v>1.947148610061336</v>
      </c>
      <c r="E23" s="198">
        <v>0.38942972201226722</v>
      </c>
      <c r="F23" s="198">
        <v>2.3365783320736031</v>
      </c>
      <c r="G23" s="198">
        <v>3.4483880736287089</v>
      </c>
      <c r="H23" s="198">
        <v>4.4197972822528104</v>
      </c>
      <c r="I23" s="198">
        <v>3053.8013665401668</v>
      </c>
      <c r="J23" s="198">
        <v>5.135765287828101</v>
      </c>
      <c r="K23" s="198">
        <v>24.604269484975482</v>
      </c>
      <c r="L23" s="199">
        <v>1.2717666781433596</v>
      </c>
      <c r="M23" s="198">
        <v>6.3674922051553298E-2</v>
      </c>
      <c r="N23" s="198">
        <v>1.5644870207817637E-3</v>
      </c>
      <c r="O23" s="198">
        <v>0.27452174236782106</v>
      </c>
      <c r="P23" s="198">
        <v>0.20294362615155573</v>
      </c>
      <c r="Q23" s="198">
        <v>0.18905134806916599</v>
      </c>
      <c r="R23" s="198">
        <v>0.1085293878446761</v>
      </c>
      <c r="S23" s="198">
        <v>8.7180455078288421E-2</v>
      </c>
      <c r="T23" s="198">
        <v>6.7626532333874084E-2</v>
      </c>
      <c r="U23" s="198">
        <v>7.0567758524936477E-2</v>
      </c>
      <c r="V23" s="198">
        <v>0.1027137024761456</v>
      </c>
      <c r="W23" s="198">
        <v>0.12977070066031263</v>
      </c>
      <c r="X23" s="198">
        <v>0.21170624706454064</v>
      </c>
      <c r="Y23" s="198">
        <v>0.24516152407905265</v>
      </c>
      <c r="Z23" s="198">
        <v>0.2887953317488608</v>
      </c>
      <c r="AA23" s="198"/>
      <c r="AB23" s="198">
        <v>0.4549766231012321</v>
      </c>
      <c r="AC23" s="198">
        <v>0.39465409650056721</v>
      </c>
      <c r="AD23" s="198">
        <v>0.39785403088012511</v>
      </c>
      <c r="AE23" s="198">
        <v>0.37885649508381303</v>
      </c>
      <c r="AF23" s="198">
        <v>0.34894611688482025</v>
      </c>
      <c r="AG23" s="198">
        <v>0.31704995644135364</v>
      </c>
      <c r="AH23" s="198">
        <v>0.34621037216440886</v>
      </c>
      <c r="AI23" s="198">
        <v>0.37383918156305462</v>
      </c>
      <c r="AJ23" s="198">
        <v>0.4029600962997002</v>
      </c>
      <c r="AK23" s="198">
        <v>0.41587764757685697</v>
      </c>
      <c r="AL23" s="198">
        <v>0.43595591745506251</v>
      </c>
      <c r="AM23" s="45">
        <v>0.45685672546776424</v>
      </c>
      <c r="AN23" s="45"/>
      <c r="AO23" s="45"/>
      <c r="AP23" s="45"/>
      <c r="AQ23" s="45"/>
      <c r="AR23" s="45"/>
      <c r="AS23" s="45"/>
      <c r="AT23" s="45"/>
      <c r="AU23" s="45"/>
      <c r="AV23" s="45"/>
      <c r="AW23" s="45"/>
      <c r="AX23" s="45"/>
      <c r="AY23" s="45"/>
      <c r="AZ23" s="45"/>
      <c r="BA23" s="45"/>
      <c r="BB23" s="45"/>
      <c r="BC23" s="45"/>
      <c r="BD23" s="45"/>
      <c r="BE23" s="45"/>
      <c r="BF23" s="45"/>
      <c r="BG23" s="45"/>
      <c r="BH23" s="45"/>
      <c r="BI23" s="45"/>
      <c r="BJ23" s="45"/>
      <c r="BK23" s="45"/>
      <c r="BL23" s="45"/>
      <c r="BM23" s="45"/>
      <c r="BN23" s="45"/>
      <c r="BO23" s="45"/>
      <c r="BP23" s="45"/>
      <c r="BQ23" s="45"/>
      <c r="BR23" s="45"/>
      <c r="BS23" s="45"/>
      <c r="BT23" s="45"/>
      <c r="BU23" s="45"/>
      <c r="BV23" s="45"/>
      <c r="BW23" s="45"/>
      <c r="BX23" s="45"/>
      <c r="BY23" s="45"/>
      <c r="BZ23" s="45"/>
      <c r="CA23" s="45"/>
      <c r="CB23" s="45"/>
      <c r="CC23" s="45"/>
      <c r="CD23" s="45"/>
      <c r="CE23" s="45"/>
      <c r="CF23" s="45"/>
      <c r="CG23" s="45"/>
      <c r="CH23" s="45"/>
      <c r="CI23" s="45"/>
      <c r="CJ23" s="45"/>
      <c r="CK23" s="45"/>
      <c r="CL23" s="45"/>
      <c r="CM23" s="45"/>
      <c r="CN23" s="45"/>
      <c r="CO23" s="45"/>
      <c r="CP23" s="45"/>
      <c r="CQ23" s="45"/>
      <c r="CR23" s="45"/>
      <c r="CS23" s="45"/>
      <c r="CT23" s="45"/>
      <c r="CU23" s="45"/>
      <c r="CV23" s="45"/>
      <c r="CW23" s="45"/>
      <c r="CX23" s="24"/>
      <c r="CY23" s="24"/>
      <c r="CZ23" s="24"/>
      <c r="DA23" s="24"/>
      <c r="DB23" s="24"/>
      <c r="DC23" s="24"/>
      <c r="DD23" s="24"/>
      <c r="DE23" s="24"/>
      <c r="DF23" s="24"/>
      <c r="DG23" s="24"/>
      <c r="DH23" s="24"/>
      <c r="DI23" s="24"/>
      <c r="DJ23" s="24"/>
      <c r="DK23" s="24"/>
      <c r="DL23" s="24"/>
      <c r="DM23" s="24"/>
      <c r="DN23" s="24"/>
      <c r="DO23" s="24"/>
      <c r="DP23" s="24"/>
      <c r="DQ23" s="24"/>
      <c r="DR23" s="24"/>
      <c r="DS23" s="24"/>
      <c r="DT23" s="24"/>
      <c r="DU23" s="24"/>
      <c r="DV23" s="24"/>
      <c r="DW23" s="24"/>
      <c r="DX23" s="24"/>
      <c r="DY23" s="24"/>
      <c r="DZ23" s="24"/>
      <c r="EA23" s="24"/>
    </row>
    <row r="24" spans="1:131">
      <c r="A24" s="24" t="s">
        <v>434</v>
      </c>
      <c r="B24" s="24"/>
      <c r="C24" s="198">
        <v>6.702605615817987</v>
      </c>
      <c r="D24" s="198">
        <v>2.008153465301179</v>
      </c>
      <c r="E24" s="198">
        <v>0.4016306930602358</v>
      </c>
      <c r="F24" s="198">
        <v>2.4097841583614148</v>
      </c>
      <c r="G24" s="198">
        <v>3.5603760281159387</v>
      </c>
      <c r="H24" s="198">
        <v>4.4197972822528104</v>
      </c>
      <c r="I24" s="198">
        <v>3149.4780443933014</v>
      </c>
      <c r="J24" s="198">
        <v>5.7118735054652667</v>
      </c>
      <c r="K24" s="198">
        <v>25.833682369935676</v>
      </c>
      <c r="L24" s="199">
        <v>1.2331322094936461</v>
      </c>
      <c r="M24" s="198">
        <v>6.3674922051553298E-2</v>
      </c>
      <c r="N24" s="198">
        <v>1.5644870207817637E-3</v>
      </c>
      <c r="O24" s="198">
        <v>0.27452174236782106</v>
      </c>
      <c r="P24" s="198">
        <v>0.20294362615155573</v>
      </c>
      <c r="Q24" s="198">
        <v>0.18905134806916599</v>
      </c>
      <c r="R24" s="198">
        <v>0.1085293878446761</v>
      </c>
      <c r="S24" s="198">
        <v>8.7180455078288421E-2</v>
      </c>
      <c r="T24" s="198">
        <v>6.7626532333874084E-2</v>
      </c>
      <c r="U24" s="198">
        <v>7.0567758524936477E-2</v>
      </c>
      <c r="V24" s="198">
        <v>0.1027137024761456</v>
      </c>
      <c r="W24" s="198">
        <v>0.12977070066031263</v>
      </c>
      <c r="X24" s="198">
        <v>0.21170624706454064</v>
      </c>
      <c r="Y24" s="198">
        <v>0.24516152407905265</v>
      </c>
      <c r="Z24" s="198">
        <v>0.2887953317488608</v>
      </c>
      <c r="AA24" s="198"/>
      <c r="AB24" s="198">
        <v>0.4549766231012321</v>
      </c>
      <c r="AC24" s="198">
        <v>0.39465409650056721</v>
      </c>
      <c r="AD24" s="198">
        <v>0.39785403088012511</v>
      </c>
      <c r="AE24" s="198">
        <v>0.37885649508381303</v>
      </c>
      <c r="AF24" s="198">
        <v>0.34894611688482025</v>
      </c>
      <c r="AG24" s="198">
        <v>0.31704995644135364</v>
      </c>
      <c r="AH24" s="198">
        <v>0.34621037216440886</v>
      </c>
      <c r="AI24" s="198">
        <v>0.37383918156305462</v>
      </c>
      <c r="AJ24" s="198">
        <v>0.4029600962997002</v>
      </c>
      <c r="AK24" s="198">
        <v>0.41587764757685697</v>
      </c>
      <c r="AL24" s="198">
        <v>0.43595591745506251</v>
      </c>
      <c r="AM24" s="45">
        <v>0.45685672546776424</v>
      </c>
      <c r="AN24" s="45"/>
      <c r="AO24" s="45"/>
      <c r="AP24" s="45"/>
      <c r="AQ24" s="45"/>
      <c r="AR24" s="45"/>
      <c r="AS24" s="45"/>
      <c r="AT24" s="45"/>
      <c r="AU24" s="45"/>
      <c r="AV24" s="45"/>
      <c r="AW24" s="45"/>
      <c r="AX24" s="45"/>
      <c r="AY24" s="45"/>
      <c r="AZ24" s="45"/>
      <c r="BA24" s="45"/>
      <c r="BB24" s="45"/>
      <c r="BC24" s="45"/>
      <c r="BD24" s="45"/>
      <c r="BE24" s="45"/>
      <c r="BF24" s="45"/>
      <c r="BG24" s="45"/>
      <c r="BH24" s="45"/>
      <c r="BI24" s="45"/>
      <c r="BJ24" s="45"/>
      <c r="BK24" s="45"/>
      <c r="BL24" s="45"/>
      <c r="BM24" s="45"/>
      <c r="BN24" s="45"/>
      <c r="BO24" s="45"/>
      <c r="BP24" s="45"/>
      <c r="BQ24" s="45"/>
      <c r="BR24" s="45"/>
      <c r="BS24" s="45"/>
      <c r="BT24" s="45"/>
      <c r="BU24" s="45"/>
      <c r="BV24" s="45"/>
      <c r="BW24" s="45"/>
      <c r="BX24" s="45"/>
      <c r="BY24" s="45"/>
      <c r="BZ24" s="45"/>
      <c r="CA24" s="45"/>
      <c r="CB24" s="45"/>
      <c r="CC24" s="45"/>
      <c r="CD24" s="45"/>
      <c r="CE24" s="45"/>
      <c r="CF24" s="45"/>
      <c r="CG24" s="45"/>
      <c r="CH24" s="45"/>
      <c r="CI24" s="45"/>
      <c r="CJ24" s="45"/>
      <c r="CK24" s="45"/>
      <c r="CL24" s="45"/>
      <c r="CM24" s="45"/>
      <c r="CN24" s="45"/>
      <c r="CO24" s="45"/>
      <c r="CP24" s="45"/>
      <c r="CQ24" s="45"/>
      <c r="CR24" s="45"/>
      <c r="CS24" s="45"/>
      <c r="CT24" s="45"/>
      <c r="CU24" s="45"/>
      <c r="CV24" s="45"/>
      <c r="CW24" s="45"/>
      <c r="CX24" s="24"/>
      <c r="CY24" s="24"/>
      <c r="CZ24" s="24"/>
      <c r="DA24" s="24"/>
      <c r="DB24" s="24"/>
      <c r="DC24" s="24"/>
      <c r="DD24" s="24"/>
      <c r="DE24" s="24"/>
      <c r="DF24" s="24"/>
      <c r="DG24" s="24"/>
      <c r="DH24" s="24"/>
      <c r="DI24" s="24"/>
      <c r="DJ24" s="24"/>
      <c r="DK24" s="24"/>
      <c r="DL24" s="24"/>
      <c r="DM24" s="24"/>
      <c r="DN24" s="24"/>
      <c r="DO24" s="24"/>
      <c r="DP24" s="24"/>
      <c r="DQ24" s="24"/>
      <c r="DR24" s="24"/>
      <c r="DS24" s="24"/>
      <c r="DT24" s="24"/>
      <c r="DU24" s="24"/>
      <c r="DV24" s="24"/>
      <c r="DW24" s="24"/>
      <c r="DX24" s="24"/>
      <c r="DY24" s="24"/>
      <c r="DZ24" s="24"/>
      <c r="EA24" s="24"/>
    </row>
    <row r="25" spans="1:131">
      <c r="A25" s="24" t="s">
        <v>427</v>
      </c>
      <c r="B25" s="24"/>
      <c r="C25" s="198">
        <v>139.58339165168746</v>
      </c>
      <c r="D25" s="198">
        <v>45.543781319840186</v>
      </c>
      <c r="E25" s="198">
        <v>9.1087562639680382</v>
      </c>
      <c r="F25" s="198">
        <v>54.652537583808225</v>
      </c>
      <c r="G25" s="198">
        <v>78.020914573342253</v>
      </c>
      <c r="H25" s="198">
        <v>92.043353052701903</v>
      </c>
      <c r="I25" s="198">
        <v>3429.8939405974252</v>
      </c>
      <c r="J25" s="198">
        <v>7.4003717454153337</v>
      </c>
      <c r="K25" s="198">
        <v>27.876513737276195</v>
      </c>
      <c r="L25" s="199">
        <v>1.1677210399474414</v>
      </c>
      <c r="M25" s="198">
        <v>1.3260457339362539</v>
      </c>
      <c r="N25" s="198">
        <v>3.2580822604331608E-2</v>
      </c>
      <c r="O25" s="198">
        <v>5.7169820332856913</v>
      </c>
      <c r="P25" s="198">
        <v>4.2263503592504215</v>
      </c>
      <c r="Q25" s="198">
        <v>3.9370402903524311</v>
      </c>
      <c r="R25" s="198">
        <v>2.2601508901986227</v>
      </c>
      <c r="S25" s="198">
        <v>1.8155541744611476</v>
      </c>
      <c r="T25" s="198">
        <v>1.4083389788782386</v>
      </c>
      <c r="U25" s="198">
        <v>1.4695907294503421</v>
      </c>
      <c r="V25" s="198">
        <v>2.139037828346555</v>
      </c>
      <c r="W25" s="198">
        <v>2.7025063942944967</v>
      </c>
      <c r="X25" s="198">
        <v>4.4088340703471802</v>
      </c>
      <c r="Y25" s="198">
        <v>5.1055483486439233</v>
      </c>
      <c r="Z25" s="198">
        <v>6.0142330026918467</v>
      </c>
      <c r="AA25" s="198"/>
      <c r="AB25" s="198">
        <v>9.4749988011865209</v>
      </c>
      <c r="AC25" s="198">
        <v>8.2187675176318251</v>
      </c>
      <c r="AD25" s="198">
        <v>8.2854069291328436</v>
      </c>
      <c r="AE25" s="198">
        <v>7.8897786270266392</v>
      </c>
      <c r="AF25" s="198">
        <v>7.2668877284860445</v>
      </c>
      <c r="AG25" s="198">
        <v>6.6026424318720771</v>
      </c>
      <c r="AH25" s="198">
        <v>7.2099151795019552</v>
      </c>
      <c r="AI25" s="198">
        <v>7.7852918530242183</v>
      </c>
      <c r="AJ25" s="198">
        <v>8.3917419830076643</v>
      </c>
      <c r="AK25" s="198">
        <v>8.6607531291871318</v>
      </c>
      <c r="AL25" s="198">
        <v>9.07888798132341</v>
      </c>
      <c r="AM25" s="45">
        <v>9.5141523901062683</v>
      </c>
      <c r="AN25" s="45"/>
      <c r="AO25" s="45"/>
      <c r="AP25" s="45"/>
      <c r="AQ25" s="45"/>
      <c r="AR25" s="45"/>
      <c r="AS25" s="45"/>
      <c r="AT25" s="45"/>
      <c r="AU25" s="45"/>
      <c r="AV25" s="45"/>
      <c r="AW25" s="45"/>
      <c r="AX25" s="45"/>
      <c r="AY25" s="45"/>
      <c r="AZ25" s="45"/>
      <c r="BA25" s="45"/>
      <c r="BB25" s="45"/>
      <c r="BC25" s="45"/>
      <c r="BD25" s="45"/>
      <c r="BE25" s="45"/>
      <c r="BF25" s="45"/>
      <c r="BG25" s="45"/>
      <c r="BH25" s="45"/>
      <c r="BI25" s="45"/>
      <c r="BJ25" s="45"/>
      <c r="BK25" s="45"/>
      <c r="BL25" s="45"/>
      <c r="BM25" s="45"/>
      <c r="BN25" s="45"/>
      <c r="BO25" s="45"/>
      <c r="BP25" s="45"/>
      <c r="BQ25" s="45"/>
      <c r="BR25" s="45"/>
      <c r="BS25" s="45"/>
      <c r="BT25" s="45"/>
      <c r="BU25" s="45"/>
      <c r="BV25" s="45"/>
      <c r="BW25" s="45"/>
      <c r="BX25" s="45"/>
      <c r="BY25" s="45"/>
      <c r="BZ25" s="45"/>
      <c r="CA25" s="45"/>
      <c r="CB25" s="45"/>
      <c r="CC25" s="45"/>
      <c r="CD25" s="45"/>
      <c r="CE25" s="45"/>
      <c r="CF25" s="45"/>
      <c r="CG25" s="45"/>
      <c r="CH25" s="45"/>
      <c r="CI25" s="45"/>
      <c r="CJ25" s="45"/>
      <c r="CK25" s="45"/>
      <c r="CL25" s="45"/>
      <c r="CM25" s="45"/>
      <c r="CN25" s="45"/>
      <c r="CO25" s="45"/>
      <c r="CP25" s="45"/>
      <c r="CQ25" s="45"/>
      <c r="CR25" s="45"/>
      <c r="CS25" s="45"/>
      <c r="CT25" s="45"/>
      <c r="CU25" s="45"/>
      <c r="CV25" s="45"/>
      <c r="CW25" s="45"/>
      <c r="CX25" s="24"/>
      <c r="CY25" s="24"/>
      <c r="CZ25" s="24"/>
      <c r="DA25" s="24"/>
      <c r="DB25" s="24"/>
      <c r="DC25" s="24"/>
      <c r="DD25" s="24"/>
      <c r="DE25" s="24"/>
      <c r="DF25" s="24"/>
      <c r="DG25" s="24"/>
      <c r="DH25" s="24"/>
      <c r="DI25" s="24"/>
      <c r="DJ25" s="24"/>
      <c r="DK25" s="24"/>
      <c r="DL25" s="24"/>
      <c r="DM25" s="24"/>
      <c r="DN25" s="24"/>
      <c r="DO25" s="24"/>
      <c r="DP25" s="24"/>
      <c r="DQ25" s="24"/>
      <c r="DR25" s="24"/>
      <c r="DS25" s="24"/>
      <c r="DT25" s="24"/>
      <c r="DU25" s="24"/>
      <c r="DV25" s="24"/>
      <c r="DW25" s="24"/>
      <c r="DX25" s="24"/>
      <c r="DY25" s="24"/>
      <c r="DZ25" s="24"/>
      <c r="EA25" s="24"/>
    </row>
    <row r="26" spans="1:131">
      <c r="A26" s="24" t="s">
        <v>431</v>
      </c>
      <c r="B26" s="24"/>
      <c r="C26" s="198">
        <v>139.58339165168746</v>
      </c>
      <c r="D26" s="198">
        <v>50.067502645018976</v>
      </c>
      <c r="E26" s="198">
        <v>10.013500529003796</v>
      </c>
      <c r="F26" s="198">
        <v>60.081003174022769</v>
      </c>
      <c r="G26" s="198">
        <v>86.325209303414226</v>
      </c>
      <c r="H26" s="198">
        <v>92.043353052701903</v>
      </c>
      <c r="I26" s="198">
        <v>3770.574576076915</v>
      </c>
      <c r="J26" s="198">
        <v>9.4517485082128641</v>
      </c>
      <c r="K26" s="198">
        <v>32.254144444289587</v>
      </c>
      <c r="L26" s="199">
        <v>1.0622145878337224</v>
      </c>
      <c r="M26" s="198">
        <v>1.3260457339362539</v>
      </c>
      <c r="N26" s="198">
        <v>3.2580822604331608E-2</v>
      </c>
      <c r="O26" s="198">
        <v>5.7169820332856913</v>
      </c>
      <c r="P26" s="198">
        <v>4.2263503592504215</v>
      </c>
      <c r="Q26" s="198">
        <v>3.9370402903524311</v>
      </c>
      <c r="R26" s="198">
        <v>2.2601508901986227</v>
      </c>
      <c r="S26" s="198">
        <v>1.8155541744611476</v>
      </c>
      <c r="T26" s="198">
        <v>1.4083389788782386</v>
      </c>
      <c r="U26" s="198">
        <v>1.4695907294503421</v>
      </c>
      <c r="V26" s="198">
        <v>2.139037828346555</v>
      </c>
      <c r="W26" s="198">
        <v>2.7025063942944967</v>
      </c>
      <c r="X26" s="198">
        <v>4.4088340703471802</v>
      </c>
      <c r="Y26" s="198">
        <v>5.1055483486439233</v>
      </c>
      <c r="Z26" s="198">
        <v>6.0142330026918467</v>
      </c>
      <c r="AA26" s="198"/>
      <c r="AB26" s="198">
        <v>9.4749988011865209</v>
      </c>
      <c r="AC26" s="198">
        <v>8.2187675176318251</v>
      </c>
      <c r="AD26" s="198">
        <v>8.2854069291328436</v>
      </c>
      <c r="AE26" s="198">
        <v>7.8897786270266392</v>
      </c>
      <c r="AF26" s="198">
        <v>7.2668877284860445</v>
      </c>
      <c r="AG26" s="198">
        <v>6.6026424318720771</v>
      </c>
      <c r="AH26" s="198">
        <v>7.2099151795019552</v>
      </c>
      <c r="AI26" s="198">
        <v>7.7852918530242183</v>
      </c>
      <c r="AJ26" s="198">
        <v>8.3917419830076643</v>
      </c>
      <c r="AK26" s="198">
        <v>8.6607531291871318</v>
      </c>
      <c r="AL26" s="198">
        <v>9.07888798132341</v>
      </c>
      <c r="AM26" s="45">
        <v>9.5141523901062683</v>
      </c>
      <c r="AN26" s="45"/>
      <c r="AO26" s="45"/>
      <c r="AP26" s="45"/>
      <c r="AQ26" s="45"/>
      <c r="AR26" s="45"/>
      <c r="AS26" s="45"/>
      <c r="AT26" s="45"/>
      <c r="AU26" s="45"/>
      <c r="AV26" s="45"/>
      <c r="AW26" s="45"/>
      <c r="AX26" s="45"/>
      <c r="AY26" s="45"/>
      <c r="AZ26" s="45"/>
      <c r="BA26" s="45"/>
      <c r="BB26" s="45"/>
      <c r="BC26" s="45"/>
      <c r="BD26" s="45"/>
      <c r="BE26" s="45"/>
      <c r="BF26" s="45"/>
      <c r="BG26" s="45"/>
      <c r="BH26" s="45"/>
      <c r="BI26" s="45"/>
      <c r="BJ26" s="45"/>
      <c r="BK26" s="45"/>
      <c r="BL26" s="45"/>
      <c r="BM26" s="45"/>
      <c r="BN26" s="45"/>
      <c r="BO26" s="45"/>
      <c r="BP26" s="45"/>
      <c r="BQ26" s="45"/>
      <c r="BR26" s="45"/>
      <c r="BS26" s="45"/>
      <c r="BT26" s="45"/>
      <c r="BU26" s="45"/>
      <c r="BV26" s="45"/>
      <c r="BW26" s="45"/>
      <c r="BX26" s="45"/>
      <c r="BY26" s="45"/>
      <c r="BZ26" s="45"/>
      <c r="CA26" s="45"/>
      <c r="CB26" s="45"/>
      <c r="CC26" s="45"/>
      <c r="CD26" s="45"/>
      <c r="CE26" s="45"/>
      <c r="CF26" s="45"/>
      <c r="CG26" s="45"/>
      <c r="CH26" s="45"/>
      <c r="CI26" s="45"/>
      <c r="CJ26" s="45"/>
      <c r="CK26" s="45"/>
      <c r="CL26" s="45"/>
      <c r="CM26" s="45"/>
      <c r="CN26" s="45"/>
      <c r="CO26" s="45"/>
      <c r="CP26" s="45"/>
      <c r="CQ26" s="45"/>
      <c r="CR26" s="45"/>
      <c r="CS26" s="45"/>
      <c r="CT26" s="45"/>
      <c r="CU26" s="45"/>
      <c r="CV26" s="45"/>
      <c r="CW26" s="45"/>
      <c r="CX26" s="24"/>
      <c r="CY26" s="24"/>
      <c r="CZ26" s="24"/>
      <c r="DA26" s="24"/>
      <c r="DB26" s="24"/>
      <c r="DC26" s="24"/>
      <c r="DD26" s="24"/>
      <c r="DE26" s="24"/>
      <c r="DF26" s="24"/>
      <c r="DG26" s="24"/>
      <c r="DH26" s="24"/>
      <c r="DI26" s="24"/>
      <c r="DJ26" s="24"/>
      <c r="DK26" s="24"/>
      <c r="DL26" s="24"/>
      <c r="DM26" s="24"/>
      <c r="DN26" s="24"/>
      <c r="DO26" s="24"/>
      <c r="DP26" s="24"/>
      <c r="DQ26" s="24"/>
      <c r="DR26" s="24"/>
      <c r="DS26" s="24"/>
      <c r="DT26" s="24"/>
      <c r="DU26" s="24"/>
      <c r="DV26" s="24"/>
      <c r="DW26" s="24"/>
      <c r="DX26" s="24"/>
      <c r="DY26" s="24"/>
      <c r="DZ26" s="24"/>
      <c r="EA26" s="24"/>
    </row>
    <row r="27" spans="1:131">
      <c r="A27" s="24" t="s">
        <v>436</v>
      </c>
      <c r="B27" s="24"/>
      <c r="C27" s="198">
        <v>2.4778634129914572</v>
      </c>
      <c r="D27" s="198">
        <v>1.0315522391340137</v>
      </c>
      <c r="E27" s="198">
        <v>0.20631044782680275</v>
      </c>
      <c r="F27" s="198">
        <v>1.2378626869608165</v>
      </c>
      <c r="G27" s="198">
        <v>1.6355328074630799</v>
      </c>
      <c r="H27" s="198">
        <v>1.633939784952835</v>
      </c>
      <c r="I27" s="198">
        <v>4376.2206911499916</v>
      </c>
      <c r="J27" s="198">
        <v>13.098590264248951</v>
      </c>
      <c r="K27" s="198">
        <v>35.315784721114973</v>
      </c>
      <c r="L27" s="200">
        <v>0.99945986332258774</v>
      </c>
      <c r="M27" s="198">
        <v>2.3539764790020557E-2</v>
      </c>
      <c r="N27" s="198">
        <v>5.7836987152376843E-4</v>
      </c>
      <c r="O27" s="198">
        <v>0.10148700676622992</v>
      </c>
      <c r="P27" s="198">
        <v>7.5025537076805357E-2</v>
      </c>
      <c r="Q27" s="198">
        <v>6.9889748167755006E-2</v>
      </c>
      <c r="R27" s="198">
        <v>4.0121859287086149E-2</v>
      </c>
      <c r="S27" s="198">
        <v>3.2229445136475167E-2</v>
      </c>
      <c r="T27" s="198">
        <v>2.5000622119572553E-2</v>
      </c>
      <c r="U27" s="198">
        <v>2.6087954000023093E-2</v>
      </c>
      <c r="V27" s="198">
        <v>3.7971878395752924E-2</v>
      </c>
      <c r="W27" s="198">
        <v>4.7974487785107808E-2</v>
      </c>
      <c r="X27" s="198">
        <v>7.8264960519974683E-2</v>
      </c>
      <c r="Y27" s="198">
        <v>9.063292779080992E-2</v>
      </c>
      <c r="Z27" s="198">
        <v>0.10676376134893639</v>
      </c>
      <c r="AA27" s="198"/>
      <c r="AB27" s="198">
        <v>0.16819875624016742</v>
      </c>
      <c r="AC27" s="198">
        <v>0.14589832709209946</v>
      </c>
      <c r="AD27" s="198">
        <v>0.1470812999205123</v>
      </c>
      <c r="AE27" s="198">
        <v>0.14005816569707161</v>
      </c>
      <c r="AF27" s="198">
        <v>0.12900069998058744</v>
      </c>
      <c r="AG27" s="198">
        <v>0.11720911719802715</v>
      </c>
      <c r="AH27" s="198">
        <v>0.1279893318442922</v>
      </c>
      <c r="AI27" s="198">
        <v>0.13820333217154609</v>
      </c>
      <c r="AJ27" s="198">
        <v>0.148968943832851</v>
      </c>
      <c r="AK27" s="198">
        <v>0.15374438931327281</v>
      </c>
      <c r="AL27" s="198">
        <v>0.16116705643394633</v>
      </c>
      <c r="AM27" s="45">
        <v>0.16889380487255518</v>
      </c>
      <c r="AN27" s="45"/>
      <c r="AO27" s="45"/>
      <c r="AP27" s="45"/>
      <c r="AQ27" s="45"/>
      <c r="AR27" s="45"/>
      <c r="AS27" s="45"/>
      <c r="AT27" s="45"/>
      <c r="AU27" s="45"/>
      <c r="AV27" s="45"/>
      <c r="AW27" s="45"/>
      <c r="AX27" s="45"/>
      <c r="AY27" s="45"/>
      <c r="AZ27" s="45"/>
      <c r="BA27" s="45"/>
      <c r="BB27" s="45"/>
      <c r="BC27" s="45"/>
      <c r="BD27" s="45"/>
      <c r="BE27" s="45"/>
      <c r="BF27" s="45"/>
      <c r="BG27" s="45"/>
      <c r="BH27" s="45"/>
      <c r="BI27" s="45"/>
      <c r="BJ27" s="45"/>
      <c r="BK27" s="45"/>
      <c r="BL27" s="45"/>
      <c r="BM27" s="45"/>
      <c r="BN27" s="45"/>
      <c r="BO27" s="45"/>
      <c r="BP27" s="45"/>
      <c r="BQ27" s="45"/>
      <c r="BR27" s="45"/>
      <c r="BS27" s="45"/>
      <c r="BT27" s="45"/>
      <c r="BU27" s="45"/>
      <c r="BV27" s="45"/>
      <c r="BW27" s="45"/>
      <c r="BX27" s="45"/>
      <c r="BY27" s="45"/>
      <c r="BZ27" s="45"/>
      <c r="CA27" s="45"/>
      <c r="CB27" s="45"/>
      <c r="CC27" s="45"/>
      <c r="CD27" s="45"/>
      <c r="CE27" s="45"/>
      <c r="CF27" s="45"/>
      <c r="CG27" s="45"/>
      <c r="CH27" s="45"/>
      <c r="CI27" s="45"/>
      <c r="CJ27" s="45"/>
      <c r="CK27" s="45"/>
      <c r="CL27" s="45"/>
      <c r="CM27" s="45"/>
      <c r="CN27" s="45"/>
      <c r="CO27" s="45"/>
      <c r="CP27" s="45"/>
      <c r="CQ27" s="45"/>
      <c r="CR27" s="45"/>
      <c r="CS27" s="45"/>
      <c r="CT27" s="45"/>
      <c r="CU27" s="45"/>
      <c r="CV27" s="45"/>
      <c r="CW27" s="45"/>
      <c r="CX27" s="24"/>
      <c r="CY27" s="24"/>
      <c r="CZ27" s="24"/>
      <c r="DA27" s="24"/>
      <c r="DB27" s="24"/>
      <c r="DC27" s="24"/>
      <c r="DD27" s="24"/>
      <c r="DE27" s="24"/>
      <c r="DF27" s="24"/>
      <c r="DG27" s="24"/>
      <c r="DH27" s="24"/>
      <c r="DI27" s="24"/>
      <c r="DJ27" s="24"/>
      <c r="DK27" s="24"/>
      <c r="DL27" s="24"/>
      <c r="DM27" s="24"/>
      <c r="DN27" s="24"/>
      <c r="DO27" s="24"/>
      <c r="DP27" s="24"/>
      <c r="DQ27" s="24"/>
      <c r="DR27" s="24"/>
      <c r="DS27" s="24"/>
      <c r="DT27" s="24"/>
      <c r="DU27" s="24"/>
      <c r="DV27" s="24"/>
      <c r="DW27" s="24"/>
      <c r="DX27" s="24"/>
      <c r="DY27" s="24"/>
      <c r="DZ27" s="24"/>
      <c r="EA27" s="24"/>
    </row>
    <row r="28" spans="1:131">
      <c r="A28" s="24"/>
      <c r="B28" s="24"/>
      <c r="C28" s="45"/>
      <c r="D28" s="45"/>
      <c r="E28" s="45"/>
      <c r="F28" s="45"/>
      <c r="G28" s="45"/>
      <c r="H28" s="45"/>
      <c r="I28" s="45"/>
      <c r="J28" s="45"/>
      <c r="K28" s="45"/>
      <c r="L28" s="45"/>
      <c r="M28" s="45"/>
      <c r="N28" s="45"/>
      <c r="O28" s="45"/>
      <c r="P28" s="45"/>
      <c r="Q28" s="45"/>
      <c r="R28" s="45"/>
      <c r="S28" s="45"/>
      <c r="T28" s="45"/>
      <c r="U28" s="45"/>
      <c r="V28" s="45"/>
      <c r="W28" s="45"/>
      <c r="X28" s="45"/>
      <c r="Y28" s="45"/>
      <c r="Z28" s="45"/>
      <c r="AA28" s="45"/>
      <c r="AB28" s="45"/>
      <c r="AC28" s="45"/>
      <c r="AD28" s="45"/>
      <c r="AE28" s="45"/>
      <c r="AF28" s="45"/>
      <c r="AG28" s="45"/>
      <c r="AH28" s="45"/>
      <c r="AI28" s="45"/>
      <c r="AJ28" s="45"/>
      <c r="AK28" s="45"/>
      <c r="AL28" s="45"/>
      <c r="AM28" s="45"/>
      <c r="AN28" s="45"/>
      <c r="AO28" s="45"/>
      <c r="AP28" s="45"/>
      <c r="AQ28" s="45"/>
      <c r="AR28" s="45"/>
      <c r="AS28" s="45"/>
      <c r="AT28" s="45"/>
      <c r="AU28" s="45"/>
      <c r="AV28" s="45"/>
      <c r="AW28" s="45"/>
      <c r="AX28" s="45"/>
      <c r="AY28" s="45"/>
      <c r="AZ28" s="45"/>
      <c r="BA28" s="45"/>
      <c r="BB28" s="45"/>
      <c r="BC28" s="45"/>
      <c r="BD28" s="45"/>
      <c r="BE28" s="45"/>
      <c r="BF28" s="45"/>
      <c r="BG28" s="45"/>
      <c r="BH28" s="45"/>
      <c r="BI28" s="45"/>
      <c r="BJ28" s="45"/>
      <c r="BK28" s="45"/>
      <c r="BL28" s="45"/>
      <c r="BM28" s="45"/>
      <c r="BN28" s="45"/>
      <c r="BO28" s="45"/>
      <c r="BP28" s="45"/>
      <c r="BQ28" s="45"/>
      <c r="BR28" s="45"/>
      <c r="BS28" s="45"/>
      <c r="BT28" s="45"/>
      <c r="BU28" s="45"/>
      <c r="BV28" s="45"/>
      <c r="BW28" s="45"/>
      <c r="BX28" s="45"/>
      <c r="BY28" s="45"/>
      <c r="BZ28" s="45"/>
      <c r="CA28" s="45"/>
      <c r="CB28" s="45"/>
      <c r="CC28" s="45"/>
      <c r="CD28" s="45"/>
      <c r="CE28" s="45"/>
      <c r="CF28" s="45"/>
      <c r="CG28" s="45"/>
      <c r="CH28" s="45"/>
      <c r="CI28" s="45"/>
      <c r="CJ28" s="45"/>
      <c r="CK28" s="45"/>
      <c r="CL28" s="45"/>
      <c r="CM28" s="45"/>
      <c r="CN28" s="45"/>
      <c r="CO28" s="45"/>
      <c r="CP28" s="45"/>
      <c r="CQ28" s="45"/>
      <c r="CR28" s="45"/>
      <c r="CS28" s="45"/>
      <c r="CT28" s="45"/>
      <c r="CU28" s="45"/>
      <c r="CV28" s="45"/>
      <c r="CW28" s="45"/>
      <c r="CX28" s="24"/>
      <c r="CY28" s="24"/>
      <c r="CZ28" s="24"/>
      <c r="DA28" s="24"/>
      <c r="DB28" s="24"/>
      <c r="DC28" s="24"/>
      <c r="DD28" s="24"/>
      <c r="DE28" s="24"/>
      <c r="DF28" s="24"/>
      <c r="DG28" s="24"/>
      <c r="DH28" s="24"/>
      <c r="DI28" s="24"/>
      <c r="DJ28" s="24"/>
      <c r="DK28" s="24"/>
      <c r="DL28" s="24"/>
      <c r="DM28" s="24"/>
      <c r="DN28" s="24"/>
      <c r="DO28" s="24"/>
      <c r="DP28" s="24"/>
      <c r="DQ28" s="24"/>
      <c r="DR28" s="24"/>
      <c r="DS28" s="24"/>
      <c r="DT28" s="24"/>
      <c r="DU28" s="24"/>
      <c r="DV28" s="24"/>
      <c r="DW28" s="24"/>
      <c r="DX28" s="24"/>
      <c r="DY28" s="24"/>
      <c r="DZ28" s="24"/>
      <c r="EA28" s="24"/>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sheetPr>
    <tabColor rgb="FFFFFF00"/>
  </sheetPr>
  <dimension ref="A1:EA172"/>
  <sheetViews>
    <sheetView workbookViewId="0">
      <selection activeCell="A34" sqref="A34:EA172"/>
    </sheetView>
  </sheetViews>
  <sheetFormatPr defaultRowHeight="12.75"/>
  <cols>
    <col min="1" max="1" width="44.140625" customWidth="1"/>
    <col min="2" max="2" width="54.85546875" customWidth="1"/>
    <col min="3" max="3" width="17.42578125" bestFit="1" customWidth="1"/>
    <col min="4" max="4" width="12.140625" bestFit="1" customWidth="1"/>
    <col min="5" max="5" width="12.5703125" customWidth="1"/>
    <col min="6" max="6" width="13.7109375" customWidth="1"/>
    <col min="7" max="7" width="25.42578125" customWidth="1"/>
    <col min="8" max="8" width="15.7109375" bestFit="1" customWidth="1"/>
    <col min="9" max="9" width="15.42578125" bestFit="1" customWidth="1"/>
    <col min="10" max="10" width="14.42578125" bestFit="1" customWidth="1"/>
    <col min="11" max="11" width="14.28515625" customWidth="1"/>
    <col min="12" max="12" width="12.5703125" customWidth="1"/>
    <col min="13" max="13" width="13.28515625" bestFit="1" customWidth="1"/>
    <col min="14" max="14" width="12.140625" bestFit="1" customWidth="1"/>
    <col min="15" max="15" width="13.28515625" bestFit="1" customWidth="1"/>
    <col min="16" max="16" width="27.7109375" customWidth="1"/>
    <col min="17" max="18" width="13.28515625" bestFit="1" customWidth="1"/>
    <col min="19" max="19" width="14.42578125" bestFit="1" customWidth="1"/>
    <col min="20" max="20" width="10.7109375" customWidth="1"/>
    <col min="21" max="21" width="14" bestFit="1" customWidth="1"/>
    <col min="22" max="22" width="12.140625" bestFit="1" customWidth="1"/>
    <col min="23" max="23" width="15.42578125" bestFit="1" customWidth="1"/>
    <col min="24" max="24" width="12.42578125" bestFit="1" customWidth="1"/>
    <col min="25" max="25" width="13.28515625" bestFit="1" customWidth="1"/>
    <col min="26" max="26" width="12.28515625" bestFit="1" customWidth="1"/>
    <col min="27" max="27" width="12.5703125" bestFit="1" customWidth="1"/>
    <col min="28" max="30" width="14.28515625" bestFit="1" customWidth="1"/>
    <col min="31" max="31" width="13.7109375" bestFit="1" customWidth="1"/>
    <col min="32" max="32" width="14" bestFit="1" customWidth="1"/>
    <col min="33" max="33" width="12.85546875" bestFit="1" customWidth="1"/>
    <col min="34" max="34" width="15.28515625" bestFit="1" customWidth="1"/>
    <col min="35" max="35" width="12.28515625" bestFit="1" customWidth="1"/>
    <col min="36" max="36" width="10.85546875" bestFit="1" customWidth="1"/>
    <col min="37" max="37" width="12.28515625" bestFit="1" customWidth="1"/>
    <col min="38" max="38" width="12.5703125" bestFit="1" customWidth="1"/>
    <col min="39" max="43" width="12.85546875" customWidth="1"/>
    <col min="44" max="44" width="12.5703125" customWidth="1"/>
    <col min="45" max="45" width="12.28515625" customWidth="1"/>
    <col min="46" max="46" width="12.7109375" customWidth="1"/>
    <col min="47" max="47" width="11.85546875" customWidth="1"/>
    <col min="48" max="48" width="12.5703125" bestFit="1" customWidth="1"/>
    <col min="49" max="49" width="13.42578125" customWidth="1"/>
    <col min="50" max="50" width="15.7109375" bestFit="1" customWidth="1"/>
    <col min="51" max="51" width="11" bestFit="1" customWidth="1"/>
    <col min="52" max="52" width="16.140625" bestFit="1" customWidth="1"/>
    <col min="53" max="53" width="17.28515625" bestFit="1" customWidth="1"/>
    <col min="54" max="54" width="15" bestFit="1" customWidth="1"/>
    <col min="55" max="55" width="12.5703125" bestFit="1" customWidth="1"/>
    <col min="56" max="56" width="13.5703125" customWidth="1"/>
    <col min="57" max="58" width="14.5703125" bestFit="1" customWidth="1"/>
    <col min="59" max="59" width="14.85546875" bestFit="1" customWidth="1"/>
    <col min="60" max="60" width="15" bestFit="1" customWidth="1"/>
    <col min="61" max="61" width="13.28515625" bestFit="1" customWidth="1"/>
    <col min="62" max="62" width="14" bestFit="1" customWidth="1"/>
    <col min="63" max="63" width="13.28515625" bestFit="1" customWidth="1"/>
    <col min="64" max="64" width="11.140625" bestFit="1" customWidth="1"/>
    <col min="65" max="65" width="16.85546875" bestFit="1" customWidth="1"/>
    <col min="66" max="66" width="14.7109375" customWidth="1"/>
    <col min="67" max="67" width="12" customWidth="1"/>
    <col min="68" max="68" width="14" customWidth="1"/>
    <col min="69" max="69" width="12.5703125" customWidth="1"/>
    <col min="70" max="70" width="11.28515625" customWidth="1"/>
    <col min="71" max="71" width="14.42578125" customWidth="1"/>
    <col min="72" max="72" width="15.7109375" customWidth="1"/>
    <col min="73" max="73" width="12.85546875" customWidth="1"/>
    <col min="74" max="74" width="13" customWidth="1"/>
    <col min="75" max="75" width="11.7109375" customWidth="1"/>
    <col min="76" max="76" width="14" customWidth="1"/>
    <col min="77" max="77" width="14.85546875" customWidth="1"/>
    <col min="78" max="78" width="11.85546875" customWidth="1"/>
    <col min="79" max="79" width="13.85546875" customWidth="1"/>
    <col min="80" max="80" width="13.7109375" customWidth="1"/>
    <col min="81" max="81" width="13" customWidth="1"/>
    <col min="82" max="82" width="12.42578125" customWidth="1"/>
    <col min="83" max="83" width="13" customWidth="1"/>
    <col min="84" max="84" width="12.7109375" customWidth="1"/>
    <col min="85" max="85" width="12.42578125" customWidth="1"/>
    <col min="86" max="86" width="10.28515625" customWidth="1"/>
    <col min="87" max="91" width="9.85546875" customWidth="1"/>
    <col min="92" max="99" width="10.7109375" customWidth="1"/>
    <col min="100" max="100" width="16.5703125" customWidth="1"/>
    <col min="101" max="105" width="10.7109375" customWidth="1"/>
  </cols>
  <sheetData>
    <row r="1" spans="1:105">
      <c r="A1" s="15" t="s">
        <v>14</v>
      </c>
      <c r="B1" s="16"/>
      <c r="C1" s="16"/>
      <c r="D1" s="16"/>
      <c r="E1" s="16"/>
      <c r="F1" s="16"/>
      <c r="G1" s="16"/>
      <c r="H1" s="17"/>
      <c r="I1" s="18"/>
      <c r="J1" s="18"/>
      <c r="K1" s="18"/>
      <c r="L1" s="18"/>
      <c r="M1" s="18"/>
      <c r="N1" s="19"/>
      <c r="O1" s="20"/>
      <c r="P1" s="19"/>
      <c r="Q1" s="19"/>
      <c r="R1" s="19"/>
      <c r="S1" s="17"/>
      <c r="T1" s="17"/>
      <c r="U1" s="17"/>
      <c r="V1" s="19"/>
      <c r="W1" s="17"/>
      <c r="X1" s="17"/>
      <c r="Y1" s="17"/>
      <c r="Z1" s="17"/>
      <c r="AA1" s="17"/>
      <c r="AB1" s="17"/>
      <c r="AC1" s="17"/>
      <c r="AD1" s="17"/>
      <c r="AE1" s="17"/>
      <c r="AF1" s="17"/>
      <c r="AG1" s="17"/>
      <c r="AH1" s="17"/>
      <c r="AI1" s="17"/>
      <c r="AJ1" s="17"/>
      <c r="AK1" s="17"/>
      <c r="AL1" s="17"/>
      <c r="AM1" s="17"/>
      <c r="AN1" s="17"/>
      <c r="AO1" s="17"/>
      <c r="AP1" s="21"/>
      <c r="AQ1" s="17"/>
      <c r="AR1" s="17"/>
      <c r="AS1" s="17"/>
      <c r="AT1" s="17"/>
      <c r="AU1" s="17"/>
      <c r="AV1" s="21"/>
      <c r="AW1" s="17"/>
      <c r="AX1" s="17"/>
      <c r="AY1" s="17"/>
      <c r="AZ1" s="17"/>
      <c r="BA1" s="17"/>
      <c r="BB1" s="17"/>
      <c r="BC1" s="17"/>
      <c r="BD1" s="17"/>
      <c r="BE1" s="17"/>
      <c r="BF1" s="17"/>
      <c r="BG1" s="17"/>
      <c r="BH1" s="17"/>
      <c r="BI1" s="17"/>
      <c r="BJ1" s="17"/>
      <c r="BK1" s="17"/>
      <c r="BL1" s="17"/>
      <c r="BM1" s="22"/>
      <c r="BN1" s="17"/>
      <c r="BO1" s="17"/>
      <c r="BP1" s="17"/>
      <c r="BQ1" s="17"/>
      <c r="BR1" s="17"/>
      <c r="BS1" s="17"/>
      <c r="BT1" s="17"/>
      <c r="BU1" s="17"/>
      <c r="BV1" s="17"/>
      <c r="BW1" s="17"/>
      <c r="BX1" s="17"/>
      <c r="BY1" s="17"/>
      <c r="BZ1" s="17"/>
      <c r="CA1" s="17"/>
      <c r="CB1" s="17"/>
      <c r="CC1" s="17"/>
      <c r="CD1" s="17"/>
      <c r="CE1" s="17"/>
      <c r="CF1" s="17"/>
      <c r="CG1" s="17"/>
      <c r="CH1" s="17"/>
      <c r="CI1" s="17"/>
      <c r="CJ1" s="17"/>
      <c r="CK1" s="17"/>
      <c r="CL1" s="17"/>
      <c r="CM1" s="17"/>
      <c r="CN1" s="17"/>
      <c r="CO1" s="17"/>
      <c r="CP1" s="21"/>
      <c r="CQ1" s="17"/>
      <c r="CR1" s="17"/>
      <c r="CS1" s="17"/>
      <c r="CT1" s="17"/>
      <c r="CU1" s="17"/>
      <c r="CV1" s="17"/>
      <c r="CW1" s="17"/>
      <c r="CX1" s="17"/>
      <c r="CY1" s="17"/>
      <c r="CZ1" s="17"/>
      <c r="DA1" s="17"/>
    </row>
    <row r="2" spans="1:105">
      <c r="A2" s="23" t="s">
        <v>15</v>
      </c>
      <c r="B2" s="17" t="str">
        <f>'7PSourceSummary'!D2</f>
        <v>Exterior Building Lighting</v>
      </c>
      <c r="C2" s="17"/>
      <c r="D2" s="17"/>
      <c r="E2" s="17"/>
      <c r="F2" s="17"/>
      <c r="G2" s="17"/>
      <c r="H2" s="17"/>
      <c r="I2" s="18"/>
      <c r="J2" s="18"/>
      <c r="K2" s="18"/>
      <c r="L2" s="18"/>
      <c r="M2" s="18"/>
      <c r="N2" s="19"/>
      <c r="O2" s="19"/>
      <c r="P2" s="19"/>
      <c r="Q2" s="19"/>
      <c r="R2" s="19"/>
      <c r="S2" s="17"/>
      <c r="T2" s="17"/>
      <c r="U2" s="17"/>
      <c r="V2" s="19"/>
      <c r="W2" s="17"/>
      <c r="X2" s="17"/>
      <c r="Y2" s="17"/>
      <c r="Z2" s="17"/>
      <c r="AA2" s="17"/>
      <c r="AB2" s="17"/>
      <c r="AC2" s="17"/>
      <c r="AD2" s="17"/>
      <c r="AE2" s="17"/>
      <c r="AF2" s="17"/>
      <c r="AG2" s="17"/>
      <c r="AH2" s="17"/>
      <c r="AI2" s="17"/>
      <c r="AJ2" s="17"/>
      <c r="AK2" s="17"/>
      <c r="AL2" s="17"/>
      <c r="AM2" s="17"/>
      <c r="AN2" s="17"/>
      <c r="AO2" s="17"/>
      <c r="AP2" s="17"/>
      <c r="AQ2" s="17"/>
      <c r="AR2" s="17"/>
      <c r="AS2" s="17"/>
      <c r="AT2" s="17"/>
      <c r="AU2" s="17"/>
      <c r="AV2" s="17"/>
      <c r="AW2" s="17"/>
      <c r="AX2" s="17"/>
      <c r="AY2" s="17"/>
      <c r="AZ2" s="17"/>
      <c r="BA2" s="17"/>
      <c r="BB2" s="21"/>
      <c r="BC2" s="17"/>
      <c r="BD2" s="17"/>
      <c r="BE2" s="17"/>
      <c r="BF2" s="17"/>
      <c r="BG2" s="17"/>
      <c r="BH2" s="17"/>
      <c r="BI2" s="17"/>
      <c r="BJ2" s="17"/>
      <c r="BK2" s="17"/>
      <c r="BL2" s="17"/>
      <c r="BM2" s="17"/>
      <c r="BN2" s="17"/>
      <c r="BO2" s="17"/>
      <c r="BP2" s="17"/>
      <c r="BQ2" s="17"/>
      <c r="BR2" s="17"/>
      <c r="BS2" s="17"/>
      <c r="BT2" s="17"/>
      <c r="BU2" s="17"/>
      <c r="BV2" s="17"/>
      <c r="BW2" s="17"/>
      <c r="BX2" s="17"/>
      <c r="BY2" s="17"/>
      <c r="BZ2" s="17"/>
      <c r="CA2" s="17"/>
      <c r="CB2" s="17"/>
      <c r="CC2" s="17"/>
      <c r="CD2" s="17"/>
      <c r="CE2" s="17"/>
      <c r="CF2" s="17"/>
      <c r="CG2" s="17"/>
      <c r="CH2" s="17"/>
      <c r="CI2" s="17"/>
      <c r="CJ2" s="17"/>
      <c r="CK2" s="17"/>
      <c r="CL2" s="17"/>
      <c r="CM2" s="17"/>
      <c r="CN2" s="17"/>
      <c r="CO2" s="17"/>
      <c r="CP2" s="17"/>
      <c r="CQ2" s="17"/>
      <c r="CR2" s="17"/>
      <c r="CS2" s="17"/>
      <c r="CT2" s="17"/>
      <c r="CU2" s="17"/>
      <c r="CV2" s="17"/>
      <c r="CW2" s="17"/>
      <c r="CX2" s="17"/>
      <c r="CY2" s="17"/>
      <c r="CZ2" s="17"/>
      <c r="DA2" s="17"/>
    </row>
    <row r="3" spans="1:105">
      <c r="A3" s="23" t="s">
        <v>16</v>
      </c>
      <c r="B3" s="24"/>
      <c r="C3" s="23">
        <v>2012</v>
      </c>
      <c r="D3" s="24"/>
      <c r="E3" s="24"/>
      <c r="F3" s="24"/>
      <c r="G3" s="24"/>
      <c r="H3" s="24"/>
      <c r="I3" s="24"/>
      <c r="J3" s="25"/>
      <c r="K3" s="26"/>
      <c r="L3" s="24"/>
      <c r="M3" s="24"/>
      <c r="N3" s="24"/>
      <c r="O3" s="24"/>
      <c r="P3" s="24"/>
      <c r="Q3" s="24"/>
      <c r="R3" s="24"/>
      <c r="S3" s="24"/>
      <c r="T3" s="24"/>
      <c r="U3" s="24"/>
      <c r="V3" s="24"/>
      <c r="W3" s="24"/>
      <c r="X3" s="24"/>
      <c r="Y3" s="24"/>
      <c r="Z3" s="24"/>
      <c r="AA3" s="24"/>
      <c r="AB3" s="24"/>
      <c r="AC3" s="24"/>
      <c r="AD3" s="24"/>
      <c r="AE3" s="24"/>
      <c r="AF3" s="24"/>
      <c r="AG3" s="24"/>
      <c r="AH3" s="24"/>
      <c r="AI3" s="24"/>
      <c r="AJ3" s="24"/>
      <c r="AK3" s="24"/>
      <c r="AL3" s="24"/>
      <c r="AM3" s="24"/>
      <c r="AN3" s="24"/>
      <c r="AO3" s="24"/>
      <c r="AP3" s="24"/>
      <c r="AQ3" s="24"/>
      <c r="AR3" s="24"/>
      <c r="AS3" s="24"/>
      <c r="AT3" s="24"/>
      <c r="AU3" s="24"/>
      <c r="AV3" s="24"/>
      <c r="AW3" s="24"/>
      <c r="AX3" s="24"/>
      <c r="AY3" s="24"/>
      <c r="AZ3" s="24"/>
      <c r="BA3" s="24"/>
      <c r="BB3" s="24"/>
      <c r="BC3" s="24"/>
      <c r="BD3" s="24"/>
      <c r="BE3" s="24"/>
      <c r="BF3" s="24"/>
      <c r="BG3" s="24"/>
      <c r="BH3" s="24"/>
      <c r="BI3" s="24"/>
      <c r="BJ3" s="24"/>
      <c r="BK3" s="24"/>
      <c r="BL3" s="24"/>
      <c r="BM3" s="24"/>
      <c r="BN3" s="24"/>
      <c r="BO3" s="24"/>
      <c r="BP3" s="24"/>
      <c r="BQ3" s="24"/>
      <c r="BR3" s="24"/>
      <c r="BS3" s="24"/>
      <c r="BT3" s="24"/>
      <c r="BU3" s="24"/>
      <c r="BV3" s="24"/>
      <c r="BW3" s="24"/>
      <c r="BX3" s="24"/>
      <c r="BY3" s="24"/>
      <c r="BZ3" s="24"/>
      <c r="CA3" s="24"/>
      <c r="CB3" s="24"/>
      <c r="CC3" s="24"/>
      <c r="CD3" s="24"/>
      <c r="CE3" s="24"/>
      <c r="CF3" s="24"/>
      <c r="CG3" s="24"/>
      <c r="CH3" s="24"/>
      <c r="CI3" s="24"/>
      <c r="CJ3" s="24"/>
      <c r="CK3" s="24"/>
      <c r="CL3" s="24"/>
      <c r="CM3" s="24"/>
      <c r="CN3" s="24"/>
      <c r="CO3" s="26"/>
      <c r="CP3" s="26"/>
      <c r="CQ3" s="24"/>
      <c r="CR3" s="24"/>
      <c r="CS3" s="24"/>
      <c r="CT3" s="24"/>
      <c r="CU3" s="24"/>
      <c r="CV3" s="24"/>
      <c r="CW3" s="24"/>
      <c r="CX3" s="24"/>
      <c r="CY3" s="24"/>
      <c r="CZ3" s="24"/>
      <c r="DA3" s="24"/>
    </row>
    <row r="4" spans="1:105">
      <c r="A4" s="24" t="s">
        <v>879</v>
      </c>
      <c r="B4" s="27" t="s">
        <v>880</v>
      </c>
      <c r="C4" s="24"/>
      <c r="D4" s="24"/>
      <c r="E4" s="24"/>
      <c r="F4" s="24"/>
      <c r="G4" s="24"/>
      <c r="H4" s="24"/>
      <c r="I4" s="24"/>
      <c r="J4" s="24"/>
      <c r="K4" s="24"/>
      <c r="L4" s="24"/>
      <c r="M4" s="24"/>
      <c r="N4" s="24"/>
      <c r="O4" s="24"/>
      <c r="P4" s="24"/>
      <c r="Q4" s="24"/>
      <c r="R4" s="24"/>
      <c r="S4" s="24"/>
      <c r="T4" s="24"/>
      <c r="U4" s="24"/>
      <c r="V4" s="24"/>
      <c r="W4" s="24"/>
      <c r="X4" s="24"/>
      <c r="Y4" s="24"/>
      <c r="Z4" s="24"/>
      <c r="AA4" s="24"/>
      <c r="AB4" s="24"/>
      <c r="AC4" s="24"/>
      <c r="AD4" s="24"/>
      <c r="AE4" s="24"/>
      <c r="AF4" s="24"/>
      <c r="AG4" s="24"/>
      <c r="AH4" s="24"/>
      <c r="AI4" s="24"/>
      <c r="AJ4" s="24"/>
      <c r="AK4" s="24"/>
      <c r="AL4" s="24"/>
      <c r="AM4" s="24"/>
      <c r="AN4" s="24"/>
      <c r="AO4" s="24"/>
      <c r="AP4" s="24"/>
      <c r="AQ4" s="24"/>
      <c r="AR4" s="24"/>
      <c r="AS4" s="24"/>
      <c r="AT4" s="24"/>
      <c r="AU4" s="24"/>
      <c r="AV4" s="24"/>
      <c r="AW4" s="24"/>
      <c r="AX4" s="24"/>
      <c r="AY4" s="24"/>
      <c r="AZ4" s="24"/>
      <c r="BA4" s="24"/>
      <c r="BB4" s="24"/>
      <c r="BC4" s="24"/>
      <c r="BD4" s="24"/>
      <c r="BE4" s="24"/>
      <c r="BF4" s="24"/>
      <c r="BG4" s="24"/>
      <c r="BH4" s="24"/>
      <c r="BI4" s="24"/>
      <c r="BJ4" s="24"/>
      <c r="BK4" s="24"/>
      <c r="BL4" s="24"/>
      <c r="BM4" s="24"/>
      <c r="BN4" s="24"/>
      <c r="BO4" s="24"/>
      <c r="BP4" s="24"/>
      <c r="BQ4" s="24"/>
      <c r="BR4" s="24"/>
      <c r="BS4" s="24"/>
      <c r="BT4" s="24"/>
      <c r="BU4" s="24"/>
      <c r="BV4" s="24"/>
      <c r="BW4" s="24"/>
      <c r="BX4" s="24"/>
      <c r="BY4" s="24"/>
      <c r="BZ4" s="24"/>
      <c r="CA4" s="24"/>
      <c r="CB4" s="24"/>
      <c r="CC4" s="24"/>
      <c r="CD4" s="24"/>
      <c r="CE4" s="24"/>
      <c r="CF4" s="24"/>
      <c r="CG4" s="24"/>
      <c r="CH4" s="24"/>
      <c r="CI4" s="24"/>
      <c r="CJ4" s="24"/>
      <c r="CK4" s="24"/>
      <c r="CL4" s="24"/>
      <c r="CM4" s="24"/>
      <c r="CN4" s="24"/>
      <c r="CO4" s="24"/>
      <c r="CP4" s="24"/>
      <c r="CQ4" s="24"/>
      <c r="CR4" s="24"/>
      <c r="CS4" s="24"/>
      <c r="CT4" s="24"/>
      <c r="CU4" s="24"/>
      <c r="CV4" s="24"/>
      <c r="CW4" s="24"/>
      <c r="CX4" s="24"/>
      <c r="CY4" s="24"/>
      <c r="CZ4" s="24"/>
      <c r="DA4" s="24"/>
    </row>
    <row r="5" spans="1:105">
      <c r="A5" s="28">
        <v>1</v>
      </c>
      <c r="B5" s="28">
        <v>2</v>
      </c>
      <c r="C5" s="28">
        <v>3</v>
      </c>
      <c r="D5" s="28">
        <v>4</v>
      </c>
      <c r="E5" s="28">
        <v>5</v>
      </c>
      <c r="F5" s="28">
        <v>6</v>
      </c>
      <c r="G5" s="28">
        <v>7</v>
      </c>
      <c r="H5" s="28">
        <v>8</v>
      </c>
      <c r="I5" s="28">
        <v>9</v>
      </c>
      <c r="J5" s="28">
        <v>10</v>
      </c>
      <c r="K5" s="28">
        <v>11</v>
      </c>
      <c r="L5" s="28">
        <v>12</v>
      </c>
      <c r="M5" s="28">
        <v>13</v>
      </c>
      <c r="N5" s="28">
        <v>14</v>
      </c>
      <c r="O5" s="28">
        <v>15</v>
      </c>
      <c r="P5" s="28">
        <v>16</v>
      </c>
      <c r="Q5" s="28">
        <v>17</v>
      </c>
      <c r="R5" s="28">
        <v>18</v>
      </c>
      <c r="S5" s="28">
        <v>19</v>
      </c>
      <c r="T5" s="28">
        <v>20</v>
      </c>
      <c r="U5" s="28">
        <v>21</v>
      </c>
      <c r="V5" s="28">
        <v>22</v>
      </c>
      <c r="W5" s="28">
        <v>23</v>
      </c>
      <c r="X5" s="28">
        <v>24</v>
      </c>
      <c r="Y5" s="28">
        <v>25</v>
      </c>
      <c r="Z5" s="28">
        <v>26</v>
      </c>
      <c r="AA5" s="28">
        <v>27</v>
      </c>
      <c r="AB5" s="28">
        <v>28</v>
      </c>
      <c r="AC5" s="28">
        <v>29</v>
      </c>
      <c r="AD5" s="28">
        <v>30</v>
      </c>
      <c r="AE5" s="28">
        <v>31</v>
      </c>
      <c r="AF5" s="28">
        <v>32</v>
      </c>
      <c r="AG5" s="28">
        <v>33</v>
      </c>
      <c r="AH5" s="28">
        <v>34</v>
      </c>
      <c r="AI5" s="28">
        <v>35</v>
      </c>
      <c r="AJ5" s="28">
        <v>36</v>
      </c>
      <c r="AK5" s="28">
        <v>37</v>
      </c>
      <c r="AL5" s="28">
        <v>38</v>
      </c>
      <c r="AM5" s="28">
        <v>39</v>
      </c>
      <c r="AN5" s="28">
        <v>40</v>
      </c>
      <c r="AO5" s="28">
        <v>41</v>
      </c>
      <c r="AP5" s="28">
        <v>42</v>
      </c>
      <c r="AQ5" s="28">
        <v>43</v>
      </c>
      <c r="AR5" s="28">
        <v>44</v>
      </c>
      <c r="AS5" s="28">
        <v>45</v>
      </c>
      <c r="AT5" s="28">
        <v>46</v>
      </c>
      <c r="AU5" s="28">
        <v>47</v>
      </c>
      <c r="AV5" s="28">
        <v>48</v>
      </c>
      <c r="AW5" s="28">
        <v>49</v>
      </c>
      <c r="AX5" s="28">
        <v>50</v>
      </c>
      <c r="AY5" s="28">
        <v>51</v>
      </c>
      <c r="AZ5" s="28">
        <v>52</v>
      </c>
      <c r="BA5" s="28">
        <v>53</v>
      </c>
      <c r="BB5" s="28">
        <v>54</v>
      </c>
      <c r="BC5" s="28">
        <v>55</v>
      </c>
      <c r="BD5" s="28">
        <v>56</v>
      </c>
      <c r="BE5" s="28">
        <v>57</v>
      </c>
      <c r="BF5" s="28">
        <v>58</v>
      </c>
      <c r="BG5" s="28">
        <v>59</v>
      </c>
      <c r="BH5" s="28">
        <v>60</v>
      </c>
      <c r="BI5" s="28">
        <v>61</v>
      </c>
      <c r="BJ5" s="28">
        <v>62</v>
      </c>
      <c r="BK5" s="28">
        <v>63</v>
      </c>
      <c r="BL5" s="28">
        <v>64</v>
      </c>
      <c r="BM5" s="28">
        <v>65</v>
      </c>
      <c r="BN5" s="28">
        <v>66</v>
      </c>
      <c r="BO5" s="28">
        <v>67</v>
      </c>
      <c r="BP5" s="28">
        <v>68</v>
      </c>
      <c r="BQ5" s="28">
        <v>69</v>
      </c>
      <c r="BR5" s="28">
        <v>70</v>
      </c>
      <c r="BS5" s="28">
        <v>71</v>
      </c>
      <c r="BT5" s="28">
        <v>72</v>
      </c>
      <c r="BU5" s="28">
        <v>73</v>
      </c>
      <c r="BV5" s="28">
        <v>74</v>
      </c>
      <c r="BW5" s="28">
        <v>75</v>
      </c>
      <c r="BX5" s="28">
        <v>76</v>
      </c>
      <c r="BY5" s="28">
        <v>77</v>
      </c>
      <c r="BZ5" s="28">
        <v>78</v>
      </c>
      <c r="CA5" s="28">
        <v>79</v>
      </c>
      <c r="CB5" s="28">
        <v>80</v>
      </c>
      <c r="CC5" s="28">
        <v>81</v>
      </c>
      <c r="CD5" s="28">
        <v>82</v>
      </c>
      <c r="CE5" s="28">
        <v>83</v>
      </c>
      <c r="CF5" s="28">
        <v>84</v>
      </c>
      <c r="CG5" s="28">
        <v>85</v>
      </c>
      <c r="CH5" s="28">
        <v>86</v>
      </c>
      <c r="CI5" s="28">
        <v>87</v>
      </c>
      <c r="CJ5" s="28">
        <v>88</v>
      </c>
      <c r="CK5" s="28">
        <v>89</v>
      </c>
      <c r="CL5" s="28">
        <v>90</v>
      </c>
      <c r="CM5" s="28">
        <v>91</v>
      </c>
      <c r="CN5" s="28">
        <v>92</v>
      </c>
      <c r="CO5" s="28">
        <v>93</v>
      </c>
      <c r="CP5" s="28">
        <v>94</v>
      </c>
      <c r="CQ5" s="28">
        <v>95</v>
      </c>
      <c r="CR5" s="28">
        <v>96</v>
      </c>
      <c r="CS5" s="28">
        <v>97</v>
      </c>
      <c r="CT5" s="28">
        <v>98</v>
      </c>
      <c r="CU5" s="28">
        <v>99</v>
      </c>
      <c r="CV5" s="28">
        <v>100</v>
      </c>
      <c r="CW5" s="28">
        <v>101</v>
      </c>
      <c r="CX5" s="28">
        <v>102</v>
      </c>
      <c r="CY5" s="28">
        <v>103</v>
      </c>
      <c r="CZ5" s="28">
        <v>104</v>
      </c>
      <c r="DA5" s="28">
        <v>105</v>
      </c>
    </row>
    <row r="6" spans="1:105">
      <c r="A6" s="29" t="s">
        <v>17</v>
      </c>
      <c r="B6" s="30"/>
      <c r="C6" s="30"/>
      <c r="D6" s="30"/>
      <c r="E6" s="30"/>
      <c r="F6" s="30"/>
      <c r="G6" s="31"/>
      <c r="H6" s="32"/>
      <c r="I6" s="454" t="s">
        <v>18</v>
      </c>
      <c r="J6" s="455"/>
      <c r="K6" s="455"/>
      <c r="L6" s="455"/>
      <c r="M6" s="455"/>
      <c r="N6" s="456"/>
      <c r="O6" s="457" t="s">
        <v>19</v>
      </c>
      <c r="P6" s="458"/>
      <c r="Q6" s="33" t="s">
        <v>20</v>
      </c>
      <c r="R6" s="459" t="s">
        <v>21</v>
      </c>
      <c r="S6" s="459"/>
      <c r="T6" s="459"/>
      <c r="U6" s="34"/>
      <c r="V6" s="34"/>
      <c r="W6" s="34"/>
      <c r="X6" s="35"/>
      <c r="Y6" s="36"/>
      <c r="Z6" s="34"/>
      <c r="AA6" s="34"/>
      <c r="AB6" s="34"/>
      <c r="AC6" s="34"/>
      <c r="AD6" s="34"/>
      <c r="AE6" s="37"/>
      <c r="AF6" s="37"/>
      <c r="AG6" s="37"/>
      <c r="AH6" s="37"/>
      <c r="AI6" s="37"/>
      <c r="AJ6" s="37"/>
      <c r="AK6" s="37"/>
      <c r="AL6" s="37"/>
      <c r="AM6" s="37"/>
      <c r="AN6" s="37"/>
      <c r="AO6" s="37"/>
      <c r="AP6" s="17"/>
      <c r="AQ6" s="17"/>
      <c r="AR6" s="17"/>
      <c r="AS6" s="17"/>
      <c r="AT6" s="17"/>
      <c r="AU6" s="17"/>
      <c r="AV6" s="17"/>
      <c r="AW6" s="17"/>
      <c r="AX6" s="17"/>
      <c r="AY6" s="17"/>
      <c r="AZ6" s="17"/>
      <c r="BA6" s="17"/>
      <c r="BB6" s="17"/>
      <c r="BC6" s="17"/>
      <c r="BD6" s="17"/>
      <c r="BE6" s="17"/>
      <c r="BF6" s="17"/>
      <c r="BG6" s="17"/>
      <c r="BH6" s="17"/>
      <c r="BI6" s="17"/>
      <c r="BJ6" s="17"/>
      <c r="BK6" s="17"/>
      <c r="BL6" s="17"/>
      <c r="BM6" s="17"/>
      <c r="BN6" s="17"/>
      <c r="BO6" s="17"/>
      <c r="BP6" s="17"/>
      <c r="BQ6" s="17"/>
      <c r="BR6" s="17"/>
      <c r="BS6" s="17"/>
      <c r="BT6" s="17"/>
      <c r="BU6" s="17"/>
      <c r="BV6" s="17"/>
      <c r="BW6" s="17"/>
      <c r="BX6" s="17"/>
      <c r="BY6" s="17"/>
      <c r="BZ6" s="17"/>
      <c r="CA6" s="17"/>
      <c r="CB6" s="17"/>
      <c r="CC6" s="17"/>
      <c r="CD6" s="17"/>
      <c r="CE6" s="17"/>
      <c r="CF6" s="17"/>
      <c r="CG6" s="17"/>
      <c r="CH6" s="17"/>
      <c r="CI6" s="17"/>
      <c r="CJ6" s="17"/>
      <c r="CK6" s="17"/>
      <c r="CL6" s="17"/>
      <c r="CM6" s="17"/>
      <c r="CN6" s="17"/>
      <c r="CO6" s="17"/>
      <c r="CP6" s="17"/>
      <c r="CQ6" s="17"/>
      <c r="CR6" s="17"/>
      <c r="CS6" s="17"/>
      <c r="CT6" s="17"/>
      <c r="CU6" s="17"/>
      <c r="CV6" s="17"/>
      <c r="CW6" s="17"/>
      <c r="CX6" s="17"/>
      <c r="CY6" s="17"/>
      <c r="CZ6" s="17"/>
      <c r="DA6" s="17"/>
    </row>
    <row r="7" spans="1:105" ht="25.5">
      <c r="A7" s="38" t="s">
        <v>22</v>
      </c>
      <c r="B7" s="38" t="s">
        <v>23</v>
      </c>
      <c r="C7" s="38" t="s">
        <v>24</v>
      </c>
      <c r="D7" s="38" t="s">
        <v>25</v>
      </c>
      <c r="E7" s="38" t="s">
        <v>26</v>
      </c>
      <c r="F7" s="39" t="s">
        <v>27</v>
      </c>
      <c r="G7" s="38" t="s">
        <v>28</v>
      </c>
      <c r="H7" s="40" t="s">
        <v>29</v>
      </c>
      <c r="I7" s="40" t="s">
        <v>30</v>
      </c>
      <c r="J7" s="40" t="s">
        <v>31</v>
      </c>
      <c r="K7" s="40" t="s">
        <v>32</v>
      </c>
      <c r="L7" s="40" t="s">
        <v>33</v>
      </c>
      <c r="M7" s="40" t="s">
        <v>34</v>
      </c>
      <c r="N7" s="40" t="s">
        <v>35</v>
      </c>
      <c r="O7" s="41" t="s">
        <v>36</v>
      </c>
      <c r="P7" s="40" t="s">
        <v>28</v>
      </c>
      <c r="Q7" s="42" t="s">
        <v>37</v>
      </c>
      <c r="R7" s="43" t="s">
        <v>38</v>
      </c>
      <c r="S7" s="43" t="s">
        <v>39</v>
      </c>
      <c r="T7" s="43" t="s">
        <v>40</v>
      </c>
      <c r="U7" s="44"/>
      <c r="V7" s="44"/>
      <c r="W7" s="44"/>
      <c r="X7" s="44"/>
      <c r="Y7" s="44"/>
      <c r="Z7" s="44"/>
      <c r="AA7" s="44"/>
      <c r="AB7" s="44"/>
      <c r="AC7" s="44"/>
      <c r="AD7" s="44"/>
      <c r="AE7" s="37"/>
      <c r="AF7" s="37"/>
      <c r="AG7" s="37"/>
      <c r="AH7" s="37"/>
      <c r="AI7" s="37"/>
      <c r="AJ7" s="37"/>
      <c r="AK7" s="37"/>
      <c r="AL7" s="37"/>
      <c r="AM7" s="37"/>
      <c r="AN7" s="37"/>
      <c r="AO7" s="37"/>
      <c r="AP7" s="17"/>
      <c r="AQ7" s="17"/>
      <c r="AR7" s="17"/>
      <c r="AS7" s="17"/>
      <c r="AT7" s="17"/>
      <c r="AU7" s="17"/>
      <c r="AV7" s="17"/>
      <c r="AW7" s="17"/>
      <c r="AX7" s="17"/>
      <c r="AY7" s="17"/>
      <c r="AZ7" s="17"/>
      <c r="BA7" s="17"/>
      <c r="BB7" s="17"/>
      <c r="BC7" s="17"/>
      <c r="BD7" s="17"/>
      <c r="BE7" s="17"/>
      <c r="BF7" s="17"/>
      <c r="BG7" s="17"/>
      <c r="BH7" s="17"/>
      <c r="BI7" s="17"/>
      <c r="BJ7" s="17"/>
      <c r="BK7" s="17"/>
      <c r="BL7" s="17"/>
      <c r="BM7" s="17"/>
      <c r="BN7" s="17"/>
      <c r="BO7" s="17"/>
      <c r="BP7" s="17"/>
      <c r="BQ7" s="17"/>
      <c r="BR7" s="17"/>
      <c r="BS7" s="17"/>
      <c r="BT7" s="17"/>
      <c r="BU7" s="17"/>
      <c r="BV7" s="17"/>
      <c r="BW7" s="17"/>
      <c r="BX7" s="17"/>
      <c r="BY7" s="17"/>
      <c r="BZ7" s="17"/>
      <c r="CA7" s="17"/>
      <c r="CB7" s="17"/>
      <c r="CC7" s="17"/>
      <c r="CD7" s="17"/>
      <c r="CE7" s="17"/>
      <c r="CF7" s="17"/>
      <c r="CG7" s="17"/>
      <c r="CH7" s="17"/>
      <c r="CI7" s="17"/>
      <c r="CJ7" s="17"/>
      <c r="CK7" s="17"/>
      <c r="CL7" s="17"/>
      <c r="CM7" s="17"/>
      <c r="CN7" s="17"/>
      <c r="CO7" s="17"/>
      <c r="CP7" s="17"/>
      <c r="CQ7" s="17"/>
      <c r="CR7" s="17"/>
      <c r="CS7" s="17"/>
      <c r="CT7" s="17"/>
      <c r="CU7" s="17"/>
      <c r="CV7" s="17"/>
      <c r="CW7" s="17"/>
      <c r="CX7" s="17"/>
      <c r="CY7" s="17"/>
      <c r="CZ7" s="17"/>
      <c r="DA7" s="17"/>
    </row>
    <row r="8" spans="1:105">
      <c r="A8" s="45" t="str">
        <f>M_Weight!C8</f>
        <v>Exterior Lighting: Parking Lot - HPS 250W - New</v>
      </c>
      <c r="B8" s="45" t="str">
        <f>M_Weight!D8</f>
        <v>Exterior Lighting: Parking Lot - HPS 250W to LED 135W - New</v>
      </c>
      <c r="C8" s="45">
        <f>M_Weight!E8</f>
        <v>130.19651169604927</v>
      </c>
      <c r="D8" s="45">
        <f>M_Weight!F8</f>
        <v>11.627906976744185</v>
      </c>
      <c r="E8" s="45">
        <f>M_Weight!G8</f>
        <v>14.537319798098604</v>
      </c>
      <c r="F8" s="48"/>
      <c r="G8" s="45" t="str">
        <f>M_Weight!I8</f>
        <v>S-All-Lgt-Streetlight-All-All-U</v>
      </c>
      <c r="H8" s="47"/>
      <c r="I8" s="45">
        <f>M_Weight!K8</f>
        <v>-4.5237213251787889</v>
      </c>
      <c r="J8" s="45">
        <f>M_Weight!L8</f>
        <v>5.5813953488372094</v>
      </c>
      <c r="K8" s="47"/>
      <c r="L8" s="47"/>
      <c r="M8" s="47"/>
      <c r="N8" s="47"/>
      <c r="O8" s="24"/>
      <c r="P8" s="50"/>
      <c r="Q8" s="51" t="str">
        <f>'Savings and Cost Analysis'!BW13</f>
        <v>L</v>
      </c>
      <c r="R8" s="47"/>
      <c r="S8" s="47"/>
      <c r="T8" s="47"/>
      <c r="U8" s="44"/>
      <c r="V8" s="44"/>
      <c r="W8" s="44"/>
      <c r="X8" s="44"/>
      <c r="Y8" s="44"/>
      <c r="Z8" s="44"/>
      <c r="AA8" s="44"/>
      <c r="AB8" s="44"/>
      <c r="AC8" s="44"/>
      <c r="AD8" s="44"/>
      <c r="AE8" s="37"/>
      <c r="AF8" s="37"/>
      <c r="AG8" s="37"/>
      <c r="AH8" s="37"/>
      <c r="AI8" s="37"/>
      <c r="AJ8" s="37"/>
      <c r="AK8" s="37"/>
      <c r="AL8" s="37"/>
      <c r="AM8" s="37"/>
      <c r="AN8" s="37"/>
      <c r="AO8" s="37"/>
      <c r="AP8" s="21"/>
      <c r="AQ8" s="21"/>
      <c r="AR8" s="21"/>
      <c r="AS8" s="21"/>
      <c r="AT8" s="21"/>
      <c r="AU8" s="21"/>
      <c r="AV8" s="21"/>
      <c r="AW8" s="21"/>
      <c r="AX8" s="21"/>
      <c r="AY8" s="21"/>
      <c r="AZ8" s="21"/>
      <c r="BA8" s="21"/>
      <c r="BB8" s="21"/>
      <c r="BC8" s="21"/>
      <c r="BD8" s="21"/>
      <c r="BE8" s="21"/>
      <c r="BF8" s="21"/>
      <c r="BG8" s="21"/>
      <c r="BH8" s="21"/>
      <c r="BI8" s="21"/>
      <c r="BJ8" s="21"/>
      <c r="BK8" s="21"/>
      <c r="BL8" s="21"/>
      <c r="BM8" s="21"/>
      <c r="BN8" s="21"/>
      <c r="BO8" s="21"/>
      <c r="BP8" s="21"/>
      <c r="BQ8" s="21"/>
      <c r="BR8" s="21"/>
      <c r="BS8" s="21"/>
      <c r="BT8" s="21"/>
      <c r="BU8" s="21"/>
      <c r="BV8" s="21"/>
      <c r="BW8" s="21"/>
      <c r="BX8" s="21"/>
      <c r="BY8" s="21"/>
      <c r="BZ8" s="21"/>
      <c r="CA8" s="21"/>
      <c r="CB8" s="21"/>
      <c r="CC8" s="21"/>
      <c r="CD8" s="21"/>
      <c r="CE8" s="21"/>
      <c r="CF8" s="21"/>
      <c r="CG8" s="21"/>
      <c r="CH8" s="21"/>
      <c r="CI8" s="21"/>
      <c r="CJ8" s="21"/>
      <c r="CK8" s="21"/>
      <c r="CL8" s="21"/>
      <c r="CM8" s="21"/>
      <c r="CN8" s="21"/>
      <c r="CO8" s="21"/>
      <c r="CP8" s="21"/>
      <c r="CQ8" s="21"/>
      <c r="CR8" s="21"/>
      <c r="CS8" s="21"/>
      <c r="CT8" s="21"/>
      <c r="CU8" s="21"/>
      <c r="CV8" s="21"/>
      <c r="CW8" s="21"/>
      <c r="CX8" s="21"/>
      <c r="CY8" s="21"/>
      <c r="CZ8" s="21"/>
      <c r="DA8" s="21"/>
    </row>
    <row r="9" spans="1:105">
      <c r="A9" s="45" t="str">
        <f>M_Weight!C9</f>
        <v>Exterior Lighting: Parking Lot - MH 400W - New</v>
      </c>
      <c r="B9" s="45" t="str">
        <f>M_Weight!D9</f>
        <v>Exterior Lighting: Parking Lot - MH 400W to LED 180W - New</v>
      </c>
      <c r="C9" s="45">
        <f>M_Weight!E9</f>
        <v>51.403081848075573</v>
      </c>
      <c r="D9" s="45">
        <f>M_Weight!F9</f>
        <v>11.627906976744185</v>
      </c>
      <c r="E9" s="45">
        <f>M_Weight!G9</f>
        <v>5.3072521232113603</v>
      </c>
      <c r="F9" s="48"/>
      <c r="G9" s="45" t="str">
        <f>M_Weight!I9</f>
        <v>S-All-Lgt-Streetlight-All-All-U</v>
      </c>
      <c r="H9" s="24"/>
      <c r="I9" s="45">
        <f>M_Weight!K9</f>
        <v>-1.141786060834624</v>
      </c>
      <c r="J9" s="45">
        <f>M_Weight!L9</f>
        <v>3.7209302325581395</v>
      </c>
      <c r="K9" s="24"/>
      <c r="L9" s="24"/>
      <c r="M9" s="24"/>
      <c r="N9" s="24"/>
      <c r="O9" s="24"/>
      <c r="P9" s="50"/>
      <c r="Q9" s="51" t="str">
        <f>'Savings and Cost Analysis'!BW14</f>
        <v>L</v>
      </c>
      <c r="R9" s="24"/>
      <c r="S9" s="24"/>
      <c r="T9" s="24"/>
      <c r="U9" s="24"/>
      <c r="V9" s="24"/>
      <c r="W9" s="24"/>
      <c r="X9" s="24"/>
      <c r="Y9" s="24"/>
      <c r="Z9" s="24"/>
      <c r="AA9" s="24"/>
      <c r="AB9" s="24"/>
      <c r="AC9" s="24"/>
      <c r="AD9" s="24"/>
      <c r="AE9" s="24"/>
      <c r="AF9" s="24"/>
      <c r="AG9" s="24"/>
      <c r="AH9" s="24"/>
      <c r="AI9" s="24"/>
      <c r="AJ9" s="24"/>
      <c r="AK9" s="24"/>
      <c r="AL9" s="24"/>
      <c r="AM9" s="24"/>
      <c r="AN9" s="24"/>
      <c r="AO9" s="24"/>
      <c r="AP9" s="24"/>
      <c r="AQ9" s="24"/>
      <c r="AR9" s="24"/>
      <c r="AS9" s="24"/>
      <c r="AT9" s="24"/>
      <c r="AU9" s="24"/>
      <c r="AV9" s="24"/>
      <c r="AW9" s="24"/>
      <c r="AX9" s="24"/>
      <c r="AY9" s="24"/>
      <c r="AZ9" s="24"/>
      <c r="BA9" s="24"/>
      <c r="BB9" s="24"/>
      <c r="BC9" s="24"/>
      <c r="BD9" s="24"/>
      <c r="BE9" s="24"/>
      <c r="BF9" s="24"/>
      <c r="BG9" s="24"/>
      <c r="BH9" s="24"/>
      <c r="BI9" s="24"/>
      <c r="BJ9" s="24"/>
      <c r="BK9" s="24"/>
      <c r="BL9" s="24"/>
      <c r="BM9" s="24"/>
      <c r="BN9" s="24"/>
      <c r="BO9" s="24"/>
      <c r="BP9" s="24"/>
      <c r="BQ9" s="24"/>
      <c r="BR9" s="24"/>
      <c r="BS9" s="24"/>
      <c r="BT9" s="24"/>
      <c r="BU9" s="24"/>
      <c r="BV9" s="24"/>
      <c r="BW9" s="24"/>
      <c r="BX9" s="24"/>
      <c r="BY9" s="24"/>
      <c r="BZ9" s="24"/>
      <c r="CA9" s="24"/>
      <c r="CB9" s="24"/>
      <c r="CC9" s="24"/>
      <c r="CD9" s="24"/>
      <c r="CE9" s="24"/>
      <c r="CF9" s="24"/>
      <c r="CG9" s="24"/>
      <c r="CH9" s="24"/>
      <c r="CI9" s="24"/>
      <c r="CJ9" s="24"/>
      <c r="CK9" s="24"/>
      <c r="CL9" s="24"/>
      <c r="CM9" s="24"/>
      <c r="CN9" s="24"/>
      <c r="CO9" s="24"/>
      <c r="CP9" s="24"/>
      <c r="CQ9" s="24"/>
      <c r="CR9" s="24"/>
      <c r="CS9" s="24"/>
      <c r="CT9" s="24"/>
      <c r="CU9" s="24"/>
      <c r="CV9" s="24"/>
      <c r="CW9" s="24"/>
      <c r="CX9" s="24"/>
      <c r="CY9" s="24"/>
      <c r="CZ9" s="24"/>
      <c r="DA9" s="24"/>
    </row>
    <row r="10" spans="1:105">
      <c r="A10" s="45" t="str">
        <f>M_Weight!C10</f>
        <v>Exterior Lighting: Parking Lot - MH 1000W - New</v>
      </c>
      <c r="B10" s="45" t="str">
        <f>M_Weight!D10</f>
        <v>Exterior Lighting: Parking Lot - MH 1000W to LED 421W - New</v>
      </c>
      <c r="C10" s="45">
        <f>M_Weight!E10</f>
        <v>6.2518603404583653</v>
      </c>
      <c r="D10" s="45">
        <f>M_Weight!F10</f>
        <v>11.627906976744185</v>
      </c>
      <c r="E10" s="45">
        <f>M_Weight!G10</f>
        <v>1.0527185054529571</v>
      </c>
      <c r="F10" s="48"/>
      <c r="G10" s="45" t="str">
        <f>M_Weight!I10</f>
        <v>S-All-Lgt-Streetlight-All-All-U</v>
      </c>
      <c r="H10" s="24"/>
      <c r="I10" s="45">
        <f>M_Weight!K10</f>
        <v>-6.1004855239842989E-2</v>
      </c>
      <c r="J10" s="45">
        <f>M_Weight!L10</f>
        <v>3.7209302325581395</v>
      </c>
      <c r="K10" s="24"/>
      <c r="L10" s="24"/>
      <c r="M10" s="24"/>
      <c r="N10" s="24"/>
      <c r="O10" s="24"/>
      <c r="P10" s="50"/>
      <c r="Q10" s="51" t="str">
        <f>'Savings and Cost Analysis'!BW15</f>
        <v>L</v>
      </c>
      <c r="R10" s="24"/>
      <c r="S10" s="24"/>
      <c r="T10" s="24"/>
      <c r="U10" s="24"/>
      <c r="V10" s="24"/>
      <c r="W10" s="24"/>
      <c r="X10" s="24"/>
      <c r="Y10" s="24"/>
      <c r="Z10" s="24"/>
      <c r="AA10" s="24"/>
      <c r="AB10" s="24"/>
      <c r="AC10" s="24"/>
      <c r="AD10" s="24"/>
      <c r="AE10" s="24"/>
      <c r="AF10" s="24"/>
      <c r="AG10" s="24"/>
      <c r="AH10" s="24"/>
      <c r="AI10" s="24"/>
      <c r="AJ10" s="24"/>
      <c r="AK10" s="24"/>
      <c r="AL10" s="24"/>
      <c r="AM10" s="24"/>
      <c r="AN10" s="24"/>
      <c r="AO10" s="24"/>
      <c r="AP10" s="24"/>
      <c r="AQ10" s="24"/>
      <c r="AR10" s="24"/>
      <c r="AS10" s="24"/>
      <c r="AT10" s="24"/>
      <c r="AU10" s="24"/>
      <c r="AV10" s="24"/>
      <c r="AW10" s="24"/>
      <c r="AX10" s="24"/>
      <c r="AY10" s="24"/>
      <c r="AZ10" s="24"/>
      <c r="BA10" s="24"/>
      <c r="BB10" s="24"/>
      <c r="BC10" s="24"/>
      <c r="BD10" s="24"/>
      <c r="BE10" s="24"/>
      <c r="BF10" s="24"/>
      <c r="BG10" s="24"/>
      <c r="BH10" s="24"/>
      <c r="BI10" s="24"/>
      <c r="BJ10" s="24"/>
      <c r="BK10" s="24"/>
      <c r="BL10" s="24"/>
      <c r="BM10" s="24"/>
      <c r="BN10" s="24"/>
      <c r="BO10" s="24"/>
      <c r="BP10" s="24"/>
      <c r="BQ10" s="24"/>
      <c r="BR10" s="24"/>
      <c r="BS10" s="24"/>
      <c r="BT10" s="24"/>
      <c r="BU10" s="24"/>
      <c r="BV10" s="24"/>
      <c r="BW10" s="24"/>
      <c r="BX10" s="24"/>
      <c r="BY10" s="24"/>
      <c r="BZ10" s="24"/>
      <c r="CA10" s="24"/>
      <c r="CB10" s="24"/>
      <c r="CC10" s="24"/>
      <c r="CD10" s="24"/>
      <c r="CE10" s="24"/>
      <c r="CF10" s="24"/>
      <c r="CG10" s="24"/>
      <c r="CH10" s="24"/>
      <c r="CI10" s="24"/>
      <c r="CJ10" s="24"/>
      <c r="CK10" s="24"/>
      <c r="CL10" s="24"/>
      <c r="CM10" s="24"/>
      <c r="CN10" s="24"/>
      <c r="CO10" s="24"/>
      <c r="CP10" s="24"/>
      <c r="CQ10" s="24"/>
      <c r="CR10" s="24"/>
      <c r="CS10" s="24"/>
      <c r="CT10" s="24"/>
      <c r="CU10" s="24"/>
      <c r="CV10" s="24"/>
      <c r="CW10" s="24"/>
      <c r="CX10" s="24"/>
      <c r="CY10" s="24"/>
      <c r="CZ10" s="24"/>
      <c r="DA10" s="24"/>
    </row>
    <row r="11" spans="1:105">
      <c r="A11" s="45" t="str">
        <f>M_Weight!C11</f>
        <v>Exterior Lighting: Parking Lot - HPS 250W - NR</v>
      </c>
      <c r="B11" s="45" t="str">
        <f>M_Weight!D11</f>
        <v>Exterior Lighting: Parking Lot - HPS 250W to LED 135W - NR</v>
      </c>
      <c r="C11" s="45">
        <f>M_Weight!E11</f>
        <v>130.19651169604927</v>
      </c>
      <c r="D11" s="45">
        <f>M_Weight!F11</f>
        <v>11.627906976744185</v>
      </c>
      <c r="E11" s="45">
        <f>M_Weight!G11</f>
        <v>45.543781319840186</v>
      </c>
      <c r="F11" s="24"/>
      <c r="G11" s="45" t="str">
        <f>M_Weight!I11</f>
        <v>S-All-Lgt-Streetlight-All-All-U</v>
      </c>
      <c r="H11" s="24"/>
      <c r="I11" s="45">
        <f>M_Weight!K11</f>
        <v>-4.5237213251787889</v>
      </c>
      <c r="J11" s="45">
        <f>M_Weight!L11</f>
        <v>5.5813953488372094</v>
      </c>
      <c r="K11" s="24"/>
      <c r="L11" s="24"/>
      <c r="M11" s="24"/>
      <c r="N11" s="24"/>
      <c r="O11" s="24"/>
      <c r="P11" s="24"/>
      <c r="Q11" s="51" t="str">
        <f>'Savings and Cost Analysis'!BW16</f>
        <v>L</v>
      </c>
      <c r="R11" s="24"/>
      <c r="S11" s="24"/>
      <c r="T11" s="24"/>
      <c r="U11" s="24"/>
      <c r="V11" s="24"/>
      <c r="W11" s="24"/>
      <c r="X11" s="24"/>
      <c r="Y11" s="24"/>
      <c r="Z11" s="24"/>
      <c r="AA11" s="24"/>
      <c r="AB11" s="24"/>
      <c r="AC11" s="24"/>
      <c r="AD11" s="24"/>
      <c r="AE11" s="24"/>
      <c r="AF11" s="24"/>
      <c r="AG11" s="24"/>
      <c r="AH11" s="24"/>
      <c r="AI11" s="24"/>
      <c r="AJ11" s="24"/>
      <c r="AK11" s="24"/>
      <c r="AL11" s="24"/>
      <c r="AM11" s="24"/>
      <c r="AN11" s="24"/>
      <c r="AO11" s="24"/>
      <c r="AP11" s="24"/>
      <c r="AQ11" s="24"/>
      <c r="AR11" s="24"/>
      <c r="AS11" s="24"/>
      <c r="AT11" s="24"/>
      <c r="AU11" s="24"/>
      <c r="AV11" s="24"/>
      <c r="AW11" s="24"/>
      <c r="AX11" s="24"/>
      <c r="AY11" s="24"/>
      <c r="AZ11" s="24"/>
      <c r="BA11" s="24"/>
      <c r="BB11" s="24"/>
      <c r="BC11" s="24"/>
      <c r="BD11" s="24"/>
      <c r="BE11" s="24"/>
      <c r="BF11" s="24"/>
      <c r="BG11" s="24"/>
      <c r="BH11" s="24"/>
      <c r="BI11" s="24"/>
      <c r="BJ11" s="24"/>
      <c r="BK11" s="24"/>
      <c r="BL11" s="24"/>
      <c r="BM11" s="24"/>
      <c r="BN11" s="24"/>
      <c r="BO11" s="24"/>
      <c r="BP11" s="24"/>
      <c r="BQ11" s="24"/>
      <c r="BR11" s="24"/>
      <c r="BS11" s="24"/>
      <c r="BT11" s="24"/>
      <c r="BU11" s="24"/>
      <c r="BV11" s="24"/>
      <c r="BW11" s="24"/>
      <c r="BX11" s="24"/>
      <c r="BY11" s="24"/>
      <c r="BZ11" s="24"/>
      <c r="CA11" s="24"/>
      <c r="CB11" s="24"/>
      <c r="CC11" s="24"/>
      <c r="CD11" s="24"/>
      <c r="CE11" s="24"/>
      <c r="CF11" s="24"/>
      <c r="CG11" s="24"/>
      <c r="CH11" s="24"/>
      <c r="CI11" s="24"/>
      <c r="CJ11" s="24"/>
      <c r="CK11" s="24"/>
      <c r="CL11" s="24"/>
      <c r="CM11" s="24"/>
      <c r="CN11" s="24"/>
      <c r="CO11" s="24"/>
      <c r="CP11" s="24"/>
      <c r="CQ11" s="24"/>
      <c r="CR11" s="24"/>
      <c r="CS11" s="24"/>
      <c r="CT11" s="24"/>
      <c r="CU11" s="24"/>
      <c r="CV11" s="24"/>
      <c r="CW11" s="24"/>
      <c r="CX11" s="24"/>
      <c r="CY11" s="24"/>
      <c r="CZ11" s="24"/>
      <c r="DA11" s="24"/>
    </row>
    <row r="12" spans="1:105">
      <c r="A12" s="45" t="str">
        <f>M_Weight!C12</f>
        <v>Exterior Lighting: Parking Lot - MH 400W - NR</v>
      </c>
      <c r="B12" s="45" t="str">
        <f>M_Weight!D12</f>
        <v>Exterior Lighting: Parking Lot - MH 400W to LED 180W - NR</v>
      </c>
      <c r="C12" s="45">
        <f>M_Weight!E12</f>
        <v>51.403081848075573</v>
      </c>
      <c r="D12" s="45">
        <f>M_Weight!F12</f>
        <v>11.627906976744185</v>
      </c>
      <c r="E12" s="45">
        <f>M_Weight!G12</f>
        <v>13.388193469372712</v>
      </c>
      <c r="F12" s="24"/>
      <c r="G12" s="45" t="str">
        <f>M_Weight!I12</f>
        <v>S-All-Lgt-Streetlight-All-All-U</v>
      </c>
      <c r="H12" s="24"/>
      <c r="I12" s="45">
        <f>M_Weight!K12</f>
        <v>-1.141786060834624</v>
      </c>
      <c r="J12" s="45">
        <f>M_Weight!L12</f>
        <v>3.7209302325581395</v>
      </c>
      <c r="K12" s="24"/>
      <c r="L12" s="24"/>
      <c r="M12" s="24"/>
      <c r="N12" s="24"/>
      <c r="O12" s="24"/>
      <c r="P12" s="24"/>
      <c r="Q12" s="51" t="str">
        <f>'Savings and Cost Analysis'!BW17</f>
        <v>L</v>
      </c>
      <c r="R12" s="24"/>
      <c r="S12" s="24"/>
      <c r="T12" s="24"/>
      <c r="U12" s="24"/>
      <c r="V12" s="24"/>
      <c r="W12" s="24"/>
      <c r="X12" s="24"/>
      <c r="Y12" s="24"/>
      <c r="Z12" s="24"/>
      <c r="AA12" s="24"/>
      <c r="AB12" s="24"/>
      <c r="AC12" s="24"/>
      <c r="AD12" s="24"/>
      <c r="AE12" s="24"/>
      <c r="AF12" s="24"/>
      <c r="AG12" s="24"/>
      <c r="AH12" s="24"/>
      <c r="AI12" s="24"/>
      <c r="AJ12" s="24"/>
      <c r="AK12" s="24"/>
      <c r="AL12" s="24"/>
      <c r="AM12" s="24"/>
      <c r="AN12" s="24"/>
      <c r="AO12" s="24"/>
      <c r="AP12" s="24"/>
      <c r="AQ12" s="24"/>
      <c r="AR12" s="24"/>
      <c r="AS12" s="24"/>
      <c r="AT12" s="24"/>
      <c r="AU12" s="24"/>
      <c r="AV12" s="24"/>
      <c r="AW12" s="24"/>
      <c r="AX12" s="24"/>
      <c r="AY12" s="24"/>
      <c r="AZ12" s="24"/>
      <c r="BA12" s="24"/>
      <c r="BB12" s="24"/>
      <c r="BC12" s="24"/>
      <c r="BD12" s="24"/>
      <c r="BE12" s="24"/>
      <c r="BF12" s="24"/>
      <c r="BG12" s="24"/>
      <c r="BH12" s="24"/>
      <c r="BI12" s="24"/>
      <c r="BJ12" s="24"/>
      <c r="BK12" s="24"/>
      <c r="BL12" s="24"/>
      <c r="BM12" s="24"/>
      <c r="BN12" s="24"/>
      <c r="BO12" s="24"/>
      <c r="BP12" s="24"/>
      <c r="BQ12" s="24"/>
      <c r="BR12" s="24"/>
      <c r="BS12" s="24"/>
      <c r="BT12" s="24"/>
      <c r="BU12" s="24"/>
      <c r="BV12" s="24"/>
      <c r="BW12" s="24"/>
      <c r="BX12" s="24"/>
      <c r="BY12" s="24"/>
      <c r="BZ12" s="24"/>
      <c r="CA12" s="24"/>
      <c r="CB12" s="24"/>
      <c r="CC12" s="24"/>
      <c r="CD12" s="24"/>
      <c r="CE12" s="24"/>
      <c r="CF12" s="24"/>
      <c r="CG12" s="24"/>
      <c r="CH12" s="24"/>
      <c r="CI12" s="24"/>
      <c r="CJ12" s="24"/>
      <c r="CK12" s="24"/>
      <c r="CL12" s="24"/>
      <c r="CM12" s="24"/>
      <c r="CN12" s="24"/>
      <c r="CO12" s="24"/>
      <c r="CP12" s="24"/>
      <c r="CQ12" s="24"/>
      <c r="CR12" s="24"/>
      <c r="CS12" s="24"/>
      <c r="CT12" s="24"/>
      <c r="CU12" s="24"/>
      <c r="CV12" s="24"/>
      <c r="CW12" s="24"/>
      <c r="CX12" s="24"/>
      <c r="CY12" s="24"/>
      <c r="CZ12" s="24"/>
      <c r="DA12" s="24"/>
    </row>
    <row r="13" spans="1:105">
      <c r="A13" s="45" t="str">
        <f>M_Weight!C13</f>
        <v>Exterior Lighting: Parking Lot - MH 1000W - NR</v>
      </c>
      <c r="B13" s="45" t="str">
        <f>M_Weight!D13</f>
        <v>Exterior Lighting: Parking Lot - MH 1000W to LED 421W - NR</v>
      </c>
      <c r="C13" s="45">
        <f>M_Weight!E13</f>
        <v>6.2518603404583653</v>
      </c>
      <c r="D13" s="45">
        <f>M_Weight!F13</f>
        <v>11.627906976744185</v>
      </c>
      <c r="E13" s="45">
        <f>M_Weight!G13</f>
        <v>1.947148610061336</v>
      </c>
      <c r="F13" s="24"/>
      <c r="G13" s="45" t="str">
        <f>M_Weight!I13</f>
        <v>S-All-Lgt-Streetlight-All-All-U</v>
      </c>
      <c r="H13" s="24"/>
      <c r="I13" s="45">
        <f>M_Weight!K13</f>
        <v>-6.1004855239842989E-2</v>
      </c>
      <c r="J13" s="45">
        <f>M_Weight!L13</f>
        <v>3.7209302325581395</v>
      </c>
      <c r="K13" s="24"/>
      <c r="L13" s="24"/>
      <c r="M13" s="24"/>
      <c r="N13" s="24"/>
      <c r="O13" s="24"/>
      <c r="P13" s="24"/>
      <c r="Q13" s="51" t="str">
        <f>'Savings and Cost Analysis'!BW18</f>
        <v>L</v>
      </c>
      <c r="R13" s="24"/>
      <c r="S13" s="24"/>
      <c r="T13" s="24"/>
      <c r="U13" s="24"/>
      <c r="V13" s="24"/>
      <c r="W13" s="24"/>
      <c r="X13" s="24"/>
      <c r="Y13" s="24"/>
      <c r="Z13" s="24"/>
      <c r="AA13" s="24"/>
      <c r="AB13" s="24"/>
      <c r="AC13" s="24"/>
      <c r="AD13" s="24"/>
      <c r="AE13" s="24"/>
      <c r="AF13" s="24"/>
      <c r="AG13" s="24"/>
      <c r="AH13" s="24"/>
      <c r="AI13" s="24"/>
      <c r="AJ13" s="24"/>
      <c r="AK13" s="24"/>
      <c r="AL13" s="24"/>
      <c r="AM13" s="24"/>
      <c r="AN13" s="24"/>
      <c r="AO13" s="24"/>
      <c r="AP13" s="24"/>
      <c r="AQ13" s="24"/>
      <c r="AR13" s="24"/>
      <c r="AS13" s="24"/>
      <c r="AT13" s="24"/>
      <c r="AU13" s="24"/>
      <c r="AV13" s="24"/>
      <c r="AW13" s="24"/>
      <c r="AX13" s="24"/>
      <c r="AY13" s="24"/>
      <c r="AZ13" s="24"/>
      <c r="BA13" s="24"/>
      <c r="BB13" s="24"/>
      <c r="BC13" s="24"/>
      <c r="BD13" s="24"/>
      <c r="BE13" s="24"/>
      <c r="BF13" s="24"/>
      <c r="BG13" s="24"/>
      <c r="BH13" s="24"/>
      <c r="BI13" s="24"/>
      <c r="BJ13" s="24"/>
      <c r="BK13" s="24"/>
      <c r="BL13" s="24"/>
      <c r="BM13" s="24"/>
      <c r="BN13" s="24"/>
      <c r="BO13" s="24"/>
      <c r="BP13" s="24"/>
      <c r="BQ13" s="24"/>
      <c r="BR13" s="24"/>
      <c r="BS13" s="24"/>
      <c r="BT13" s="24"/>
      <c r="BU13" s="24"/>
      <c r="BV13" s="24"/>
      <c r="BW13" s="24"/>
      <c r="BX13" s="24"/>
      <c r="BY13" s="24"/>
      <c r="BZ13" s="24"/>
      <c r="CA13" s="24"/>
      <c r="CB13" s="24"/>
      <c r="CC13" s="24"/>
      <c r="CD13" s="24"/>
      <c r="CE13" s="24"/>
      <c r="CF13" s="24"/>
      <c r="CG13" s="24"/>
      <c r="CH13" s="24"/>
      <c r="CI13" s="24"/>
      <c r="CJ13" s="24"/>
      <c r="CK13" s="24"/>
      <c r="CL13" s="24"/>
      <c r="CM13" s="24"/>
      <c r="CN13" s="24"/>
      <c r="CO13" s="24"/>
      <c r="CP13" s="24"/>
      <c r="CQ13" s="24"/>
      <c r="CR13" s="24"/>
      <c r="CS13" s="24"/>
      <c r="CT13" s="24"/>
      <c r="CU13" s="24"/>
      <c r="CV13" s="24"/>
      <c r="CW13" s="24"/>
      <c r="CX13" s="24"/>
      <c r="CY13" s="24"/>
      <c r="CZ13" s="24"/>
      <c r="DA13" s="24"/>
    </row>
    <row r="14" spans="1:105">
      <c r="A14" s="45" t="str">
        <f>M_Weight!C14</f>
        <v>Exterior Lighting: Parking Lot - HPS 250W - Retro</v>
      </c>
      <c r="B14" s="45" t="str">
        <f>M_Weight!D14</f>
        <v>Exterior Lighting: Parking Lot - HPS 250W to LED 135W - Retro</v>
      </c>
      <c r="C14" s="45">
        <f>M_Weight!E14</f>
        <v>130.19651169604927</v>
      </c>
      <c r="D14" s="45">
        <f>M_Weight!F14</f>
        <v>11.627906976744185</v>
      </c>
      <c r="E14" s="45">
        <f>M_Weight!G14</f>
        <v>50.067502645018976</v>
      </c>
      <c r="G14" s="45" t="str">
        <f>M_Weight!I14</f>
        <v>S-All-Lgt-Streetlight-All-All-U</v>
      </c>
      <c r="I14" s="45">
        <f>M_Weight!K14</f>
        <v>-4.5237213251787889</v>
      </c>
      <c r="J14" s="45">
        <f>M_Weight!L14</f>
        <v>5.5813953488372094</v>
      </c>
      <c r="Q14" s="51" t="str">
        <f>'Savings and Cost Analysis'!BW19</f>
        <v>R</v>
      </c>
    </row>
    <row r="15" spans="1:105">
      <c r="A15" s="45" t="str">
        <f>M_Weight!C15</f>
        <v>Exterior Lighting: Parking Lot - MH 400W - Retro</v>
      </c>
      <c r="B15" s="45" t="str">
        <f>M_Weight!D15</f>
        <v>Exterior Lighting: Parking Lot - MH 400W to LED 180W - Retro</v>
      </c>
      <c r="C15" s="45">
        <f>M_Weight!E15</f>
        <v>51.403081848075573</v>
      </c>
      <c r="D15" s="45">
        <f>M_Weight!F15</f>
        <v>11.627906976744185</v>
      </c>
      <c r="E15" s="45">
        <f>M_Weight!G15</f>
        <v>14.529979530207335</v>
      </c>
      <c r="G15" s="45" t="str">
        <f>M_Weight!I15</f>
        <v>S-All-Lgt-Streetlight-All-All-U</v>
      </c>
      <c r="I15" s="45">
        <f>M_Weight!K15</f>
        <v>-1.141786060834624</v>
      </c>
      <c r="J15" s="45">
        <f>M_Weight!L15</f>
        <v>3.7209302325581395</v>
      </c>
      <c r="Q15" s="51" t="str">
        <f>'Savings and Cost Analysis'!BW20</f>
        <v>R</v>
      </c>
    </row>
    <row r="16" spans="1:105">
      <c r="A16" s="45" t="str">
        <f>M_Weight!C16</f>
        <v>Exterior Lighting: Parking Lot - MH 1000W - Retro</v>
      </c>
      <c r="B16" s="45" t="str">
        <f>M_Weight!D16</f>
        <v>Exterior Lighting: Parking Lot - MH 1000W to LED 421W - Retro</v>
      </c>
      <c r="C16" s="45">
        <f>M_Weight!E16</f>
        <v>6.2518603404583653</v>
      </c>
      <c r="D16" s="45">
        <f>M_Weight!F16</f>
        <v>11.627906976744185</v>
      </c>
      <c r="E16" s="45">
        <f>M_Weight!G16</f>
        <v>2.008153465301179</v>
      </c>
      <c r="G16" s="45" t="str">
        <f>M_Weight!I16</f>
        <v>S-All-Lgt-Streetlight-All-All-U</v>
      </c>
      <c r="I16" s="45">
        <f>M_Weight!K16</f>
        <v>-6.1004855239842989E-2</v>
      </c>
      <c r="J16" s="45">
        <f>M_Weight!L16</f>
        <v>3.7209302325581395</v>
      </c>
      <c r="Q16" s="51" t="str">
        <f>'Savings and Cost Analysis'!BW21</f>
        <v>R</v>
      </c>
    </row>
    <row r="17" spans="1:17">
      <c r="A17" s="45" t="str">
        <f>M_Weight!C17</f>
        <v>Exterior Lighting: Façade - HID 150W - New</v>
      </c>
      <c r="B17" s="45" t="str">
        <f>M_Weight!D17</f>
        <v>Exterior Lighting: Façade - HID 150W to LED 27W - New</v>
      </c>
      <c r="C17" s="45">
        <f>M_Weight!E17</f>
        <v>66.935750455655011</v>
      </c>
      <c r="D17" s="45">
        <f>M_Weight!F17</f>
        <v>16.279069767441861</v>
      </c>
      <c r="E17" s="45">
        <f>M_Weight!G17</f>
        <v>0.75267609869364605</v>
      </c>
      <c r="G17" s="45" t="str">
        <f>M_Weight!I17</f>
        <v>S-All-Lgt-Streetlight-All-All-U</v>
      </c>
      <c r="I17" s="45">
        <f>M_Weight!K17</f>
        <v>-4.3120382329557554</v>
      </c>
      <c r="J17" s="45">
        <f>M_Weight!L17</f>
        <v>5.5813953488372094</v>
      </c>
      <c r="Q17" s="51" t="str">
        <f>'Savings and Cost Analysis'!BW22</f>
        <v>L</v>
      </c>
    </row>
    <row r="18" spans="1:17">
      <c r="A18" s="45" t="str">
        <f>M_Weight!C18</f>
        <v>Exterior Lighting: Façade - HID 400W - New</v>
      </c>
      <c r="B18" s="45" t="str">
        <f>M_Weight!D18</f>
        <v>Exterior Lighting: Façade - HID 400W to LED 82W - New</v>
      </c>
      <c r="C18" s="45">
        <f>M_Weight!E18</f>
        <v>28.880984703126135</v>
      </c>
      <c r="D18" s="45">
        <f>M_Weight!F18</f>
        <v>16.279069767441861</v>
      </c>
      <c r="E18" s="45">
        <f>M_Weight!G18</f>
        <v>0.93212841418794667</v>
      </c>
      <c r="G18" s="45" t="str">
        <f>M_Weight!I18</f>
        <v>S-All-Lgt-Streetlight-All-All-U</v>
      </c>
      <c r="I18" s="45">
        <f>M_Weight!K18</f>
        <v>-0.70569423195622161</v>
      </c>
      <c r="J18" s="45">
        <f>M_Weight!L18</f>
        <v>3.7209302325581395</v>
      </c>
      <c r="Q18" s="51" t="str">
        <f>'Savings and Cost Analysis'!BW23</f>
        <v>L</v>
      </c>
    </row>
    <row r="19" spans="1:17">
      <c r="A19" s="45" t="str">
        <f>M_Weight!C19</f>
        <v>Exterior Lighting: Façade - HID 150W - NR</v>
      </c>
      <c r="B19" s="45" t="str">
        <f>M_Weight!D19</f>
        <v>Exterior Lighting: Façade - HID 150W to LED 27W - NR</v>
      </c>
      <c r="C19" s="45">
        <f>M_Weight!E19</f>
        <v>66.935750455655011</v>
      </c>
      <c r="D19" s="45">
        <f>M_Weight!F19</f>
        <v>16.279069767441861</v>
      </c>
      <c r="E19" s="45">
        <f>M_Weight!G19</f>
        <v>19.271398161973615</v>
      </c>
      <c r="G19" s="45" t="str">
        <f>M_Weight!I19</f>
        <v>S-All-Lgt-Streetlight-All-All-U</v>
      </c>
      <c r="I19" s="45">
        <f>M_Weight!K19</f>
        <v>-4.3120382329557554</v>
      </c>
      <c r="J19" s="45">
        <f>M_Weight!L19</f>
        <v>5.5813953488372094</v>
      </c>
      <c r="Q19" s="51" t="str">
        <f>'Savings and Cost Analysis'!BW24</f>
        <v>L</v>
      </c>
    </row>
    <row r="20" spans="1:17">
      <c r="A20" s="45" t="str">
        <f>M_Weight!C20</f>
        <v>Exterior Lighting: Façade - HID 400W - NR</v>
      </c>
      <c r="B20" s="45" t="str">
        <f>M_Weight!D20</f>
        <v>Exterior Lighting: Façade - HID 400W to LED 82W - NR</v>
      </c>
      <c r="C20" s="45">
        <f>M_Weight!E20</f>
        <v>28.880984703126135</v>
      </c>
      <c r="D20" s="45">
        <f>M_Weight!F20</f>
        <v>16.279069767441861</v>
      </c>
      <c r="E20" s="45">
        <f>M_Weight!G20</f>
        <v>5.9720678877064044</v>
      </c>
      <c r="G20" s="45" t="str">
        <f>M_Weight!I20</f>
        <v>S-All-Lgt-Streetlight-All-All-U</v>
      </c>
      <c r="I20" s="45">
        <f>M_Weight!K20</f>
        <v>-0.70569423195622161</v>
      </c>
      <c r="J20" s="45">
        <f>M_Weight!L20</f>
        <v>3.7209302325581395</v>
      </c>
      <c r="Q20" s="51" t="str">
        <f>'Savings and Cost Analysis'!BW25</f>
        <v>L</v>
      </c>
    </row>
    <row r="21" spans="1:17">
      <c r="A21" s="45" t="str">
        <f>M_Weight!C21</f>
        <v>Exterior Lighting: Façade - HID 150W - Retro</v>
      </c>
      <c r="B21" s="45" t="str">
        <f>M_Weight!D21</f>
        <v>Exterior Lighting: Façade - HID 150W to LED 27W - Retro</v>
      </c>
      <c r="C21" s="45">
        <f>M_Weight!E21</f>
        <v>66.935750455655011</v>
      </c>
      <c r="D21" s="45">
        <f>M_Weight!F21</f>
        <v>16.279069767441861</v>
      </c>
      <c r="E21" s="45">
        <f>M_Weight!G21</f>
        <v>23.583436394929375</v>
      </c>
      <c r="G21" s="45" t="str">
        <f>M_Weight!I21</f>
        <v>S-All-Lgt-Streetlight-All-All-U</v>
      </c>
      <c r="I21" s="45">
        <f>M_Weight!K21</f>
        <v>-4.3120382329557554</v>
      </c>
      <c r="J21" s="45">
        <f>M_Weight!L21</f>
        <v>5.5813953488372094</v>
      </c>
      <c r="Q21" s="51" t="str">
        <f>'Savings and Cost Analysis'!BW26</f>
        <v>R</v>
      </c>
    </row>
    <row r="22" spans="1:17">
      <c r="A22" s="45" t="str">
        <f>M_Weight!C22</f>
        <v>Exterior Lighting: Façade - HID 400W - Retro</v>
      </c>
      <c r="B22" s="45" t="str">
        <f>M_Weight!D22</f>
        <v>Exterior Lighting: Façade - HID 400W to LED 82W - Retro</v>
      </c>
      <c r="C22" s="45">
        <f>M_Weight!E22</f>
        <v>28.880984703126135</v>
      </c>
      <c r="D22" s="45">
        <f>M_Weight!F22</f>
        <v>16.279069767441861</v>
      </c>
      <c r="E22" s="45">
        <f>M_Weight!G22</f>
        <v>6.677762119662626</v>
      </c>
      <c r="G22" s="45" t="str">
        <f>M_Weight!I22</f>
        <v>S-All-Lgt-Streetlight-All-All-U</v>
      </c>
      <c r="I22" s="45">
        <f>M_Weight!K22</f>
        <v>-0.70569423195622161</v>
      </c>
      <c r="J22" s="45">
        <f>M_Weight!L22</f>
        <v>3.7209302325581395</v>
      </c>
      <c r="Q22" s="51" t="str">
        <f>'Savings and Cost Analysis'!BW27</f>
        <v>R</v>
      </c>
    </row>
    <row r="23" spans="1:17">
      <c r="A23" s="45" t="str">
        <f>M_Weight!C23</f>
        <v>Exterior Lighting: Walkway - HID 150W - New</v>
      </c>
      <c r="B23" s="45" t="str">
        <f>M_Weight!D23</f>
        <v>Exterior Lighting: Walkway - HID 150W to LED 28W - New</v>
      </c>
      <c r="C23" s="45">
        <f>M_Weight!E23</f>
        <v>66.781973941888168</v>
      </c>
      <c r="D23" s="45">
        <f>M_Weight!F23</f>
        <v>16.279069767441861</v>
      </c>
      <c r="E23" s="45">
        <f>M_Weight!G23</f>
        <v>0.68761315445724391</v>
      </c>
      <c r="G23" s="45" t="str">
        <f>M_Weight!I23</f>
        <v>S-All-Lgt-Streetlight-All-All-U</v>
      </c>
      <c r="I23" s="45">
        <f>M_Weight!K23</f>
        <v>-4.0543416127582557</v>
      </c>
      <c r="J23" s="45">
        <f>M_Weight!L23</f>
        <v>5.5813953488372094</v>
      </c>
      <c r="Q23" s="51" t="str">
        <f>'Savings and Cost Analysis'!BW28</f>
        <v>L</v>
      </c>
    </row>
    <row r="24" spans="1:17">
      <c r="A24" s="45" t="str">
        <f>M_Weight!C24</f>
        <v>Exterior Lighting: Walkway - CFL 26W - New</v>
      </c>
      <c r="B24" s="45" t="str">
        <f>M_Weight!D24</f>
        <v>Exterior Lighting: Walkway - CFL 26W to LED 12W - New</v>
      </c>
      <c r="C24" s="45">
        <f>M_Weight!E24</f>
        <v>2.3112289292682102</v>
      </c>
      <c r="D24" s="45">
        <f>M_Weight!F24</f>
        <v>6.6762790697674417</v>
      </c>
      <c r="E24" s="45">
        <f>M_Weight!G24</f>
        <v>0.13553311531055059</v>
      </c>
      <c r="G24" s="45" t="str">
        <f>M_Weight!I24</f>
        <v>S-All-Lgt-Streetlight-All-All-U</v>
      </c>
      <c r="I24" s="45">
        <f>M_Weight!K24</f>
        <v>-0.33142343072491642</v>
      </c>
      <c r="J24" s="45">
        <f>M_Weight!L24</f>
        <v>2.3255813953488373</v>
      </c>
      <c r="Q24" s="51" t="str">
        <f>'Savings and Cost Analysis'!BW29</f>
        <v>L</v>
      </c>
    </row>
    <row r="25" spans="1:17">
      <c r="A25" s="45" t="str">
        <f>M_Weight!C25</f>
        <v>Exterior Lighting: Walkway - INC 75W - New</v>
      </c>
      <c r="B25" s="45" t="str">
        <f>M_Weight!D25</f>
        <v>Exterior Lighting: Walkway - INC 75W to LED 12W - New</v>
      </c>
      <c r="C25" s="45">
        <f>M_Weight!E25</f>
        <v>1.7156302515732005</v>
      </c>
      <c r="D25" s="45">
        <f>M_Weight!F25</f>
        <v>6.6762790697674417</v>
      </c>
      <c r="E25" s="45">
        <f>M_Weight!G25</f>
        <v>2.9394812076628273E-2</v>
      </c>
      <c r="G25" s="45" t="str">
        <f>M_Weight!I25</f>
        <v>S-All-Lgt-Streetlight-All-All-U</v>
      </c>
      <c r="I25" s="45">
        <f>M_Weight!K25</f>
        <v>-5.5390635160910709E-2</v>
      </c>
      <c r="J25" s="45">
        <f>M_Weight!L25</f>
        <v>0.23255813953488372</v>
      </c>
      <c r="Q25" s="51" t="str">
        <f>'Savings and Cost Analysis'!BW30</f>
        <v>L</v>
      </c>
    </row>
    <row r="26" spans="1:17">
      <c r="A26" s="45" t="str">
        <f>M_Weight!C26</f>
        <v>Exterior Lighting: Walkway - HID 150W - NR</v>
      </c>
      <c r="B26" s="45" t="str">
        <f>M_Weight!D26</f>
        <v>Exterior Lighting: Walkway - HID 150W to LED 29W - NR</v>
      </c>
      <c r="C26" s="45">
        <f>M_Weight!E26</f>
        <v>65.987461954092865</v>
      </c>
      <c r="D26" s="45">
        <f>M_Weight!F26</f>
        <v>13.953488372093023</v>
      </c>
      <c r="E26" s="45">
        <f>M_Weight!G26</f>
        <v>15.900946569337281</v>
      </c>
      <c r="G26" s="45" t="str">
        <f>M_Weight!I26</f>
        <v>S-All-Lgt-Streetlight-All-All-U</v>
      </c>
      <c r="I26" s="45">
        <f>M_Weight!K26</f>
        <v>-4.0543416127582557</v>
      </c>
      <c r="J26" s="45">
        <f>M_Weight!L26</f>
        <v>5.5813953488372094</v>
      </c>
      <c r="Q26" s="51" t="str">
        <f>'Savings and Cost Analysis'!BW31</f>
        <v>L</v>
      </c>
    </row>
    <row r="27" spans="1:17">
      <c r="A27" s="45" t="str">
        <f>M_Weight!C27</f>
        <v>Exterior Lighting: Walkway - CFL 26W - NR</v>
      </c>
      <c r="B27" s="45" t="str">
        <f>M_Weight!D27</f>
        <v>Exterior Lighting: Walkway - CFL 26W to LED 12W - NR</v>
      </c>
      <c r="C27" s="45">
        <f>M_Weight!E27</f>
        <v>2.3112289292682102</v>
      </c>
      <c r="D27" s="45">
        <f>M_Weight!F27</f>
        <v>6.6762790697674417</v>
      </c>
      <c r="E27" s="45">
        <f>M_Weight!G27</f>
        <v>0.13553311531055059</v>
      </c>
      <c r="G27" s="45" t="str">
        <f>M_Weight!I27</f>
        <v>S-All-Lgt-Streetlight-All-All-U</v>
      </c>
      <c r="I27" s="45">
        <f>M_Weight!K27</f>
        <v>-0.33142343072491642</v>
      </c>
      <c r="J27" s="45">
        <f>M_Weight!L27</f>
        <v>2.3255813953488373</v>
      </c>
      <c r="Q27" s="51" t="str">
        <f>'Savings and Cost Analysis'!BW32</f>
        <v>L</v>
      </c>
    </row>
    <row r="28" spans="1:17">
      <c r="A28" s="45" t="str">
        <f>M_Weight!C28</f>
        <v>Exterior Lighting: Walkway - INC 75W - NR</v>
      </c>
      <c r="B28" s="45" t="str">
        <f>M_Weight!D28</f>
        <v>Exterior Lighting: Walkway - INC 75W to LED 12W - NR</v>
      </c>
      <c r="C28" s="45">
        <f>M_Weight!E28</f>
        <v>1.7156302515732005</v>
      </c>
      <c r="D28" s="45">
        <f>M_Weight!F28</f>
        <v>6.6762790697674417</v>
      </c>
      <c r="E28" s="45">
        <f>M_Weight!G28</f>
        <v>2.9394812076628273E-2</v>
      </c>
      <c r="G28" s="45" t="str">
        <f>M_Weight!I28</f>
        <v>S-All-Lgt-Streetlight-All-All-U</v>
      </c>
      <c r="I28" s="45">
        <f>M_Weight!K28</f>
        <v>-5.5390635160910709E-2</v>
      </c>
      <c r="J28" s="45">
        <f>M_Weight!L28</f>
        <v>0.23255813953488372</v>
      </c>
      <c r="Q28" s="51" t="str">
        <f>'Savings and Cost Analysis'!BW33</f>
        <v>L</v>
      </c>
    </row>
    <row r="29" spans="1:17">
      <c r="A29" s="45" t="str">
        <f>M_Weight!C29</f>
        <v>Exterior Lighting: Walkway - HID 150W - Retro</v>
      </c>
      <c r="B29" s="45" t="str">
        <f>M_Weight!D29</f>
        <v>Exterior Lighting: Walkway - HID 150W to LED 29W - Retro</v>
      </c>
      <c r="C29" s="45">
        <f>M_Weight!E29</f>
        <v>65.987461954092865</v>
      </c>
      <c r="D29" s="45">
        <f>M_Weight!F29</f>
        <v>13.953488372093023</v>
      </c>
      <c r="E29" s="45">
        <f>M_Weight!G29</f>
        <v>21.673265650078871</v>
      </c>
      <c r="G29" s="45" t="str">
        <f>M_Weight!I29</f>
        <v>S-All-Lgt-Streetlight-All-All-U</v>
      </c>
      <c r="I29" s="45">
        <f>M_Weight!K29</f>
        <v>-4.0543416127582557</v>
      </c>
      <c r="J29" s="45">
        <f>M_Weight!L29</f>
        <v>5.5813953488372094</v>
      </c>
      <c r="Q29" s="51" t="str">
        <f>'Savings and Cost Analysis'!BW34</f>
        <v>R</v>
      </c>
    </row>
    <row r="30" spans="1:17">
      <c r="A30" s="45" t="str">
        <f>M_Weight!C30</f>
        <v>Exterior Lighting: Walkway - CFL 26W - Retro</v>
      </c>
      <c r="B30" s="45" t="str">
        <f>M_Weight!D30</f>
        <v>Exterior Lighting: Walkway - CFL 26W to LED 12W - Retro</v>
      </c>
      <c r="C30" s="45">
        <f>M_Weight!E30</f>
        <v>2.3112289292682102</v>
      </c>
      <c r="D30" s="45">
        <f>M_Weight!F30</f>
        <v>6.6762790697674417</v>
      </c>
      <c r="E30" s="45">
        <f>M_Weight!G30</f>
        <v>1.0315522391340137</v>
      </c>
      <c r="G30" s="45" t="str">
        <f>M_Weight!I30</f>
        <v>S-All-Lgt-Streetlight-All-All-U</v>
      </c>
      <c r="I30" s="45">
        <f>M_Weight!K30</f>
        <v>-0.33142343072491642</v>
      </c>
      <c r="J30" s="45">
        <f>M_Weight!L30</f>
        <v>2.3255813953488373</v>
      </c>
      <c r="Q30" s="51" t="str">
        <f>'Savings and Cost Analysis'!BW35</f>
        <v>R</v>
      </c>
    </row>
    <row r="31" spans="1:17">
      <c r="A31" s="45" t="str">
        <f>M_Weight!C31</f>
        <v>Exterior Lighting: Walkway - INC 75W - Retro</v>
      </c>
      <c r="B31" s="45" t="str">
        <f>M_Weight!D31</f>
        <v>Exterior Lighting: Walkway - INC 75W to LED 12W - Retro</v>
      </c>
      <c r="C31" s="45">
        <f>M_Weight!E31</f>
        <v>1.7156302515732005</v>
      </c>
      <c r="D31" s="45">
        <f>M_Weight!F31</f>
        <v>6.6762790697674417</v>
      </c>
      <c r="E31" s="45">
        <f>M_Weight!G31</f>
        <v>0.18729926518091722</v>
      </c>
      <c r="G31" s="45" t="str">
        <f>M_Weight!I31</f>
        <v>S-All-Lgt-Streetlight-All-All-U</v>
      </c>
      <c r="I31" s="45">
        <f>M_Weight!K31</f>
        <v>-5.5390635160910709E-2</v>
      </c>
      <c r="J31" s="45">
        <f>M_Weight!L31</f>
        <v>0.23255813953488372</v>
      </c>
      <c r="Q31" s="51" t="str">
        <f>'Savings and Cost Analysis'!BW36</f>
        <v>R</v>
      </c>
    </row>
    <row r="34" spans="1:131">
      <c r="A34" s="24"/>
      <c r="B34" s="24"/>
      <c r="C34" s="24"/>
      <c r="D34" s="24"/>
      <c r="E34" s="24"/>
      <c r="F34" s="24"/>
      <c r="G34" s="24"/>
      <c r="H34" s="24"/>
      <c r="I34" s="24"/>
      <c r="J34" s="24"/>
      <c r="K34" s="24"/>
      <c r="L34" s="24"/>
      <c r="M34" s="24"/>
      <c r="N34" s="24"/>
      <c r="O34" s="24"/>
      <c r="P34" s="24"/>
      <c r="Q34" s="24"/>
      <c r="R34" s="24"/>
      <c r="S34" s="24"/>
      <c r="T34" s="24"/>
      <c r="U34" s="24"/>
      <c r="V34" s="24"/>
      <c r="W34" s="24"/>
      <c r="X34" s="24"/>
      <c r="Y34" s="24"/>
      <c r="Z34" s="24"/>
      <c r="AA34" s="24"/>
      <c r="AB34" s="24"/>
      <c r="AC34" s="24"/>
      <c r="AD34" s="24"/>
      <c r="AE34" s="24"/>
      <c r="AF34" s="24"/>
      <c r="AG34" s="24"/>
      <c r="AH34" s="24"/>
      <c r="AI34" s="24"/>
      <c r="AJ34" s="24"/>
      <c r="AK34" s="24"/>
      <c r="AL34" s="24"/>
      <c r="AM34" s="24"/>
      <c r="AN34" s="24"/>
      <c r="AO34" s="24"/>
      <c r="AP34" s="24"/>
      <c r="AQ34" s="24"/>
      <c r="AR34" s="24"/>
      <c r="AS34" s="24"/>
      <c r="AT34" s="24"/>
      <c r="AU34" s="24"/>
      <c r="AV34" s="24"/>
      <c r="AW34" s="24"/>
      <c r="AX34" s="24"/>
      <c r="AY34" s="24"/>
      <c r="AZ34" s="24"/>
      <c r="BA34" s="24"/>
      <c r="BB34" s="24"/>
      <c r="BC34" s="24"/>
      <c r="BD34" s="24"/>
      <c r="BE34" s="24"/>
      <c r="BF34" s="24"/>
      <c r="BG34" s="24"/>
      <c r="BH34" s="24"/>
      <c r="BI34" s="24"/>
      <c r="BJ34" s="24"/>
      <c r="BK34" s="24"/>
      <c r="BL34" s="24"/>
      <c r="BM34" s="24"/>
      <c r="BN34" s="24"/>
      <c r="BO34" s="24"/>
      <c r="BP34" s="24"/>
      <c r="BQ34" s="24"/>
      <c r="BR34" s="24"/>
      <c r="BS34" s="24"/>
      <c r="BT34" s="24"/>
      <c r="BU34" s="24"/>
      <c r="BV34" s="24"/>
      <c r="BW34" s="24"/>
      <c r="BX34" s="24"/>
      <c r="BY34" s="24"/>
      <c r="BZ34" s="24"/>
      <c r="CA34" s="24"/>
      <c r="CB34" s="24"/>
      <c r="CC34" s="24"/>
      <c r="CD34" s="24"/>
      <c r="CE34" s="24"/>
      <c r="CF34" s="24"/>
      <c r="CG34" s="24"/>
      <c r="CH34" s="24"/>
      <c r="CI34" s="24"/>
      <c r="CJ34" s="24"/>
      <c r="CK34" s="24"/>
      <c r="CL34" s="24"/>
      <c r="CM34" s="24"/>
      <c r="CN34" s="24"/>
      <c r="CO34" s="24"/>
      <c r="CP34" s="24"/>
      <c r="CQ34" s="24"/>
      <c r="CR34" s="24"/>
      <c r="CS34" s="24"/>
      <c r="CT34" s="24"/>
      <c r="CU34" s="24"/>
      <c r="CV34" s="24"/>
      <c r="CW34" s="24"/>
      <c r="CX34" s="24"/>
      <c r="CY34" s="24"/>
      <c r="CZ34" s="24"/>
      <c r="DA34" s="24"/>
      <c r="DB34" s="24"/>
      <c r="DC34" s="24"/>
      <c r="DD34" s="24"/>
      <c r="DE34" s="24"/>
      <c r="DF34" s="24"/>
      <c r="DG34" s="24"/>
      <c r="DH34" s="24"/>
      <c r="DI34" s="24"/>
      <c r="DJ34" s="24"/>
      <c r="DK34" s="24"/>
      <c r="DL34" s="24"/>
      <c r="DM34" s="24"/>
      <c r="DN34" s="24"/>
      <c r="DO34" s="24"/>
      <c r="DP34" s="24"/>
      <c r="DQ34" s="24"/>
      <c r="DR34" s="24"/>
      <c r="DS34" s="24"/>
      <c r="DT34" s="24"/>
      <c r="DU34" s="24"/>
      <c r="DV34" s="24"/>
      <c r="DW34" s="24"/>
      <c r="DX34" s="24"/>
      <c r="DY34" s="24"/>
      <c r="DZ34" s="24"/>
      <c r="EA34" s="24"/>
    </row>
    <row r="35" spans="1:131">
      <c r="A35" s="201" t="s">
        <v>437</v>
      </c>
      <c r="B35" s="202"/>
      <c r="C35" s="24"/>
      <c r="D35" s="24"/>
      <c r="E35" s="24"/>
      <c r="F35" s="24"/>
      <c r="G35" s="2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c r="AP35" s="24"/>
      <c r="AQ35" s="24"/>
      <c r="AR35" s="24"/>
      <c r="AS35" s="24"/>
      <c r="AT35" s="24"/>
      <c r="AU35" s="24"/>
      <c r="AV35" s="24"/>
      <c r="AW35" s="24"/>
      <c r="AX35" s="24"/>
      <c r="AY35" s="24"/>
      <c r="AZ35" s="24"/>
      <c r="BA35" s="24"/>
      <c r="BB35" s="24"/>
      <c r="BC35" s="24"/>
      <c r="BD35" s="24"/>
      <c r="BE35" s="24"/>
      <c r="BF35" s="24"/>
      <c r="BG35" s="24"/>
      <c r="BH35" s="24"/>
      <c r="BI35" s="24"/>
      <c r="BJ35" s="24"/>
      <c r="BK35" s="24"/>
      <c r="BL35" s="24"/>
      <c r="BM35" s="24"/>
      <c r="BN35" s="24"/>
      <c r="BO35" s="24"/>
      <c r="BP35" s="24"/>
      <c r="BQ35" s="24"/>
      <c r="BR35" s="24"/>
      <c r="BS35" s="24"/>
      <c r="BT35" s="24"/>
      <c r="BU35" s="24"/>
      <c r="BV35" s="24"/>
      <c r="BW35" s="24"/>
      <c r="BX35" s="24"/>
      <c r="BY35" s="24"/>
      <c r="BZ35" s="24"/>
      <c r="CA35" s="24"/>
      <c r="CB35" s="24"/>
      <c r="CC35" s="24"/>
      <c r="CD35" s="24"/>
      <c r="CE35" s="24"/>
      <c r="CF35" s="24"/>
      <c r="CG35" s="24"/>
      <c r="CH35" s="24"/>
      <c r="CI35" s="24"/>
      <c r="CJ35" s="24"/>
      <c r="CK35" s="24"/>
      <c r="CL35" s="24"/>
      <c r="CM35" s="24"/>
      <c r="CN35" s="24"/>
      <c r="CO35" s="24"/>
      <c r="CP35" s="24"/>
      <c r="CQ35" s="24"/>
      <c r="CR35" s="24"/>
      <c r="CS35" s="24"/>
      <c r="CT35" s="24"/>
      <c r="CU35" s="24"/>
      <c r="CV35" s="24"/>
      <c r="CW35" s="24"/>
      <c r="CX35" s="24"/>
      <c r="CY35" s="24"/>
      <c r="CZ35" s="24"/>
      <c r="DA35" s="24"/>
      <c r="DB35" s="24"/>
      <c r="DC35" s="24"/>
      <c r="DD35" s="24"/>
      <c r="DE35" s="24"/>
      <c r="DF35" s="24"/>
      <c r="DG35" s="24"/>
      <c r="DH35" s="24"/>
      <c r="DI35" s="24"/>
      <c r="DJ35" s="24"/>
      <c r="DK35" s="24"/>
      <c r="DL35" s="24"/>
      <c r="DM35" s="24"/>
      <c r="DN35" s="24"/>
      <c r="DO35" s="24"/>
      <c r="DP35" s="24"/>
      <c r="DQ35" s="24"/>
      <c r="DR35" s="24"/>
      <c r="DS35" s="24"/>
      <c r="DT35" s="24"/>
      <c r="DU35" s="24"/>
      <c r="DV35" s="24"/>
      <c r="DW35" s="24"/>
      <c r="DX35" s="24"/>
      <c r="DY35" s="24"/>
      <c r="DZ35" s="24"/>
      <c r="EA35" s="24"/>
    </row>
    <row r="36" spans="1:131">
      <c r="A36" s="24" t="s">
        <v>438</v>
      </c>
      <c r="B36" s="24" t="s">
        <v>439</v>
      </c>
      <c r="C36" s="24"/>
      <c r="D36" s="24"/>
      <c r="E36" s="24"/>
      <c r="F36" s="24"/>
      <c r="G36" s="24"/>
      <c r="H36" s="24"/>
      <c r="I36" s="24"/>
      <c r="J36" s="24"/>
      <c r="K36" s="24"/>
      <c r="L36" s="24"/>
      <c r="M36" s="24"/>
      <c r="N36" s="24"/>
      <c r="O36" s="24"/>
      <c r="P36" s="24"/>
      <c r="Q36" s="24"/>
      <c r="R36" s="24"/>
      <c r="S36" s="24"/>
      <c r="T36" s="24"/>
      <c r="U36" s="24"/>
      <c r="V36" s="24"/>
      <c r="W36" s="24"/>
      <c r="X36" s="24"/>
      <c r="Y36" s="24"/>
      <c r="Z36" s="24"/>
      <c r="AA36" s="24"/>
      <c r="AB36" s="24"/>
      <c r="AC36" s="24"/>
      <c r="AD36" s="24"/>
      <c r="AE36" s="24"/>
      <c r="AF36" s="24"/>
      <c r="AG36" s="24"/>
      <c r="AH36" s="24"/>
      <c r="AI36" s="24"/>
      <c r="AJ36" s="24"/>
      <c r="AK36" s="24"/>
      <c r="AL36" s="24"/>
      <c r="AM36" s="24"/>
      <c r="AN36" s="24"/>
      <c r="AO36" s="24"/>
      <c r="AP36" s="24"/>
      <c r="AQ36" s="24"/>
      <c r="AR36" s="24"/>
      <c r="AS36" s="24"/>
      <c r="AT36" s="24"/>
      <c r="AU36" s="24"/>
      <c r="AV36" s="24"/>
      <c r="AW36" s="24"/>
      <c r="AX36" s="24"/>
      <c r="AY36" s="24"/>
      <c r="AZ36" s="24"/>
      <c r="BA36" s="24"/>
      <c r="BB36" s="24"/>
      <c r="BC36" s="24"/>
      <c r="BD36" s="24"/>
      <c r="BE36" s="24"/>
      <c r="BF36" s="24"/>
      <c r="BG36" s="24"/>
      <c r="BH36" s="24"/>
      <c r="BI36" s="24"/>
      <c r="BJ36" s="24"/>
      <c r="BK36" s="24"/>
      <c r="BL36" s="24"/>
      <c r="BM36" s="24"/>
      <c r="BN36" s="24"/>
      <c r="BO36" s="24"/>
      <c r="BP36" s="24"/>
      <c r="BQ36" s="24"/>
      <c r="BR36" s="24"/>
      <c r="BS36" s="24"/>
      <c r="BT36" s="24"/>
      <c r="BU36" s="24"/>
      <c r="BV36" s="24"/>
      <c r="BW36" s="24"/>
      <c r="BX36" s="24"/>
      <c r="BY36" s="24"/>
      <c r="BZ36" s="24"/>
      <c r="CA36" s="24"/>
      <c r="CB36" s="24"/>
      <c r="CC36" s="24"/>
      <c r="CD36" s="24"/>
      <c r="CE36" s="24"/>
      <c r="CF36" s="24"/>
      <c r="CG36" s="24"/>
      <c r="CH36" s="24"/>
      <c r="CI36" s="24"/>
      <c r="CJ36" s="24"/>
      <c r="CK36" s="24"/>
      <c r="CL36" s="24"/>
      <c r="CM36" s="24"/>
      <c r="CN36" s="24"/>
      <c r="CO36" s="24"/>
      <c r="CP36" s="24"/>
      <c r="CQ36" s="24"/>
      <c r="CR36" s="24"/>
      <c r="CS36" s="24"/>
      <c r="CT36" s="24"/>
      <c r="CU36" s="24"/>
      <c r="CV36" s="24"/>
      <c r="CW36" s="24"/>
      <c r="CX36" s="24"/>
      <c r="CY36" s="24"/>
      <c r="CZ36" s="24"/>
      <c r="DA36" s="24"/>
      <c r="DB36" s="24"/>
      <c r="DC36" s="24"/>
      <c r="DD36" s="24"/>
      <c r="DE36" s="24"/>
      <c r="DF36" s="24"/>
      <c r="DG36" s="24"/>
      <c r="DH36" s="24"/>
      <c r="DI36" s="24"/>
      <c r="DJ36" s="24"/>
      <c r="DK36" s="24"/>
      <c r="DL36" s="24"/>
      <c r="DM36" s="24"/>
      <c r="DN36" s="24"/>
      <c r="DO36" s="24"/>
      <c r="DP36" s="24"/>
      <c r="DQ36" s="24"/>
      <c r="DR36" s="24"/>
      <c r="DS36" s="24"/>
      <c r="DT36" s="24"/>
      <c r="DU36" s="24"/>
      <c r="DV36" s="24"/>
      <c r="DW36" s="24"/>
      <c r="DX36" s="24"/>
      <c r="DY36" s="24"/>
      <c r="DZ36" s="24"/>
      <c r="EA36" s="24"/>
    </row>
    <row r="37" spans="1:131">
      <c r="A37" s="24" t="s">
        <v>440</v>
      </c>
      <c r="B37" s="24" t="s">
        <v>1061</v>
      </c>
      <c r="C37" s="24"/>
      <c r="D37" s="24"/>
      <c r="E37" s="24"/>
      <c r="F37" s="24"/>
      <c r="G37" s="24"/>
      <c r="H37" s="24"/>
      <c r="I37" s="24"/>
      <c r="J37" s="24"/>
      <c r="K37" s="24"/>
      <c r="L37" s="24"/>
      <c r="M37" s="24"/>
      <c r="N37" s="24"/>
      <c r="O37" s="24"/>
      <c r="P37" s="24"/>
      <c r="Q37" s="24"/>
      <c r="R37" s="24"/>
      <c r="S37" s="24"/>
      <c r="T37" s="24"/>
      <c r="U37" s="24"/>
      <c r="V37" s="24"/>
      <c r="W37" s="24"/>
      <c r="X37" s="24"/>
      <c r="Y37" s="24"/>
      <c r="Z37" s="24"/>
      <c r="AA37" s="24"/>
      <c r="AB37" s="24"/>
      <c r="AC37" s="24"/>
      <c r="AD37" s="24"/>
      <c r="AE37" s="24"/>
      <c r="AF37" s="24"/>
      <c r="AG37" s="24"/>
      <c r="AH37" s="24"/>
      <c r="AI37" s="24"/>
      <c r="AJ37" s="24"/>
      <c r="AK37" s="24"/>
      <c r="AL37" s="24"/>
      <c r="AM37" s="24"/>
      <c r="AN37" s="24"/>
      <c r="AO37" s="24"/>
      <c r="AP37" s="24"/>
      <c r="AQ37" s="24"/>
      <c r="AR37" s="24"/>
      <c r="AS37" s="24"/>
      <c r="AT37" s="24"/>
      <c r="AU37" s="24"/>
      <c r="AV37" s="24"/>
      <c r="AW37" s="24"/>
      <c r="AX37" s="24"/>
      <c r="AY37" s="24"/>
      <c r="AZ37" s="24"/>
      <c r="BA37" s="24"/>
      <c r="BB37" s="24"/>
      <c r="BC37" s="24"/>
      <c r="BD37" s="24"/>
      <c r="BE37" s="24"/>
      <c r="BF37" s="24"/>
      <c r="BG37" s="24"/>
      <c r="BH37" s="24"/>
      <c r="BI37" s="24"/>
      <c r="BJ37" s="24"/>
      <c r="BK37" s="24"/>
      <c r="BL37" s="24"/>
      <c r="BM37" s="24"/>
      <c r="BN37" s="24"/>
      <c r="BO37" s="24"/>
      <c r="BP37" s="24"/>
      <c r="BQ37" s="24"/>
      <c r="BR37" s="24"/>
      <c r="BS37" s="24"/>
      <c r="BT37" s="24"/>
      <c r="BU37" s="24"/>
      <c r="BV37" s="24"/>
      <c r="BW37" s="24"/>
      <c r="BX37" s="24"/>
      <c r="BY37" s="24"/>
      <c r="BZ37" s="24"/>
      <c r="CA37" s="24"/>
      <c r="CB37" s="24"/>
      <c r="CC37" s="24"/>
      <c r="CD37" s="24"/>
      <c r="CE37" s="24"/>
      <c r="CF37" s="24"/>
      <c r="CG37" s="24"/>
      <c r="CH37" s="24"/>
      <c r="CI37" s="24"/>
      <c r="CJ37" s="24"/>
      <c r="CK37" s="24"/>
      <c r="CL37" s="24"/>
      <c r="CM37" s="24"/>
      <c r="CN37" s="24"/>
      <c r="CO37" s="24"/>
      <c r="CP37" s="24"/>
      <c r="CQ37" s="24"/>
      <c r="CR37" s="24"/>
      <c r="CS37" s="24"/>
      <c r="CT37" s="24"/>
      <c r="CU37" s="24"/>
      <c r="CV37" s="24"/>
      <c r="CW37" s="24"/>
      <c r="CX37" s="24"/>
      <c r="CY37" s="24"/>
      <c r="CZ37" s="24"/>
      <c r="DA37" s="24"/>
      <c r="DB37" s="24"/>
      <c r="DC37" s="24"/>
      <c r="DD37" s="24"/>
      <c r="DE37" s="24"/>
      <c r="DF37" s="24"/>
      <c r="DG37" s="24"/>
      <c r="DH37" s="24"/>
      <c r="DI37" s="24"/>
      <c r="DJ37" s="24"/>
      <c r="DK37" s="24"/>
      <c r="DL37" s="24"/>
      <c r="DM37" s="24"/>
      <c r="DN37" s="24"/>
      <c r="DO37" s="24"/>
      <c r="DP37" s="24"/>
      <c r="DQ37" s="24"/>
      <c r="DR37" s="24"/>
      <c r="DS37" s="24"/>
      <c r="DT37" s="24"/>
      <c r="DU37" s="24"/>
      <c r="DV37" s="24"/>
      <c r="DW37" s="24"/>
      <c r="DX37" s="24"/>
      <c r="DY37" s="24"/>
      <c r="DZ37" s="24"/>
      <c r="EA37" s="24"/>
    </row>
    <row r="38" spans="1:131">
      <c r="A38" s="24"/>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c r="AN38" s="24"/>
      <c r="AO38" s="24"/>
      <c r="AP38" s="24"/>
      <c r="AQ38" s="24"/>
      <c r="AR38" s="24"/>
      <c r="AS38" s="24"/>
      <c r="AT38" s="24"/>
      <c r="AU38" s="24"/>
      <c r="AV38" s="24"/>
      <c r="AW38" s="24"/>
      <c r="AX38" s="24"/>
      <c r="AY38" s="24"/>
      <c r="AZ38" s="24"/>
      <c r="BA38" s="24"/>
      <c r="BB38" s="24"/>
      <c r="BC38" s="24"/>
      <c r="BD38" s="24"/>
      <c r="BE38" s="24"/>
      <c r="BF38" s="24"/>
      <c r="BG38" s="24"/>
      <c r="BH38" s="24"/>
      <c r="BI38" s="24"/>
      <c r="BJ38" s="24"/>
      <c r="BK38" s="24"/>
      <c r="BL38" s="24"/>
      <c r="BM38" s="24"/>
      <c r="BN38" s="24"/>
      <c r="BO38" s="24"/>
      <c r="BP38" s="24"/>
      <c r="BQ38" s="24"/>
      <c r="BR38" s="24"/>
      <c r="BS38" s="24"/>
      <c r="BT38" s="24"/>
      <c r="BU38" s="24"/>
      <c r="BV38" s="24"/>
      <c r="BW38" s="24"/>
      <c r="BX38" s="24"/>
      <c r="BY38" s="24"/>
      <c r="BZ38" s="24"/>
      <c r="CA38" s="24"/>
      <c r="CB38" s="24"/>
      <c r="CC38" s="24"/>
      <c r="CD38" s="24"/>
      <c r="CE38" s="24"/>
      <c r="CF38" s="24"/>
      <c r="CG38" s="24"/>
      <c r="CH38" s="24"/>
      <c r="CI38" s="24"/>
      <c r="CJ38" s="24"/>
      <c r="CK38" s="24"/>
      <c r="CL38" s="24"/>
      <c r="CM38" s="24"/>
      <c r="CN38" s="24"/>
      <c r="CO38" s="24"/>
      <c r="CP38" s="24"/>
      <c r="CQ38" s="24"/>
      <c r="CR38" s="24"/>
      <c r="CS38" s="24"/>
      <c r="CT38" s="24"/>
      <c r="CU38" s="24"/>
      <c r="CV38" s="24"/>
      <c r="CW38" s="24"/>
      <c r="CX38" s="24"/>
      <c r="CY38" s="24"/>
      <c r="CZ38" s="24"/>
      <c r="DA38" s="24"/>
      <c r="DB38" s="24"/>
      <c r="DC38" s="24"/>
      <c r="DD38" s="24"/>
      <c r="DE38" s="24"/>
      <c r="DF38" s="24"/>
      <c r="DG38" s="24"/>
      <c r="DH38" s="24"/>
      <c r="DI38" s="24"/>
      <c r="DJ38" s="24"/>
      <c r="DK38" s="24"/>
      <c r="DL38" s="24"/>
      <c r="DM38" s="24"/>
      <c r="DN38" s="24"/>
      <c r="DO38" s="24"/>
      <c r="DP38" s="24"/>
      <c r="DQ38" s="24"/>
      <c r="DR38" s="24"/>
      <c r="DS38" s="24"/>
      <c r="DT38" s="24"/>
      <c r="DU38" s="24"/>
      <c r="DV38" s="24"/>
      <c r="DW38" s="24"/>
      <c r="DX38" s="24"/>
      <c r="DY38" s="24"/>
      <c r="DZ38" s="24"/>
      <c r="EA38" s="24"/>
    </row>
    <row r="39" spans="1:131" ht="13.5" thickBot="1">
      <c r="A39" s="187" t="s">
        <v>441</v>
      </c>
      <c r="B39" s="203"/>
      <c r="C39" s="203"/>
      <c r="D39" s="203"/>
      <c r="E39" s="203"/>
      <c r="F39" s="203"/>
      <c r="G39" s="203"/>
      <c r="H39" s="203"/>
      <c r="I39" s="203"/>
      <c r="J39" s="203"/>
      <c r="K39" s="203"/>
      <c r="L39" s="203"/>
      <c r="M39" s="203"/>
      <c r="N39" s="203"/>
      <c r="O39" s="203"/>
      <c r="P39" s="203"/>
      <c r="Q39" s="203"/>
      <c r="R39" s="203"/>
      <c r="S39" s="203"/>
      <c r="T39" s="203"/>
      <c r="U39" s="203"/>
      <c r="V39" s="203"/>
      <c r="W39" s="203"/>
      <c r="X39" s="203"/>
      <c r="Y39" s="203"/>
      <c r="Z39" s="203"/>
      <c r="AA39" s="203"/>
      <c r="AB39" s="203"/>
      <c r="AC39" s="203"/>
      <c r="AD39" s="203"/>
      <c r="AE39" s="203"/>
      <c r="AF39" s="203"/>
      <c r="AG39" s="203"/>
      <c r="AH39" s="203"/>
      <c r="AI39" s="188"/>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row>
    <row r="40" spans="1:131">
      <c r="A40" s="24"/>
      <c r="B40" s="204" t="s">
        <v>442</v>
      </c>
      <c r="C40" s="205"/>
      <c r="D40" s="205" t="s">
        <v>442</v>
      </c>
      <c r="E40" s="206"/>
      <c r="F40" s="24"/>
      <c r="G40" s="204" t="s">
        <v>443</v>
      </c>
      <c r="H40" s="205"/>
      <c r="I40" s="205"/>
      <c r="J40" s="205"/>
      <c r="K40" s="205"/>
      <c r="L40" s="205"/>
      <c r="M40" s="205"/>
      <c r="N40" s="205"/>
      <c r="O40" s="206"/>
      <c r="P40" s="24"/>
      <c r="Q40" s="204" t="s">
        <v>444</v>
      </c>
      <c r="R40" s="205"/>
      <c r="S40" s="205"/>
      <c r="T40" s="205"/>
      <c r="U40" s="206"/>
      <c r="V40" s="24"/>
      <c r="W40" s="204" t="s">
        <v>445</v>
      </c>
      <c r="X40" s="206"/>
      <c r="Y40" s="24"/>
      <c r="Z40" s="204" t="s">
        <v>446</v>
      </c>
      <c r="AA40" s="205"/>
      <c r="AB40" s="206"/>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row>
    <row r="41" spans="1:131">
      <c r="A41" s="24"/>
      <c r="B41" s="207" t="s">
        <v>447</v>
      </c>
      <c r="C41" s="208" t="s">
        <v>448</v>
      </c>
      <c r="D41" s="208" t="s">
        <v>447</v>
      </c>
      <c r="E41" s="209" t="s">
        <v>448</v>
      </c>
      <c r="F41" s="24"/>
      <c r="G41" s="207" t="s">
        <v>449</v>
      </c>
      <c r="H41" s="208" t="s">
        <v>1054</v>
      </c>
      <c r="I41" s="208"/>
      <c r="J41" s="208"/>
      <c r="K41" s="208" t="s">
        <v>450</v>
      </c>
      <c r="L41" s="208"/>
      <c r="M41" s="208"/>
      <c r="N41" s="208"/>
      <c r="O41" s="209"/>
      <c r="P41" s="24"/>
      <c r="Q41" s="207"/>
      <c r="R41" s="208" t="s">
        <v>451</v>
      </c>
      <c r="S41" s="208" t="s">
        <v>452</v>
      </c>
      <c r="T41" s="208" t="s">
        <v>453</v>
      </c>
      <c r="U41" s="209" t="s">
        <v>454</v>
      </c>
      <c r="V41" s="24"/>
      <c r="W41" s="207" t="s">
        <v>455</v>
      </c>
      <c r="X41" s="209">
        <v>20</v>
      </c>
      <c r="Y41" s="24"/>
      <c r="Z41" s="207"/>
      <c r="AA41" s="208" t="s">
        <v>448</v>
      </c>
      <c r="AB41" s="209" t="s">
        <v>456</v>
      </c>
      <c r="AC41" s="24"/>
      <c r="AD41" s="24"/>
      <c r="AE41" s="24"/>
      <c r="AF41" s="24"/>
      <c r="AG41" s="24"/>
      <c r="AH41" s="24"/>
      <c r="AI41" s="24"/>
      <c r="AJ41" s="24"/>
      <c r="AK41" s="24"/>
      <c r="AL41" s="24"/>
      <c r="AM41" s="24"/>
      <c r="AN41" s="24"/>
      <c r="AO41" s="24"/>
      <c r="AP41" s="24"/>
      <c r="AQ41" s="24"/>
      <c r="AR41" s="24"/>
      <c r="AS41" s="24"/>
      <c r="AT41" s="24"/>
      <c r="AU41" s="24"/>
      <c r="AV41" s="24"/>
      <c r="AW41" s="24"/>
      <c r="AX41" s="24"/>
      <c r="AY41" s="24"/>
      <c r="AZ41" s="24"/>
      <c r="BA41" s="24"/>
      <c r="BB41" s="24"/>
      <c r="BC41" s="24"/>
      <c r="BD41" s="24"/>
      <c r="BE41" s="24"/>
      <c r="BF41" s="24"/>
      <c r="BG41" s="24"/>
      <c r="BH41" s="24"/>
      <c r="BI41" s="24"/>
      <c r="BJ41" s="24"/>
      <c r="BK41" s="24"/>
      <c r="BL41" s="24"/>
      <c r="BM41" s="24"/>
      <c r="BN41" s="24"/>
      <c r="BO41" s="24"/>
      <c r="BP41" s="24"/>
      <c r="BQ41" s="24"/>
      <c r="BR41" s="24"/>
      <c r="BS41" s="24"/>
      <c r="BT41" s="24"/>
      <c r="BU41" s="24"/>
      <c r="BV41" s="24"/>
      <c r="BW41" s="24"/>
      <c r="BX41" s="24"/>
      <c r="BY41" s="24"/>
      <c r="BZ41" s="24"/>
      <c r="CA41" s="24"/>
      <c r="CB41" s="24"/>
      <c r="CC41" s="24"/>
      <c r="CD41" s="24"/>
      <c r="CE41" s="24"/>
      <c r="CF41" s="24"/>
      <c r="CG41" s="24"/>
      <c r="CH41" s="24"/>
      <c r="CI41" s="24"/>
      <c r="CJ41" s="24"/>
      <c r="CK41" s="24"/>
      <c r="CL41" s="24"/>
      <c r="CM41" s="24"/>
      <c r="CN41" s="24"/>
      <c r="CO41" s="24"/>
      <c r="CP41" s="24"/>
      <c r="CQ41" s="24"/>
      <c r="CR41" s="24"/>
      <c r="CS41" s="24"/>
      <c r="CT41" s="24"/>
      <c r="CU41" s="24"/>
      <c r="CV41" s="24"/>
      <c r="CW41" s="24"/>
      <c r="CX41" s="24"/>
      <c r="CY41" s="24"/>
      <c r="CZ41" s="24"/>
      <c r="DA41" s="24"/>
      <c r="DB41" s="24"/>
      <c r="DC41" s="24"/>
      <c r="DD41" s="24"/>
      <c r="DE41" s="24"/>
      <c r="DF41" s="24"/>
      <c r="DG41" s="24"/>
      <c r="DH41" s="24"/>
      <c r="DI41" s="24"/>
      <c r="DJ41" s="24"/>
      <c r="DK41" s="24"/>
      <c r="DL41" s="24"/>
      <c r="DM41" s="24"/>
      <c r="DN41" s="24"/>
      <c r="DO41" s="24"/>
      <c r="DP41" s="24"/>
      <c r="DQ41" s="24"/>
      <c r="DR41" s="24"/>
      <c r="DS41" s="24"/>
      <c r="DT41" s="24"/>
      <c r="DU41" s="24"/>
      <c r="DV41" s="24"/>
      <c r="DW41" s="24"/>
      <c r="DX41" s="24"/>
      <c r="DY41" s="24"/>
      <c r="DZ41" s="24"/>
      <c r="EA41" s="24"/>
    </row>
    <row r="42" spans="1:131">
      <c r="A42" s="24"/>
      <c r="B42" s="207" t="s">
        <v>457</v>
      </c>
      <c r="C42" s="208" t="s">
        <v>458</v>
      </c>
      <c r="D42" s="208" t="s">
        <v>457</v>
      </c>
      <c r="E42" s="209" t="s">
        <v>458</v>
      </c>
      <c r="F42" s="24"/>
      <c r="G42" s="207" t="s">
        <v>459</v>
      </c>
      <c r="H42" s="208" t="s">
        <v>460</v>
      </c>
      <c r="I42" s="208"/>
      <c r="J42" s="208"/>
      <c r="K42" s="208" t="s">
        <v>461</v>
      </c>
      <c r="L42" s="208"/>
      <c r="M42" s="208"/>
      <c r="N42" s="208"/>
      <c r="O42" s="209"/>
      <c r="P42" s="24"/>
      <c r="Q42" s="207" t="s">
        <v>462</v>
      </c>
      <c r="R42" s="208">
        <v>6.8012888465852586E-2</v>
      </c>
      <c r="S42" s="208">
        <v>4.387844424080023E-2</v>
      </c>
      <c r="T42" s="208">
        <v>5.3289007766645871E-2</v>
      </c>
      <c r="U42" s="209">
        <v>5.447903102274565E-2</v>
      </c>
      <c r="V42" s="24"/>
      <c r="W42" s="207" t="s">
        <v>463</v>
      </c>
      <c r="X42" s="209">
        <v>2016</v>
      </c>
      <c r="Y42" s="24"/>
      <c r="Z42" s="207" t="s">
        <v>464</v>
      </c>
      <c r="AA42" s="208">
        <v>4.03890184699085E-3</v>
      </c>
      <c r="AB42" s="209">
        <v>0.01</v>
      </c>
      <c r="AC42" s="24"/>
      <c r="AD42" s="24"/>
      <c r="AE42" s="24"/>
      <c r="AF42" s="24"/>
      <c r="AG42" s="24"/>
      <c r="AH42" s="24"/>
      <c r="AI42" s="24"/>
      <c r="AJ42" s="24"/>
      <c r="AK42" s="24"/>
      <c r="AL42" s="24"/>
      <c r="AM42" s="24"/>
      <c r="AN42" s="24"/>
      <c r="AO42" s="24"/>
      <c r="AP42" s="24"/>
      <c r="AQ42" s="24"/>
      <c r="AR42" s="24"/>
      <c r="AS42" s="24"/>
      <c r="AT42" s="24"/>
      <c r="AU42" s="24"/>
      <c r="AV42" s="24"/>
      <c r="AW42" s="24"/>
      <c r="AX42" s="24"/>
      <c r="AY42" s="24"/>
      <c r="AZ42" s="24"/>
      <c r="BA42" s="24"/>
      <c r="BB42" s="24"/>
      <c r="BC42" s="24"/>
      <c r="BD42" s="24"/>
      <c r="BE42" s="24"/>
      <c r="BF42" s="24"/>
      <c r="BG42" s="24"/>
      <c r="BH42" s="24"/>
      <c r="BI42" s="24"/>
      <c r="BJ42" s="24"/>
      <c r="BK42" s="24"/>
      <c r="BL42" s="24"/>
      <c r="BM42" s="24"/>
      <c r="BN42" s="24"/>
      <c r="BO42" s="24"/>
      <c r="BP42" s="24"/>
      <c r="BQ42" s="24"/>
      <c r="BR42" s="24"/>
      <c r="BS42" s="24"/>
      <c r="BT42" s="24"/>
      <c r="BU42" s="24"/>
      <c r="BV42" s="24"/>
      <c r="BW42" s="24"/>
      <c r="BX42" s="24"/>
      <c r="BY42" s="24"/>
      <c r="BZ42" s="24"/>
      <c r="CA42" s="24"/>
      <c r="CB42" s="24"/>
      <c r="CC42" s="24"/>
      <c r="CD42" s="24"/>
      <c r="CE42" s="24"/>
      <c r="CF42" s="24"/>
      <c r="CG42" s="24"/>
      <c r="CH42" s="24"/>
      <c r="CI42" s="24"/>
      <c r="CJ42" s="24"/>
      <c r="CK42" s="24"/>
      <c r="CL42" s="24"/>
      <c r="CM42" s="24"/>
      <c r="CN42" s="24"/>
      <c r="CO42" s="24"/>
      <c r="CP42" s="24"/>
      <c r="CQ42" s="24"/>
      <c r="CR42" s="24"/>
      <c r="CS42" s="24"/>
      <c r="CT42" s="24"/>
      <c r="CU42" s="24"/>
      <c r="CV42" s="24"/>
      <c r="CW42" s="24"/>
      <c r="CX42" s="24"/>
      <c r="CY42" s="24"/>
      <c r="CZ42" s="24"/>
      <c r="DA42" s="24"/>
      <c r="DB42" s="24"/>
      <c r="DC42" s="24"/>
      <c r="DD42" s="24"/>
      <c r="DE42" s="24"/>
      <c r="DF42" s="24"/>
      <c r="DG42" s="24"/>
      <c r="DH42" s="24"/>
      <c r="DI42" s="24"/>
      <c r="DJ42" s="24"/>
      <c r="DK42" s="24"/>
      <c r="DL42" s="24"/>
      <c r="DM42" s="24"/>
      <c r="DN42" s="24"/>
      <c r="DO42" s="24"/>
      <c r="DP42" s="24"/>
      <c r="DQ42" s="24"/>
      <c r="DR42" s="24"/>
      <c r="DS42" s="24"/>
      <c r="DT42" s="24"/>
      <c r="DU42" s="24"/>
      <c r="DV42" s="24"/>
      <c r="DW42" s="24"/>
      <c r="DX42" s="24"/>
      <c r="DY42" s="24"/>
      <c r="DZ42" s="24"/>
      <c r="EA42" s="24"/>
    </row>
    <row r="43" spans="1:131">
      <c r="A43" s="24"/>
      <c r="B43" s="207" t="s">
        <v>465</v>
      </c>
      <c r="C43" s="208" t="s">
        <v>466</v>
      </c>
      <c r="D43" s="208" t="s">
        <v>465</v>
      </c>
      <c r="E43" s="209" t="s">
        <v>466</v>
      </c>
      <c r="F43" s="24"/>
      <c r="G43" s="207" t="s">
        <v>467</v>
      </c>
      <c r="H43" s="208" t="s">
        <v>468</v>
      </c>
      <c r="I43" s="208"/>
      <c r="J43" s="208"/>
      <c r="K43" s="208" t="s">
        <v>469</v>
      </c>
      <c r="L43" s="208"/>
      <c r="M43" s="208"/>
      <c r="N43" s="208"/>
      <c r="O43" s="209"/>
      <c r="P43" s="24"/>
      <c r="Q43" s="207" t="s">
        <v>470</v>
      </c>
      <c r="R43" s="208">
        <v>12</v>
      </c>
      <c r="S43" s="208">
        <v>12</v>
      </c>
      <c r="T43" s="208">
        <v>1</v>
      </c>
      <c r="U43" s="209">
        <v>1</v>
      </c>
      <c r="V43" s="24"/>
      <c r="W43" s="207" t="s">
        <v>471</v>
      </c>
      <c r="X43" s="209">
        <v>2016</v>
      </c>
      <c r="Y43" s="24"/>
      <c r="Z43" s="207" t="s">
        <v>472</v>
      </c>
      <c r="AA43" s="208">
        <v>26</v>
      </c>
      <c r="AB43" s="209">
        <v>0</v>
      </c>
      <c r="AC43" s="24"/>
      <c r="AD43" s="24"/>
      <c r="AE43" s="24"/>
      <c r="AF43" s="24"/>
      <c r="AG43" s="24"/>
      <c r="AH43" s="24"/>
      <c r="AI43" s="24"/>
      <c r="AJ43" s="24"/>
      <c r="AK43" s="24"/>
      <c r="AL43" s="24"/>
      <c r="AM43" s="24"/>
      <c r="AN43" s="24"/>
      <c r="AO43" s="24"/>
      <c r="AP43" s="24"/>
      <c r="AQ43" s="24"/>
      <c r="AR43" s="24"/>
      <c r="AS43" s="24"/>
      <c r="AT43" s="24"/>
      <c r="AU43" s="24"/>
      <c r="AV43" s="24"/>
      <c r="AW43" s="24"/>
      <c r="AX43" s="24"/>
      <c r="AY43" s="24"/>
      <c r="AZ43" s="24"/>
      <c r="BA43" s="24"/>
      <c r="BB43" s="24"/>
      <c r="BC43" s="24"/>
      <c r="BD43" s="24"/>
      <c r="BE43" s="24"/>
      <c r="BF43" s="24"/>
      <c r="BG43" s="24"/>
      <c r="BH43" s="24"/>
      <c r="BI43" s="24"/>
      <c r="BJ43" s="24"/>
      <c r="BK43" s="24"/>
      <c r="BL43" s="24"/>
      <c r="BM43" s="24"/>
      <c r="BN43" s="24"/>
      <c r="BO43" s="24"/>
      <c r="BP43" s="24"/>
      <c r="BQ43" s="24"/>
      <c r="BR43" s="24"/>
      <c r="BS43" s="24"/>
      <c r="BT43" s="24"/>
      <c r="BU43" s="24"/>
      <c r="BV43" s="24"/>
      <c r="BW43" s="24"/>
      <c r="BX43" s="24"/>
      <c r="BY43" s="24"/>
      <c r="BZ43" s="24"/>
      <c r="CA43" s="24"/>
      <c r="CB43" s="24"/>
      <c r="CC43" s="24"/>
      <c r="CD43" s="24"/>
      <c r="CE43" s="24"/>
      <c r="CF43" s="24"/>
      <c r="CG43" s="24"/>
      <c r="CH43" s="24"/>
      <c r="CI43" s="24"/>
      <c r="CJ43" s="24"/>
      <c r="CK43" s="24"/>
      <c r="CL43" s="24"/>
      <c r="CM43" s="24"/>
      <c r="CN43" s="24"/>
      <c r="CO43" s="24"/>
      <c r="CP43" s="24"/>
      <c r="CQ43" s="24"/>
      <c r="CR43" s="24"/>
      <c r="CS43" s="24"/>
      <c r="CT43" s="24"/>
      <c r="CU43" s="24"/>
      <c r="CV43" s="24"/>
      <c r="CW43" s="24"/>
      <c r="CX43" s="24"/>
      <c r="CY43" s="24"/>
      <c r="CZ43" s="24"/>
      <c r="DA43" s="24"/>
      <c r="DB43" s="24"/>
      <c r="DC43" s="24"/>
      <c r="DD43" s="24"/>
      <c r="DE43" s="24"/>
      <c r="DF43" s="24"/>
      <c r="DG43" s="24"/>
      <c r="DH43" s="24"/>
      <c r="DI43" s="24"/>
      <c r="DJ43" s="24"/>
      <c r="DK43" s="24"/>
      <c r="DL43" s="24"/>
      <c r="DM43" s="24"/>
      <c r="DN43" s="24"/>
      <c r="DO43" s="24"/>
      <c r="DP43" s="24"/>
      <c r="DQ43" s="24"/>
      <c r="DR43" s="24"/>
      <c r="DS43" s="24"/>
      <c r="DT43" s="24"/>
      <c r="DU43" s="24"/>
      <c r="DV43" s="24"/>
      <c r="DW43" s="24"/>
      <c r="DX43" s="24"/>
      <c r="DY43" s="24"/>
      <c r="DZ43" s="24"/>
      <c r="EA43" s="24"/>
    </row>
    <row r="44" spans="1:131" ht="13.5" thickBot="1">
      <c r="A44" s="24"/>
      <c r="B44" s="210" t="s">
        <v>473</v>
      </c>
      <c r="C44" s="211" t="s">
        <v>466</v>
      </c>
      <c r="D44" s="211" t="s">
        <v>473</v>
      </c>
      <c r="E44" s="212" t="s">
        <v>466</v>
      </c>
      <c r="F44" s="24"/>
      <c r="G44" s="207" t="s">
        <v>474</v>
      </c>
      <c r="H44" s="208" t="s">
        <v>475</v>
      </c>
      <c r="I44" s="208"/>
      <c r="J44" s="208"/>
      <c r="K44" s="208" t="s">
        <v>461</v>
      </c>
      <c r="L44" s="208"/>
      <c r="M44" s="208"/>
      <c r="N44" s="208"/>
      <c r="O44" s="209"/>
      <c r="P44" s="24"/>
      <c r="Q44" s="207"/>
      <c r="R44" s="208" t="s">
        <v>451</v>
      </c>
      <c r="S44" s="208" t="s">
        <v>452</v>
      </c>
      <c r="T44" s="208" t="s">
        <v>453</v>
      </c>
      <c r="U44" s="209" t="s">
        <v>454</v>
      </c>
      <c r="V44" s="24"/>
      <c r="W44" s="207" t="s">
        <v>476</v>
      </c>
      <c r="X44" s="209">
        <v>2012</v>
      </c>
      <c r="Y44" s="24"/>
      <c r="Z44" s="207" t="s">
        <v>477</v>
      </c>
      <c r="AA44" s="208">
        <v>0.9</v>
      </c>
      <c r="AB44" s="209" t="s">
        <v>274</v>
      </c>
      <c r="AC44" s="24"/>
      <c r="AD44" s="24"/>
      <c r="AE44" s="24"/>
      <c r="AF44" s="24"/>
      <c r="AG44" s="24"/>
      <c r="AH44" s="24"/>
      <c r="AI44" s="24"/>
      <c r="AJ44" s="24"/>
      <c r="AK44" s="24"/>
      <c r="AL44" s="24"/>
      <c r="AM44" s="24"/>
      <c r="AN44" s="24"/>
      <c r="AO44" s="24"/>
      <c r="AP44" s="24"/>
      <c r="AQ44" s="24"/>
      <c r="AR44" s="24"/>
      <c r="AS44" s="24"/>
      <c r="AT44" s="24"/>
      <c r="AU44" s="24"/>
      <c r="AV44" s="24"/>
      <c r="AW44" s="24"/>
      <c r="AX44" s="24"/>
      <c r="AY44" s="24"/>
      <c r="AZ44" s="24"/>
      <c r="BA44" s="24"/>
      <c r="BB44" s="24"/>
      <c r="BC44" s="24"/>
      <c r="BD44" s="24"/>
      <c r="BE44" s="24"/>
      <c r="BF44" s="24"/>
      <c r="BG44" s="24"/>
      <c r="BH44" s="24"/>
      <c r="BI44" s="24"/>
      <c r="BJ44" s="24"/>
      <c r="BK44" s="24"/>
      <c r="BL44" s="24"/>
      <c r="BM44" s="24"/>
      <c r="BN44" s="24"/>
      <c r="BO44" s="24"/>
      <c r="BP44" s="24"/>
      <c r="BQ44" s="24"/>
      <c r="BR44" s="24"/>
      <c r="BS44" s="24"/>
      <c r="BT44" s="24"/>
      <c r="BU44" s="24"/>
      <c r="BV44" s="24"/>
      <c r="BW44" s="24"/>
      <c r="BX44" s="24"/>
      <c r="BY44" s="24"/>
      <c r="BZ44" s="24"/>
      <c r="CA44" s="24"/>
      <c r="CB44" s="24"/>
      <c r="CC44" s="24"/>
      <c r="CD44" s="24"/>
      <c r="CE44" s="24"/>
      <c r="CF44" s="24"/>
      <c r="CG44" s="24"/>
      <c r="CH44" s="24"/>
      <c r="CI44" s="24"/>
      <c r="CJ44" s="24"/>
      <c r="CK44" s="24"/>
      <c r="CL44" s="24"/>
      <c r="CM44" s="24"/>
      <c r="CN44" s="24"/>
      <c r="CO44" s="24"/>
      <c r="CP44" s="24"/>
      <c r="CQ44" s="24"/>
      <c r="CR44" s="24"/>
      <c r="CS44" s="24"/>
      <c r="CT44" s="24"/>
      <c r="CU44" s="24"/>
      <c r="CV44" s="24"/>
      <c r="CW44" s="24"/>
      <c r="CX44" s="24"/>
      <c r="CY44" s="24"/>
      <c r="CZ44" s="24"/>
      <c r="DA44" s="24"/>
      <c r="DB44" s="24"/>
      <c r="DC44" s="24"/>
      <c r="DD44" s="24"/>
      <c r="DE44" s="24"/>
      <c r="DF44" s="24"/>
      <c r="DG44" s="24"/>
      <c r="DH44" s="24"/>
      <c r="DI44" s="24"/>
      <c r="DJ44" s="24"/>
      <c r="DK44" s="24"/>
      <c r="DL44" s="24"/>
      <c r="DM44" s="24"/>
      <c r="DN44" s="24"/>
      <c r="DO44" s="24"/>
      <c r="DP44" s="24"/>
      <c r="DQ44" s="24"/>
      <c r="DR44" s="24"/>
      <c r="DS44" s="24"/>
      <c r="DT44" s="24"/>
      <c r="DU44" s="24"/>
      <c r="DV44" s="24"/>
      <c r="DW44" s="24"/>
      <c r="DX44" s="24"/>
      <c r="DY44" s="24"/>
      <c r="DZ44" s="24"/>
      <c r="EA44" s="24"/>
    </row>
    <row r="45" spans="1:131">
      <c r="A45" s="24"/>
      <c r="B45" s="24"/>
      <c r="C45" s="24"/>
      <c r="D45" s="24"/>
      <c r="E45" s="24"/>
      <c r="F45" s="24"/>
      <c r="G45" s="207" t="s">
        <v>478</v>
      </c>
      <c r="H45" s="208" t="s">
        <v>468</v>
      </c>
      <c r="I45" s="208"/>
      <c r="J45" s="208"/>
      <c r="K45" s="208"/>
      <c r="L45" s="208"/>
      <c r="M45" s="208"/>
      <c r="N45" s="208"/>
      <c r="O45" s="209"/>
      <c r="P45" s="24"/>
      <c r="Q45" s="207" t="s">
        <v>479</v>
      </c>
      <c r="R45" s="208">
        <v>0.35</v>
      </c>
      <c r="S45" s="208">
        <v>0.19500000000000001</v>
      </c>
      <c r="T45" s="208">
        <v>0.45499999999999996</v>
      </c>
      <c r="U45" s="209">
        <v>0</v>
      </c>
      <c r="V45" s="24"/>
      <c r="W45" s="207" t="s">
        <v>480</v>
      </c>
      <c r="X45" s="209">
        <v>0.04</v>
      </c>
      <c r="Y45" s="24"/>
      <c r="Z45" s="207" t="s">
        <v>481</v>
      </c>
      <c r="AA45" s="208">
        <v>4.7399348199455904E-2</v>
      </c>
      <c r="AB45" s="209">
        <v>0</v>
      </c>
      <c r="AC45" s="24"/>
      <c r="AD45" s="24"/>
      <c r="AE45" s="24"/>
      <c r="AF45" s="24"/>
      <c r="AG45" s="24"/>
      <c r="AH45" s="24"/>
      <c r="AI45" s="24"/>
      <c r="AJ45" s="24"/>
      <c r="AK45" s="24"/>
      <c r="AL45" s="24"/>
      <c r="AM45" s="24"/>
      <c r="AN45" s="24"/>
      <c r="AO45" s="24"/>
      <c r="AP45" s="24"/>
      <c r="AQ45" s="24"/>
      <c r="AR45" s="24"/>
      <c r="AS45" s="24"/>
      <c r="AT45" s="24"/>
      <c r="AU45" s="24"/>
      <c r="AV45" s="24"/>
      <c r="AW45" s="24"/>
      <c r="AX45" s="24"/>
      <c r="AY45" s="24"/>
      <c r="AZ45" s="24"/>
      <c r="BA45" s="24"/>
      <c r="BB45" s="24"/>
      <c r="BC45" s="24"/>
      <c r="BD45" s="24"/>
      <c r="BE45" s="24"/>
      <c r="BF45" s="24"/>
      <c r="BG45" s="24"/>
      <c r="BH45" s="24"/>
      <c r="BI45" s="24"/>
      <c r="BJ45" s="24"/>
      <c r="BK45" s="24"/>
      <c r="BL45" s="24"/>
      <c r="BM45" s="24"/>
      <c r="BN45" s="24"/>
      <c r="BO45" s="24"/>
      <c r="BP45" s="24"/>
      <c r="BQ45" s="24"/>
      <c r="BR45" s="24"/>
      <c r="BS45" s="24"/>
      <c r="BT45" s="24"/>
      <c r="BU45" s="24"/>
      <c r="BV45" s="24"/>
      <c r="BW45" s="24"/>
      <c r="BX45" s="24"/>
      <c r="BY45" s="24"/>
      <c r="BZ45" s="24"/>
      <c r="CA45" s="24"/>
      <c r="CB45" s="24"/>
      <c r="CC45" s="24"/>
      <c r="CD45" s="24"/>
      <c r="CE45" s="24"/>
      <c r="CF45" s="24"/>
      <c r="CG45" s="24"/>
      <c r="CH45" s="24"/>
      <c r="CI45" s="24"/>
      <c r="CJ45" s="24"/>
      <c r="CK45" s="24"/>
      <c r="CL45" s="24"/>
      <c r="CM45" s="24"/>
      <c r="CN45" s="24"/>
      <c r="CO45" s="24"/>
      <c r="CP45" s="24"/>
      <c r="CQ45" s="24"/>
      <c r="CR45" s="24"/>
      <c r="CS45" s="24"/>
      <c r="CT45" s="24"/>
      <c r="CU45" s="24"/>
      <c r="CV45" s="24"/>
      <c r="CW45" s="24"/>
      <c r="CX45" s="24"/>
      <c r="CY45" s="24"/>
      <c r="CZ45" s="24"/>
      <c r="DA45" s="24"/>
      <c r="DB45" s="24"/>
      <c r="DC45" s="24"/>
      <c r="DD45" s="24"/>
      <c r="DE45" s="24"/>
      <c r="DF45" s="24"/>
      <c r="DG45" s="24"/>
      <c r="DH45" s="24"/>
      <c r="DI45" s="24"/>
      <c r="DJ45" s="24"/>
      <c r="DK45" s="24"/>
      <c r="DL45" s="24"/>
      <c r="DM45" s="24"/>
      <c r="DN45" s="24"/>
      <c r="DO45" s="24"/>
      <c r="DP45" s="24"/>
      <c r="DQ45" s="24"/>
      <c r="DR45" s="24"/>
      <c r="DS45" s="24"/>
      <c r="DT45" s="24"/>
      <c r="DU45" s="24"/>
      <c r="DV45" s="24"/>
      <c r="DW45" s="24"/>
      <c r="DX45" s="24"/>
      <c r="DY45" s="24"/>
      <c r="DZ45" s="24"/>
      <c r="EA45" s="24"/>
    </row>
    <row r="46" spans="1:131">
      <c r="A46" s="24"/>
      <c r="B46" s="24" t="s">
        <v>482</v>
      </c>
      <c r="C46" s="24" t="s">
        <v>448</v>
      </c>
      <c r="D46" s="24"/>
      <c r="E46" s="24"/>
      <c r="F46" s="24"/>
      <c r="G46" s="207" t="s">
        <v>483</v>
      </c>
      <c r="H46" s="208" t="s">
        <v>484</v>
      </c>
      <c r="I46" s="208"/>
      <c r="J46" s="208"/>
      <c r="K46" s="208" t="s">
        <v>485</v>
      </c>
      <c r="L46" s="208"/>
      <c r="M46" s="208"/>
      <c r="N46" s="208"/>
      <c r="O46" s="209"/>
      <c r="P46" s="24"/>
      <c r="Q46" s="207" t="s">
        <v>486</v>
      </c>
      <c r="R46" s="208">
        <v>1</v>
      </c>
      <c r="S46" s="208">
        <v>0</v>
      </c>
      <c r="T46" s="208">
        <v>0</v>
      </c>
      <c r="U46" s="209">
        <v>0</v>
      </c>
      <c r="V46" s="24"/>
      <c r="W46" s="207" t="s">
        <v>487</v>
      </c>
      <c r="X46" s="209">
        <v>0</v>
      </c>
      <c r="Y46" s="24"/>
      <c r="Z46" s="207" t="s">
        <v>488</v>
      </c>
      <c r="AA46" s="208">
        <v>31</v>
      </c>
      <c r="AB46" s="209">
        <v>0</v>
      </c>
      <c r="AC46" s="24"/>
      <c r="AD46" s="24"/>
      <c r="AE46" s="24"/>
      <c r="AF46" s="24"/>
      <c r="AG46" s="24"/>
      <c r="AH46" s="24"/>
      <c r="AI46" s="24"/>
      <c r="AJ46" s="24"/>
      <c r="AK46" s="24"/>
      <c r="AL46" s="24"/>
      <c r="AM46" s="24"/>
      <c r="AN46" s="24"/>
      <c r="AO46" s="24"/>
      <c r="AP46" s="24"/>
      <c r="AQ46" s="24"/>
      <c r="AR46" s="24"/>
      <c r="AS46" s="24"/>
      <c r="AT46" s="24"/>
      <c r="AU46" s="24"/>
      <c r="AV46" s="24"/>
      <c r="AW46" s="24"/>
      <c r="AX46" s="24"/>
      <c r="AY46" s="24"/>
      <c r="AZ46" s="24"/>
      <c r="BA46" s="24"/>
      <c r="BB46" s="24"/>
      <c r="BC46" s="24"/>
      <c r="BD46" s="24"/>
      <c r="BE46" s="24"/>
      <c r="BF46" s="24"/>
      <c r="BG46" s="24"/>
      <c r="BH46" s="24"/>
      <c r="BI46" s="24"/>
      <c r="BJ46" s="24"/>
      <c r="BK46" s="24"/>
      <c r="BL46" s="24"/>
      <c r="BM46" s="24"/>
      <c r="BN46" s="24"/>
      <c r="BO46" s="24"/>
      <c r="BP46" s="24"/>
      <c r="BQ46" s="24"/>
      <c r="BR46" s="24"/>
      <c r="BS46" s="24"/>
      <c r="BT46" s="24"/>
      <c r="BU46" s="24"/>
      <c r="BV46" s="24"/>
      <c r="BW46" s="24"/>
      <c r="BX46" s="24"/>
      <c r="BY46" s="24"/>
      <c r="BZ46" s="24"/>
      <c r="CA46" s="24"/>
      <c r="CB46" s="24"/>
      <c r="CC46" s="24"/>
      <c r="CD46" s="24"/>
      <c r="CE46" s="24"/>
      <c r="CF46" s="24"/>
      <c r="CG46" s="24"/>
      <c r="CH46" s="24"/>
      <c r="CI46" s="24"/>
      <c r="CJ46" s="24"/>
      <c r="CK46" s="24"/>
      <c r="CL46" s="24"/>
      <c r="CM46" s="24"/>
      <c r="CN46" s="24"/>
      <c r="CO46" s="24"/>
      <c r="CP46" s="24"/>
      <c r="CQ46" s="24"/>
      <c r="CR46" s="24"/>
      <c r="CS46" s="24"/>
      <c r="CT46" s="24"/>
      <c r="CU46" s="24"/>
      <c r="CV46" s="24"/>
      <c r="CW46" s="24"/>
      <c r="CX46" s="24"/>
      <c r="CY46" s="24"/>
      <c r="CZ46" s="24"/>
      <c r="DA46" s="24"/>
      <c r="DB46" s="24"/>
      <c r="DC46" s="24"/>
      <c r="DD46" s="24"/>
      <c r="DE46" s="24"/>
      <c r="DF46" s="24"/>
      <c r="DG46" s="24"/>
      <c r="DH46" s="24"/>
      <c r="DI46" s="24"/>
      <c r="DJ46" s="24"/>
      <c r="DK46" s="24"/>
      <c r="DL46" s="24"/>
      <c r="DM46" s="24"/>
      <c r="DN46" s="24"/>
      <c r="DO46" s="24"/>
      <c r="DP46" s="24"/>
      <c r="DQ46" s="24"/>
      <c r="DR46" s="24"/>
      <c r="DS46" s="24"/>
      <c r="DT46" s="24"/>
      <c r="DU46" s="24"/>
      <c r="DV46" s="24"/>
      <c r="DW46" s="24"/>
      <c r="DX46" s="24"/>
      <c r="DY46" s="24"/>
      <c r="DZ46" s="24"/>
      <c r="EA46" s="24"/>
    </row>
    <row r="47" spans="1:131">
      <c r="A47" s="24"/>
      <c r="B47" s="24" t="s">
        <v>489</v>
      </c>
      <c r="C47" s="24" t="s">
        <v>490</v>
      </c>
      <c r="D47" s="24"/>
      <c r="E47" s="24"/>
      <c r="F47" s="24"/>
      <c r="G47" s="207" t="s">
        <v>491</v>
      </c>
      <c r="H47" s="208" t="s">
        <v>485</v>
      </c>
      <c r="I47" s="208"/>
      <c r="J47" s="208"/>
      <c r="K47" s="208" t="s">
        <v>492</v>
      </c>
      <c r="L47" s="208"/>
      <c r="M47" s="208"/>
      <c r="N47" s="208"/>
      <c r="O47" s="209"/>
      <c r="P47" s="24"/>
      <c r="Q47" s="207" t="s">
        <v>493</v>
      </c>
      <c r="R47" s="208">
        <v>1</v>
      </c>
      <c r="S47" s="208">
        <v>0</v>
      </c>
      <c r="T47" s="208">
        <v>0</v>
      </c>
      <c r="U47" s="209">
        <v>0</v>
      </c>
      <c r="V47" s="24"/>
      <c r="W47" s="207" t="s">
        <v>494</v>
      </c>
      <c r="X47" s="209">
        <v>0.2</v>
      </c>
      <c r="Y47" s="24"/>
      <c r="Z47" s="207" t="s">
        <v>495</v>
      </c>
      <c r="AA47" s="208">
        <v>0.7</v>
      </c>
      <c r="AB47" s="209" t="s">
        <v>274</v>
      </c>
      <c r="AC47" s="24"/>
      <c r="AD47" s="24"/>
      <c r="AE47" s="24"/>
      <c r="AF47" s="24"/>
      <c r="AG47" s="24"/>
      <c r="AH47" s="24"/>
      <c r="AI47" s="24"/>
      <c r="AJ47" s="24"/>
      <c r="AK47" s="24"/>
      <c r="AL47" s="24"/>
      <c r="AM47" s="24"/>
      <c r="AN47" s="24"/>
      <c r="AO47" s="24"/>
      <c r="AP47" s="24"/>
      <c r="AQ47" s="24"/>
      <c r="AR47" s="24"/>
      <c r="AS47" s="24"/>
      <c r="AT47" s="24"/>
      <c r="AU47" s="24"/>
      <c r="AV47" s="24"/>
      <c r="AW47" s="24"/>
      <c r="AX47" s="24"/>
      <c r="AY47" s="24"/>
      <c r="AZ47" s="24"/>
      <c r="BA47" s="24"/>
      <c r="BB47" s="24"/>
      <c r="BC47" s="24"/>
      <c r="BD47" s="24"/>
      <c r="BE47" s="24"/>
      <c r="BF47" s="24"/>
      <c r="BG47" s="24"/>
      <c r="BH47" s="24"/>
      <c r="BI47" s="24"/>
      <c r="BJ47" s="24"/>
      <c r="BK47" s="24"/>
      <c r="BL47" s="24"/>
      <c r="BM47" s="24"/>
      <c r="BN47" s="24"/>
      <c r="BO47" s="24"/>
      <c r="BP47" s="24"/>
      <c r="BQ47" s="24"/>
      <c r="BR47" s="24"/>
      <c r="BS47" s="24"/>
      <c r="BT47" s="24"/>
      <c r="BU47" s="24"/>
      <c r="BV47" s="24"/>
      <c r="BW47" s="24"/>
      <c r="BX47" s="24"/>
      <c r="BY47" s="24"/>
      <c r="BZ47" s="24"/>
      <c r="CA47" s="24"/>
      <c r="CB47" s="24"/>
      <c r="CC47" s="24"/>
      <c r="CD47" s="24"/>
      <c r="CE47" s="24"/>
      <c r="CF47" s="24"/>
      <c r="CG47" s="24"/>
      <c r="CH47" s="24"/>
      <c r="CI47" s="24"/>
      <c r="CJ47" s="24"/>
      <c r="CK47" s="24"/>
      <c r="CL47" s="24"/>
      <c r="CM47" s="24"/>
      <c r="CN47" s="24"/>
      <c r="CO47" s="24"/>
      <c r="CP47" s="24"/>
      <c r="CQ47" s="24"/>
      <c r="CR47" s="24"/>
      <c r="CS47" s="24"/>
      <c r="CT47" s="24"/>
      <c r="CU47" s="24"/>
      <c r="CV47" s="24"/>
      <c r="CW47" s="24"/>
      <c r="CX47" s="24"/>
      <c r="CY47" s="24"/>
      <c r="CZ47" s="24"/>
      <c r="DA47" s="24"/>
      <c r="DB47" s="24"/>
      <c r="DC47" s="24"/>
      <c r="DD47" s="24"/>
      <c r="DE47" s="24"/>
      <c r="DF47" s="24"/>
      <c r="DG47" s="24"/>
      <c r="DH47" s="24"/>
      <c r="DI47" s="24"/>
      <c r="DJ47" s="24"/>
      <c r="DK47" s="24"/>
      <c r="DL47" s="24"/>
      <c r="DM47" s="24"/>
      <c r="DN47" s="24"/>
      <c r="DO47" s="24"/>
      <c r="DP47" s="24"/>
      <c r="DQ47" s="24"/>
      <c r="DR47" s="24"/>
      <c r="DS47" s="24"/>
      <c r="DT47" s="24"/>
      <c r="DU47" s="24"/>
      <c r="DV47" s="24"/>
      <c r="DW47" s="24"/>
      <c r="DX47" s="24"/>
      <c r="DY47" s="24"/>
      <c r="DZ47" s="24"/>
      <c r="EA47" s="24"/>
    </row>
    <row r="48" spans="1:131">
      <c r="A48" s="24"/>
      <c r="B48" s="24" t="s">
        <v>496</v>
      </c>
      <c r="C48" s="24" t="s">
        <v>497</v>
      </c>
      <c r="D48" s="24"/>
      <c r="E48" s="24"/>
      <c r="F48" s="24"/>
      <c r="G48" s="207" t="s">
        <v>498</v>
      </c>
      <c r="H48" s="208" t="s">
        <v>492</v>
      </c>
      <c r="I48" s="208"/>
      <c r="J48" s="208"/>
      <c r="K48" s="208" t="s">
        <v>499</v>
      </c>
      <c r="L48" s="208"/>
      <c r="M48" s="208"/>
      <c r="N48" s="208"/>
      <c r="O48" s="209"/>
      <c r="P48" s="24"/>
      <c r="Q48" s="207" t="s">
        <v>500</v>
      </c>
      <c r="R48" s="208"/>
      <c r="S48" s="208">
        <v>0.3</v>
      </c>
      <c r="T48" s="208">
        <v>0.7</v>
      </c>
      <c r="U48" s="209">
        <v>0</v>
      </c>
      <c r="V48" s="24"/>
      <c r="W48" s="207" t="s">
        <v>501</v>
      </c>
      <c r="X48" s="209">
        <v>0</v>
      </c>
      <c r="Y48" s="24"/>
      <c r="Z48" s="207" t="s">
        <v>502</v>
      </c>
      <c r="AA48" s="208">
        <v>0</v>
      </c>
      <c r="AB48" s="209">
        <v>0</v>
      </c>
      <c r="AC48" s="24"/>
      <c r="AD48" s="24"/>
      <c r="AE48" s="24"/>
      <c r="AF48" s="24"/>
      <c r="AG48" s="24"/>
      <c r="AH48" s="24"/>
      <c r="AI48" s="24"/>
      <c r="AJ48" s="24"/>
      <c r="AK48" s="24"/>
      <c r="AL48" s="24"/>
      <c r="AM48" s="24"/>
      <c r="AN48" s="24"/>
      <c r="AO48" s="24"/>
      <c r="AP48" s="24"/>
      <c r="AQ48" s="24"/>
      <c r="AR48" s="24"/>
      <c r="AS48" s="24"/>
      <c r="AT48" s="24"/>
      <c r="AU48" s="24"/>
      <c r="AV48" s="24"/>
      <c r="AW48" s="24"/>
      <c r="AX48" s="24"/>
      <c r="AY48" s="24"/>
      <c r="AZ48" s="24"/>
      <c r="BA48" s="24"/>
      <c r="BB48" s="24"/>
      <c r="BC48" s="24"/>
      <c r="BD48" s="24"/>
      <c r="BE48" s="24"/>
      <c r="BF48" s="24"/>
      <c r="BG48" s="24"/>
      <c r="BH48" s="24"/>
      <c r="BI48" s="24"/>
      <c r="BJ48" s="24"/>
      <c r="BK48" s="24"/>
      <c r="BL48" s="24"/>
      <c r="BM48" s="24"/>
      <c r="BN48" s="24"/>
      <c r="BO48" s="24"/>
      <c r="BP48" s="24"/>
      <c r="BQ48" s="24"/>
      <c r="BR48" s="24"/>
      <c r="BS48" s="24"/>
      <c r="BT48" s="24"/>
      <c r="BU48" s="24"/>
      <c r="BV48" s="24"/>
      <c r="BW48" s="24"/>
      <c r="BX48" s="24"/>
      <c r="BY48" s="24"/>
      <c r="BZ48" s="24"/>
      <c r="CA48" s="24"/>
      <c r="CB48" s="24"/>
      <c r="CC48" s="24"/>
      <c r="CD48" s="24"/>
      <c r="CE48" s="24"/>
      <c r="CF48" s="24"/>
      <c r="CG48" s="24"/>
      <c r="CH48" s="24"/>
      <c r="CI48" s="24"/>
      <c r="CJ48" s="24"/>
      <c r="CK48" s="24"/>
      <c r="CL48" s="24"/>
      <c r="CM48" s="24"/>
      <c r="CN48" s="24"/>
      <c r="CO48" s="24"/>
      <c r="CP48" s="24"/>
      <c r="CQ48" s="24"/>
      <c r="CR48" s="24"/>
      <c r="CS48" s="24"/>
      <c r="CT48" s="24"/>
      <c r="CU48" s="24"/>
      <c r="CV48" s="24"/>
      <c r="CW48" s="24"/>
      <c r="CX48" s="24"/>
      <c r="CY48" s="24"/>
      <c r="CZ48" s="24"/>
      <c r="DA48" s="24"/>
      <c r="DB48" s="24"/>
      <c r="DC48" s="24"/>
      <c r="DD48" s="24"/>
      <c r="DE48" s="24"/>
      <c r="DF48" s="24"/>
      <c r="DG48" s="24"/>
      <c r="DH48" s="24"/>
      <c r="DI48" s="24"/>
      <c r="DJ48" s="24"/>
      <c r="DK48" s="24"/>
      <c r="DL48" s="24"/>
      <c r="DM48" s="24"/>
      <c r="DN48" s="24"/>
      <c r="DO48" s="24"/>
      <c r="DP48" s="24"/>
      <c r="DQ48" s="24"/>
      <c r="DR48" s="24"/>
      <c r="DS48" s="24"/>
      <c r="DT48" s="24"/>
      <c r="DU48" s="24"/>
      <c r="DV48" s="24"/>
      <c r="DW48" s="24"/>
      <c r="DX48" s="24"/>
      <c r="DY48" s="24"/>
      <c r="DZ48" s="24"/>
      <c r="EA48" s="24"/>
    </row>
    <row r="49" spans="1:131" ht="13.5" thickBot="1">
      <c r="A49" s="24"/>
      <c r="B49" s="24" t="s">
        <v>503</v>
      </c>
      <c r="C49" s="24" t="s">
        <v>504</v>
      </c>
      <c r="D49" s="24"/>
      <c r="E49" s="24"/>
      <c r="F49" s="24"/>
      <c r="G49" s="210" t="s">
        <v>505</v>
      </c>
      <c r="H49" s="211" t="s">
        <v>499</v>
      </c>
      <c r="I49" s="211"/>
      <c r="J49" s="211"/>
      <c r="K49" s="211"/>
      <c r="L49" s="211"/>
      <c r="M49" s="211"/>
      <c r="N49" s="211"/>
      <c r="O49" s="212"/>
      <c r="P49" s="24"/>
      <c r="Q49" s="210" t="s">
        <v>506</v>
      </c>
      <c r="R49" s="211"/>
      <c r="S49" s="211">
        <v>20</v>
      </c>
      <c r="T49" s="211"/>
      <c r="U49" s="212"/>
      <c r="V49" s="24"/>
      <c r="W49" s="210" t="s">
        <v>507</v>
      </c>
      <c r="X49" s="212">
        <v>2018</v>
      </c>
      <c r="Y49" s="24"/>
      <c r="Z49" s="210" t="s">
        <v>508</v>
      </c>
      <c r="AA49" s="211">
        <v>0</v>
      </c>
      <c r="AB49" s="212">
        <v>0</v>
      </c>
      <c r="AC49" s="24"/>
      <c r="AD49" s="24"/>
      <c r="AE49" s="24"/>
      <c r="AF49" s="24"/>
      <c r="AG49" s="24"/>
      <c r="AH49" s="24"/>
      <c r="AI49" s="24"/>
      <c r="AJ49" s="24"/>
      <c r="AK49" s="24"/>
      <c r="AL49" s="24"/>
      <c r="AM49" s="24"/>
      <c r="AN49" s="24"/>
      <c r="AO49" s="24"/>
      <c r="AP49" s="24"/>
      <c r="AQ49" s="24"/>
      <c r="AR49" s="24"/>
      <c r="AS49" s="24"/>
      <c r="AT49" s="24"/>
      <c r="AU49" s="24"/>
      <c r="AV49" s="24"/>
      <c r="AW49" s="24"/>
      <c r="AX49" s="24"/>
      <c r="AY49" s="24"/>
      <c r="AZ49" s="24"/>
      <c r="BA49" s="24"/>
      <c r="BB49" s="24"/>
      <c r="BC49" s="24"/>
      <c r="BD49" s="24"/>
      <c r="BE49" s="24"/>
      <c r="BF49" s="24"/>
      <c r="BG49" s="24"/>
      <c r="BH49" s="24"/>
      <c r="BI49" s="24"/>
      <c r="BJ49" s="24"/>
      <c r="BK49" s="24"/>
      <c r="BL49" s="24"/>
      <c r="BM49" s="24"/>
      <c r="BN49" s="24"/>
      <c r="BO49" s="24"/>
      <c r="BP49" s="24"/>
      <c r="BQ49" s="24"/>
      <c r="BR49" s="24"/>
      <c r="BS49" s="24"/>
      <c r="BT49" s="24"/>
      <c r="BU49" s="24"/>
      <c r="BV49" s="24"/>
      <c r="BW49" s="24"/>
      <c r="BX49" s="24"/>
      <c r="BY49" s="24"/>
      <c r="BZ49" s="24"/>
      <c r="CA49" s="24"/>
      <c r="CB49" s="24"/>
      <c r="CC49" s="24"/>
      <c r="CD49" s="24"/>
      <c r="CE49" s="24"/>
      <c r="CF49" s="24"/>
      <c r="CG49" s="24"/>
      <c r="CH49" s="24"/>
      <c r="CI49" s="24"/>
      <c r="CJ49" s="24"/>
      <c r="CK49" s="24"/>
      <c r="CL49" s="24"/>
      <c r="CM49" s="24"/>
      <c r="CN49" s="24"/>
      <c r="CO49" s="24"/>
      <c r="CP49" s="24"/>
      <c r="CQ49" s="24"/>
      <c r="CR49" s="24"/>
      <c r="CS49" s="24"/>
      <c r="CT49" s="24"/>
      <c r="CU49" s="24"/>
      <c r="CV49" s="24"/>
      <c r="CW49" s="24"/>
      <c r="CX49" s="24"/>
      <c r="CY49" s="24"/>
      <c r="CZ49" s="24"/>
      <c r="DA49" s="24"/>
      <c r="DB49" s="24"/>
      <c r="DC49" s="24"/>
      <c r="DD49" s="24"/>
      <c r="DE49" s="24"/>
      <c r="DF49" s="24"/>
      <c r="DG49" s="24"/>
      <c r="DH49" s="24"/>
      <c r="DI49" s="24"/>
      <c r="DJ49" s="24"/>
      <c r="DK49" s="24"/>
      <c r="DL49" s="24"/>
      <c r="DM49" s="24"/>
      <c r="DN49" s="24"/>
      <c r="DO49" s="24"/>
      <c r="DP49" s="24"/>
      <c r="DQ49" s="24"/>
      <c r="DR49" s="24"/>
      <c r="DS49" s="24"/>
      <c r="DT49" s="24"/>
      <c r="DU49" s="24"/>
      <c r="DV49" s="24"/>
      <c r="DW49" s="24"/>
      <c r="DX49" s="24"/>
      <c r="DY49" s="24"/>
      <c r="DZ49" s="24"/>
      <c r="EA49" s="24"/>
    </row>
    <row r="50" spans="1:131">
      <c r="A50" s="24"/>
      <c r="B50" s="24"/>
      <c r="C50" s="24"/>
      <c r="D50" s="24"/>
      <c r="E50" s="24"/>
      <c r="F50" s="24"/>
      <c r="G50" s="24"/>
      <c r="H50" s="24"/>
      <c r="I50" s="24"/>
      <c r="J50" s="24"/>
      <c r="K50" s="24"/>
      <c r="L50" s="24"/>
      <c r="M50" s="24"/>
      <c r="N50" s="24"/>
      <c r="O50" s="24"/>
      <c r="P50" s="24"/>
      <c r="Q50" s="24"/>
      <c r="R50" s="24"/>
      <c r="S50" s="24"/>
      <c r="T50" s="24"/>
      <c r="U50" s="24"/>
      <c r="V50" s="24"/>
      <c r="W50" s="24"/>
      <c r="X50" s="24"/>
      <c r="Y50" s="24"/>
      <c r="Z50" s="24"/>
      <c r="AA50" s="24"/>
      <c r="AB50" s="24"/>
      <c r="AC50" s="24"/>
      <c r="AD50" s="24"/>
      <c r="AE50" s="24"/>
      <c r="AF50" s="24"/>
      <c r="AG50" s="24"/>
      <c r="AH50" s="24"/>
      <c r="AI50" s="24"/>
      <c r="AJ50" s="24"/>
      <c r="AK50" s="24"/>
      <c r="AL50" s="24"/>
      <c r="AM50" s="24"/>
      <c r="AN50" s="24"/>
      <c r="AO50" s="24"/>
      <c r="AP50" s="24"/>
      <c r="AQ50" s="24"/>
      <c r="AR50" s="24"/>
      <c r="AS50" s="24"/>
      <c r="AT50" s="24"/>
      <c r="AU50" s="24"/>
      <c r="AV50" s="24"/>
      <c r="AW50" s="24"/>
      <c r="AX50" s="24"/>
      <c r="AY50" s="24"/>
      <c r="AZ50" s="24"/>
      <c r="BA50" s="24"/>
      <c r="BB50" s="24"/>
      <c r="BC50" s="24"/>
      <c r="BD50" s="24"/>
      <c r="BE50" s="24"/>
      <c r="BF50" s="24"/>
      <c r="BG50" s="24"/>
      <c r="BH50" s="24"/>
      <c r="BI50" s="24"/>
      <c r="BJ50" s="24"/>
      <c r="BK50" s="24"/>
      <c r="BL50" s="24"/>
      <c r="BM50" s="24"/>
      <c r="BN50" s="24"/>
      <c r="BO50" s="24"/>
      <c r="BP50" s="24"/>
      <c r="BQ50" s="24"/>
      <c r="BR50" s="24"/>
      <c r="BS50" s="24"/>
      <c r="BT50" s="24"/>
      <c r="BU50" s="24"/>
      <c r="BV50" s="24"/>
      <c r="BW50" s="24"/>
      <c r="BX50" s="24"/>
      <c r="BY50" s="24"/>
      <c r="BZ50" s="24"/>
      <c r="CA50" s="24"/>
      <c r="CB50" s="24"/>
      <c r="CC50" s="24"/>
      <c r="CD50" s="24"/>
      <c r="CE50" s="24"/>
      <c r="CF50" s="24"/>
      <c r="CG50" s="24"/>
      <c r="CH50" s="24"/>
      <c r="CI50" s="24"/>
      <c r="CJ50" s="24"/>
      <c r="CK50" s="24"/>
      <c r="CL50" s="24"/>
      <c r="CM50" s="24"/>
      <c r="CN50" s="24"/>
      <c r="CO50" s="24"/>
      <c r="CP50" s="24"/>
      <c r="CQ50" s="24"/>
      <c r="CR50" s="24"/>
      <c r="CS50" s="24"/>
      <c r="CT50" s="24"/>
      <c r="CU50" s="24"/>
      <c r="CV50" s="24"/>
      <c r="CW50" s="24"/>
      <c r="CX50" s="24"/>
      <c r="CY50" s="24"/>
      <c r="CZ50" s="24"/>
      <c r="DA50" s="24"/>
      <c r="DB50" s="24"/>
      <c r="DC50" s="24"/>
      <c r="DD50" s="24"/>
      <c r="DE50" s="24"/>
      <c r="DF50" s="24"/>
      <c r="DG50" s="24"/>
      <c r="DH50" s="24"/>
      <c r="DI50" s="24"/>
      <c r="DJ50" s="24"/>
      <c r="DK50" s="24"/>
      <c r="DL50" s="24"/>
      <c r="DM50" s="24"/>
      <c r="DN50" s="24"/>
      <c r="DO50" s="24"/>
      <c r="DP50" s="24"/>
      <c r="DQ50" s="24"/>
      <c r="DR50" s="24"/>
      <c r="DS50" s="24"/>
      <c r="DT50" s="24"/>
      <c r="DU50" s="24"/>
      <c r="DV50" s="24"/>
      <c r="DW50" s="24"/>
      <c r="DX50" s="24"/>
      <c r="DY50" s="24"/>
      <c r="DZ50" s="24"/>
      <c r="EA50" s="24"/>
    </row>
    <row r="51" spans="1:131">
      <c r="A51" s="24"/>
      <c r="B51" s="24"/>
      <c r="C51" s="24"/>
      <c r="D51" s="24"/>
      <c r="E51" s="24"/>
      <c r="F51" s="24"/>
      <c r="G51" s="24"/>
      <c r="H51" s="24"/>
      <c r="I51" s="24"/>
      <c r="J51" s="24"/>
      <c r="K51" s="24"/>
      <c r="L51" s="24"/>
      <c r="M51" s="24"/>
      <c r="N51" s="24"/>
      <c r="O51" s="24"/>
      <c r="P51" s="24"/>
      <c r="Q51" s="24"/>
      <c r="R51" s="24"/>
      <c r="S51" s="24"/>
      <c r="T51" s="24"/>
      <c r="U51" s="24"/>
      <c r="V51" s="24"/>
      <c r="W51" s="24"/>
      <c r="X51" s="24"/>
      <c r="Y51" s="24"/>
      <c r="Z51" s="24"/>
      <c r="AA51" s="24"/>
      <c r="AB51" s="24"/>
      <c r="AC51" s="24"/>
      <c r="AD51" s="24"/>
      <c r="AE51" s="24"/>
      <c r="AF51" s="24"/>
      <c r="AG51" s="24"/>
      <c r="AH51" s="24"/>
      <c r="AI51" s="24"/>
      <c r="AJ51" s="24"/>
      <c r="AK51" s="24"/>
      <c r="AL51" s="24"/>
      <c r="AM51" s="24"/>
      <c r="AN51" s="24"/>
      <c r="AO51" s="24"/>
      <c r="AP51" s="24"/>
      <c r="AQ51" s="24"/>
      <c r="AR51" s="24"/>
      <c r="AS51" s="24"/>
      <c r="AT51" s="24"/>
      <c r="AU51" s="24"/>
      <c r="AV51" s="24"/>
      <c r="AW51" s="24"/>
      <c r="AX51" s="24"/>
      <c r="AY51" s="24"/>
      <c r="AZ51" s="24"/>
      <c r="BA51" s="24"/>
      <c r="BB51" s="24"/>
      <c r="BC51" s="24"/>
      <c r="BD51" s="24"/>
      <c r="BE51" s="24"/>
      <c r="BF51" s="24"/>
      <c r="BG51" s="24"/>
      <c r="BH51" s="24"/>
      <c r="BI51" s="24"/>
      <c r="BJ51" s="24"/>
      <c r="BK51" s="24"/>
      <c r="BL51" s="24"/>
      <c r="BM51" s="24"/>
      <c r="BN51" s="24"/>
      <c r="BO51" s="24"/>
      <c r="BP51" s="24"/>
      <c r="BQ51" s="24"/>
      <c r="BR51" s="24"/>
      <c r="BS51" s="24"/>
      <c r="BT51" s="24"/>
      <c r="BU51" s="24"/>
      <c r="BV51" s="24"/>
      <c r="BW51" s="24"/>
      <c r="BX51" s="24"/>
      <c r="BY51" s="24"/>
      <c r="BZ51" s="24"/>
      <c r="CA51" s="24"/>
      <c r="CB51" s="24"/>
      <c r="CC51" s="24"/>
      <c r="CD51" s="24"/>
      <c r="CE51" s="24"/>
      <c r="CF51" s="24"/>
      <c r="CG51" s="24"/>
      <c r="CH51" s="24"/>
      <c r="CI51" s="24"/>
      <c r="CJ51" s="24"/>
      <c r="CK51" s="24"/>
      <c r="CL51" s="24"/>
      <c r="CM51" s="24"/>
      <c r="CN51" s="24"/>
      <c r="CO51" s="24"/>
      <c r="CP51" s="24"/>
      <c r="CQ51" s="24"/>
      <c r="CR51" s="24"/>
      <c r="CS51" s="24"/>
      <c r="CT51" s="24"/>
      <c r="CU51" s="24"/>
      <c r="CV51" s="24"/>
      <c r="CW51" s="24"/>
      <c r="CX51" s="24"/>
      <c r="CY51" s="24"/>
      <c r="CZ51" s="24"/>
      <c r="DA51" s="24"/>
      <c r="DB51" s="24"/>
      <c r="DC51" s="24"/>
      <c r="DD51" s="24"/>
      <c r="DE51" s="24"/>
      <c r="DF51" s="24"/>
      <c r="DG51" s="24"/>
      <c r="DH51" s="24"/>
      <c r="DI51" s="24"/>
      <c r="DJ51" s="24"/>
      <c r="DK51" s="24"/>
      <c r="DL51" s="24"/>
      <c r="DM51" s="24"/>
      <c r="DN51" s="24"/>
      <c r="DO51" s="24"/>
      <c r="DP51" s="24"/>
      <c r="DQ51" s="24"/>
      <c r="DR51" s="24"/>
      <c r="DS51" s="24"/>
      <c r="DT51" s="24"/>
      <c r="DU51" s="24"/>
      <c r="DV51" s="24"/>
      <c r="DW51" s="24"/>
      <c r="DX51" s="24"/>
      <c r="DY51" s="24"/>
      <c r="DZ51" s="24"/>
      <c r="EA51" s="24"/>
    </row>
    <row r="52" spans="1:131">
      <c r="A52" s="24"/>
      <c r="B52" s="24"/>
      <c r="C52" s="24"/>
      <c r="D52" s="24"/>
      <c r="E52" s="24"/>
      <c r="F52" s="24"/>
      <c r="G52" s="24"/>
      <c r="H52" s="24"/>
      <c r="I52" s="24"/>
      <c r="J52" s="24"/>
      <c r="K52" s="24"/>
      <c r="L52" s="24"/>
      <c r="M52" s="24"/>
      <c r="N52" s="24"/>
      <c r="O52" s="24"/>
      <c r="P52" s="24"/>
      <c r="Q52" s="24"/>
      <c r="R52" s="24"/>
      <c r="S52" s="24"/>
      <c r="T52" s="24"/>
      <c r="U52" s="24"/>
      <c r="V52" s="24"/>
      <c r="W52" s="24"/>
      <c r="X52" s="24"/>
      <c r="Y52" s="24"/>
      <c r="Z52" s="24"/>
      <c r="AA52" s="24"/>
      <c r="AB52" s="24"/>
      <c r="AC52" s="24"/>
      <c r="AD52" s="24"/>
      <c r="AE52" s="24"/>
      <c r="AF52" s="24"/>
      <c r="AG52" s="24"/>
      <c r="AH52" s="24"/>
      <c r="AI52" s="24"/>
      <c r="AJ52" s="24"/>
      <c r="AK52" s="24"/>
      <c r="AL52" s="24"/>
      <c r="AM52" s="24"/>
      <c r="AN52" s="24"/>
      <c r="AO52" s="24"/>
      <c r="AP52" s="24"/>
      <c r="AQ52" s="24"/>
      <c r="AR52" s="24"/>
      <c r="AS52" s="24"/>
      <c r="AT52" s="24"/>
      <c r="AU52" s="24"/>
      <c r="AV52" s="24"/>
      <c r="AW52" s="24"/>
      <c r="AX52" s="24"/>
      <c r="AY52" s="24"/>
      <c r="AZ52" s="24"/>
      <c r="BA52" s="24"/>
      <c r="BB52" s="24"/>
      <c r="BC52" s="24"/>
      <c r="BD52" s="24"/>
      <c r="BE52" s="24"/>
      <c r="BF52" s="24"/>
      <c r="BG52" s="24"/>
      <c r="BH52" s="24"/>
      <c r="BI52" s="24"/>
      <c r="BJ52" s="24"/>
      <c r="BK52" s="24"/>
      <c r="BL52" s="24"/>
      <c r="BM52" s="24"/>
      <c r="BN52" s="24"/>
      <c r="BO52" s="24"/>
      <c r="BP52" s="24"/>
      <c r="BQ52" s="24"/>
      <c r="BR52" s="24"/>
      <c r="BS52" s="24"/>
      <c r="BT52" s="24"/>
      <c r="BU52" s="24"/>
      <c r="BV52" s="24"/>
      <c r="BW52" s="24"/>
      <c r="BX52" s="24"/>
      <c r="BY52" s="24"/>
      <c r="BZ52" s="24"/>
      <c r="CA52" s="24"/>
      <c r="CB52" s="24"/>
      <c r="CC52" s="24"/>
      <c r="CD52" s="24"/>
      <c r="CE52" s="24"/>
      <c r="CF52" s="24"/>
      <c r="CG52" s="24"/>
      <c r="CH52" s="24"/>
      <c r="CI52" s="24"/>
      <c r="CJ52" s="24"/>
      <c r="CK52" s="24"/>
      <c r="CL52" s="24"/>
      <c r="CM52" s="24"/>
      <c r="CN52" s="24"/>
      <c r="CO52" s="24"/>
      <c r="CP52" s="24"/>
      <c r="CQ52" s="24"/>
      <c r="CR52" s="24"/>
      <c r="CS52" s="24"/>
      <c r="CT52" s="24"/>
      <c r="CU52" s="24"/>
      <c r="CV52" s="24"/>
      <c r="CW52" s="24"/>
      <c r="CX52" s="24"/>
      <c r="CY52" s="24"/>
      <c r="CZ52" s="24"/>
      <c r="DA52" s="24"/>
      <c r="DB52" s="24"/>
      <c r="DC52" s="24"/>
      <c r="DD52" s="24"/>
      <c r="DE52" s="24"/>
      <c r="DF52" s="24"/>
      <c r="DG52" s="24"/>
      <c r="DH52" s="24"/>
      <c r="DI52" s="24"/>
      <c r="DJ52" s="24"/>
      <c r="DK52" s="24"/>
      <c r="DL52" s="24"/>
      <c r="DM52" s="24"/>
      <c r="DN52" s="24"/>
      <c r="DO52" s="24"/>
      <c r="DP52" s="24"/>
      <c r="DQ52" s="24"/>
      <c r="DR52" s="24"/>
      <c r="DS52" s="24"/>
      <c r="DT52" s="24"/>
      <c r="DU52" s="24"/>
      <c r="DV52" s="24"/>
      <c r="DW52" s="24"/>
      <c r="DX52" s="24"/>
      <c r="DY52" s="24"/>
      <c r="DZ52" s="24"/>
      <c r="EA52" s="24"/>
    </row>
    <row r="53" spans="1:131">
      <c r="A53" s="24"/>
      <c r="B53" s="24"/>
      <c r="C53" s="24"/>
      <c r="D53" s="24"/>
      <c r="E53" s="24"/>
      <c r="F53" s="24"/>
      <c r="G53" s="24"/>
      <c r="H53" s="24"/>
      <c r="I53" s="24"/>
      <c r="J53" s="24"/>
      <c r="K53" s="24"/>
      <c r="L53" s="24"/>
      <c r="M53" s="24"/>
      <c r="N53" s="24"/>
      <c r="O53" s="24"/>
      <c r="P53" s="24"/>
      <c r="Q53" s="24"/>
      <c r="R53" s="24"/>
      <c r="S53" s="24"/>
      <c r="T53" s="24"/>
      <c r="U53" s="24"/>
      <c r="V53" s="24"/>
      <c r="W53" s="24"/>
      <c r="X53" s="24"/>
      <c r="Y53" s="24"/>
      <c r="Z53" s="24"/>
      <c r="AA53" s="24"/>
      <c r="AB53" s="24"/>
      <c r="AC53" s="24"/>
      <c r="AD53" s="24"/>
      <c r="AE53" s="24"/>
      <c r="AF53" s="24"/>
      <c r="AG53" s="24"/>
      <c r="AH53" s="24"/>
      <c r="AI53" s="24"/>
      <c r="AJ53" s="24"/>
      <c r="AK53" s="24"/>
      <c r="AL53" s="24"/>
      <c r="AM53" s="24"/>
      <c r="AN53" s="24"/>
      <c r="AO53" s="24"/>
      <c r="AP53" s="24"/>
      <c r="AQ53" s="24"/>
      <c r="AR53" s="24"/>
      <c r="AS53" s="24"/>
      <c r="AT53" s="24"/>
      <c r="AU53" s="24"/>
      <c r="AV53" s="24"/>
      <c r="AW53" s="24"/>
      <c r="AX53" s="24"/>
      <c r="AY53" s="24"/>
      <c r="AZ53" s="24"/>
      <c r="BA53" s="24"/>
      <c r="BB53" s="24"/>
      <c r="BC53" s="24"/>
      <c r="BD53" s="24"/>
      <c r="BE53" s="24"/>
      <c r="BF53" s="24"/>
      <c r="BG53" s="24"/>
      <c r="BH53" s="24"/>
      <c r="BI53" s="24"/>
      <c r="BJ53" s="24"/>
      <c r="BK53" s="24"/>
      <c r="BL53" s="24"/>
      <c r="BM53" s="24"/>
      <c r="BN53" s="24"/>
      <c r="BO53" s="24"/>
      <c r="BP53" s="24"/>
      <c r="BQ53" s="24"/>
      <c r="BR53" s="24"/>
      <c r="BS53" s="24"/>
      <c r="BT53" s="24"/>
      <c r="BU53" s="24"/>
      <c r="BV53" s="24"/>
      <c r="BW53" s="24"/>
      <c r="BX53" s="24"/>
      <c r="BY53" s="24"/>
      <c r="BZ53" s="24"/>
      <c r="CA53" s="24"/>
      <c r="CB53" s="24"/>
      <c r="CC53" s="24"/>
      <c r="CD53" s="24"/>
      <c r="CE53" s="24"/>
      <c r="CF53" s="24"/>
      <c r="CG53" s="24"/>
      <c r="CH53" s="24"/>
      <c r="CI53" s="24"/>
      <c r="CJ53" s="24"/>
      <c r="CK53" s="24"/>
      <c r="CL53" s="24"/>
      <c r="CM53" s="24"/>
      <c r="CN53" s="24"/>
      <c r="CO53" s="24"/>
      <c r="CP53" s="24"/>
      <c r="CQ53" s="24"/>
      <c r="CR53" s="24"/>
      <c r="CS53" s="24"/>
      <c r="CT53" s="24"/>
      <c r="CU53" s="24"/>
      <c r="CV53" s="24"/>
      <c r="CW53" s="24"/>
      <c r="CX53" s="24"/>
      <c r="CY53" s="24"/>
      <c r="CZ53" s="24"/>
      <c r="DA53" s="24"/>
      <c r="DB53" s="24"/>
      <c r="DC53" s="24"/>
      <c r="DD53" s="24"/>
      <c r="DE53" s="24"/>
      <c r="DF53" s="24"/>
      <c r="DG53" s="24"/>
      <c r="DH53" s="24"/>
      <c r="DI53" s="24"/>
      <c r="DJ53" s="24"/>
      <c r="DK53" s="24"/>
      <c r="DL53" s="24"/>
      <c r="DM53" s="24"/>
      <c r="DN53" s="24"/>
      <c r="DO53" s="24"/>
      <c r="DP53" s="24"/>
      <c r="DQ53" s="24"/>
      <c r="DR53" s="24"/>
      <c r="DS53" s="24"/>
      <c r="DT53" s="24"/>
      <c r="DU53" s="24"/>
      <c r="DV53" s="24"/>
      <c r="DW53" s="24"/>
      <c r="DX53" s="24"/>
      <c r="DY53" s="24"/>
      <c r="DZ53" s="24"/>
      <c r="EA53" s="24"/>
    </row>
    <row r="54" spans="1:131">
      <c r="A54" s="24"/>
      <c r="B54" s="24"/>
      <c r="C54" s="24"/>
      <c r="D54" s="24"/>
      <c r="E54" s="24"/>
      <c r="F54" s="24"/>
      <c r="G54" s="24"/>
      <c r="H54" s="24"/>
      <c r="I54" s="24"/>
      <c r="J54" s="24"/>
      <c r="K54" s="24"/>
      <c r="L54" s="24"/>
      <c r="M54" s="24"/>
      <c r="N54" s="24"/>
      <c r="O54" s="24"/>
      <c r="P54" s="24"/>
      <c r="Q54" s="24"/>
      <c r="R54" s="24"/>
      <c r="S54" s="24"/>
      <c r="T54" s="24"/>
      <c r="U54" s="24"/>
      <c r="V54" s="24"/>
      <c r="W54" s="24"/>
      <c r="X54" s="24"/>
      <c r="Y54" s="24"/>
      <c r="Z54" s="24"/>
      <c r="AA54" s="24"/>
      <c r="AB54" s="24"/>
      <c r="AC54" s="24"/>
      <c r="AD54" s="24"/>
      <c r="AE54" s="24"/>
      <c r="AF54" s="24"/>
      <c r="AG54" s="24"/>
      <c r="AH54" s="24"/>
      <c r="AI54" s="24"/>
      <c r="AJ54" s="24"/>
      <c r="AK54" s="24"/>
      <c r="AL54" s="24"/>
      <c r="AM54" s="24"/>
      <c r="AN54" s="24"/>
      <c r="AO54" s="24"/>
      <c r="AP54" s="24"/>
      <c r="AQ54" s="24"/>
      <c r="AR54" s="24"/>
      <c r="AS54" s="24"/>
      <c r="AT54" s="24"/>
      <c r="AU54" s="24"/>
      <c r="AV54" s="24"/>
      <c r="AW54" s="24"/>
      <c r="AX54" s="24"/>
      <c r="AY54" s="24"/>
      <c r="AZ54" s="24"/>
      <c r="BA54" s="24"/>
      <c r="BB54" s="24"/>
      <c r="BC54" s="24"/>
      <c r="BD54" s="24"/>
      <c r="BE54" s="24"/>
      <c r="BF54" s="24"/>
      <c r="BG54" s="24"/>
      <c r="BH54" s="24"/>
      <c r="BI54" s="24"/>
      <c r="BJ54" s="24"/>
      <c r="BK54" s="24"/>
      <c r="BL54" s="24"/>
      <c r="BM54" s="24"/>
      <c r="BN54" s="24"/>
      <c r="BO54" s="24"/>
      <c r="BP54" s="24"/>
      <c r="BQ54" s="24"/>
      <c r="BR54" s="24"/>
      <c r="BS54" s="24"/>
      <c r="BT54" s="24"/>
      <c r="BU54" s="24"/>
      <c r="BV54" s="24"/>
      <c r="BW54" s="24"/>
      <c r="BX54" s="24"/>
      <c r="BY54" s="24"/>
      <c r="BZ54" s="24"/>
      <c r="CA54" s="24"/>
      <c r="CB54" s="24"/>
      <c r="CC54" s="24"/>
      <c r="CD54" s="24"/>
      <c r="CE54" s="24"/>
      <c r="CF54" s="24"/>
      <c r="CG54" s="24"/>
      <c r="CH54" s="24"/>
      <c r="CI54" s="24"/>
      <c r="CJ54" s="24"/>
      <c r="CK54" s="24"/>
      <c r="CL54" s="24"/>
      <c r="CM54" s="24"/>
      <c r="CN54" s="24"/>
      <c r="CO54" s="24"/>
      <c r="CP54" s="24"/>
      <c r="CQ54" s="24"/>
      <c r="CR54" s="24"/>
      <c r="CS54" s="24"/>
      <c r="CT54" s="24"/>
      <c r="CU54" s="24"/>
      <c r="CV54" s="24"/>
      <c r="CW54" s="24"/>
      <c r="CX54" s="24"/>
      <c r="CY54" s="24"/>
      <c r="CZ54" s="24"/>
      <c r="DA54" s="24"/>
      <c r="DB54" s="24"/>
      <c r="DC54" s="24"/>
      <c r="DD54" s="24"/>
      <c r="DE54" s="24"/>
      <c r="DF54" s="24"/>
      <c r="DG54" s="24"/>
      <c r="DH54" s="24"/>
      <c r="DI54" s="24"/>
      <c r="DJ54" s="24"/>
      <c r="DK54" s="24"/>
      <c r="DL54" s="24"/>
      <c r="DM54" s="24"/>
      <c r="DN54" s="24"/>
      <c r="DO54" s="24"/>
      <c r="DP54" s="24"/>
      <c r="DQ54" s="24"/>
      <c r="DR54" s="24"/>
      <c r="DS54" s="24"/>
      <c r="DT54" s="24"/>
      <c r="DU54" s="24"/>
      <c r="DV54" s="24"/>
      <c r="DW54" s="24"/>
      <c r="DX54" s="24"/>
      <c r="DY54" s="24"/>
      <c r="DZ54" s="24"/>
      <c r="EA54" s="24"/>
    </row>
    <row r="55" spans="1:131">
      <c r="A55" s="24"/>
      <c r="B55" s="24"/>
      <c r="C55" s="24"/>
      <c r="D55" s="24"/>
      <c r="E55" s="24"/>
      <c r="F55" s="24"/>
      <c r="G55" s="2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c r="BD55" s="24"/>
      <c r="BE55" s="24"/>
      <c r="BF55" s="24"/>
      <c r="BG55" s="24"/>
      <c r="BH55" s="24"/>
      <c r="BI55" s="24"/>
      <c r="BJ55" s="24"/>
      <c r="BK55" s="24"/>
      <c r="BL55" s="24"/>
      <c r="BM55" s="24"/>
      <c r="BN55" s="24"/>
      <c r="BO55" s="24"/>
      <c r="BP55" s="24"/>
      <c r="BQ55" s="24"/>
      <c r="BR55" s="24"/>
      <c r="BS55" s="24"/>
      <c r="BT55" s="24"/>
      <c r="BU55" s="24"/>
      <c r="BV55" s="24"/>
      <c r="BW55" s="24"/>
      <c r="BX55" s="24"/>
      <c r="BY55" s="24"/>
      <c r="BZ55" s="24"/>
      <c r="CA55" s="24"/>
      <c r="CB55" s="24"/>
      <c r="CC55" s="24"/>
      <c r="CD55" s="24"/>
      <c r="CE55" s="24"/>
      <c r="CF55" s="24"/>
      <c r="CG55" s="24"/>
      <c r="CH55" s="24"/>
      <c r="CI55" s="24"/>
      <c r="CJ55" s="24"/>
      <c r="CK55" s="24"/>
      <c r="CL55" s="24"/>
      <c r="CM55" s="24"/>
      <c r="CN55" s="24"/>
      <c r="CO55" s="24"/>
      <c r="CP55" s="24"/>
      <c r="CQ55" s="24"/>
      <c r="CR55" s="24"/>
      <c r="CS55" s="24"/>
      <c r="CT55" s="24"/>
      <c r="CU55" s="24"/>
      <c r="CV55" s="24"/>
      <c r="CW55" s="24"/>
      <c r="CX55" s="24"/>
      <c r="CY55" s="24"/>
      <c r="CZ55" s="24"/>
      <c r="DA55" s="24"/>
      <c r="DB55" s="24"/>
      <c r="DC55" s="24"/>
      <c r="DD55" s="24"/>
      <c r="DE55" s="24"/>
      <c r="DF55" s="24"/>
      <c r="DG55" s="24"/>
      <c r="DH55" s="24"/>
      <c r="DI55" s="24"/>
      <c r="DJ55" s="24"/>
      <c r="DK55" s="24"/>
      <c r="DL55" s="24"/>
      <c r="DM55" s="24"/>
      <c r="DN55" s="24"/>
      <c r="DO55" s="24"/>
      <c r="DP55" s="24"/>
      <c r="DQ55" s="24"/>
      <c r="DR55" s="24"/>
      <c r="DS55" s="24"/>
      <c r="DT55" s="24"/>
      <c r="DU55" s="24"/>
      <c r="DV55" s="24"/>
      <c r="DW55" s="24"/>
      <c r="DX55" s="24"/>
      <c r="DY55" s="24"/>
      <c r="DZ55" s="24"/>
      <c r="EA55" s="24"/>
    </row>
    <row r="56" spans="1:131">
      <c r="A56" s="24"/>
      <c r="B56" s="24"/>
      <c r="C56" s="24"/>
      <c r="D56" s="24"/>
      <c r="E56" s="24"/>
      <c r="F56" s="24"/>
      <c r="G56" s="2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c r="BD56" s="24"/>
      <c r="BE56" s="24"/>
      <c r="BF56" s="24"/>
      <c r="BG56" s="24"/>
      <c r="BH56" s="24"/>
      <c r="BI56" s="24"/>
      <c r="BJ56" s="24"/>
      <c r="BK56" s="24"/>
      <c r="BL56" s="24"/>
      <c r="BM56" s="24"/>
      <c r="BN56" s="24"/>
      <c r="BO56" s="24"/>
      <c r="BP56" s="24"/>
      <c r="BQ56" s="24"/>
      <c r="BR56" s="24"/>
      <c r="BS56" s="24"/>
      <c r="BT56" s="24"/>
      <c r="BU56" s="24"/>
      <c r="BV56" s="24"/>
      <c r="BW56" s="24"/>
      <c r="BX56" s="24"/>
      <c r="BY56" s="24"/>
      <c r="BZ56" s="24"/>
      <c r="CA56" s="24"/>
      <c r="CB56" s="24"/>
      <c r="CC56" s="24"/>
      <c r="CD56" s="24"/>
      <c r="CE56" s="24"/>
      <c r="CF56" s="24"/>
      <c r="CG56" s="24"/>
      <c r="CH56" s="24"/>
      <c r="CI56" s="24"/>
      <c r="CJ56" s="24"/>
      <c r="CK56" s="24"/>
      <c r="CL56" s="24"/>
      <c r="CM56" s="24"/>
      <c r="CN56" s="24"/>
      <c r="CO56" s="24"/>
      <c r="CP56" s="24"/>
      <c r="CQ56" s="24"/>
      <c r="CR56" s="24"/>
      <c r="CS56" s="24"/>
      <c r="CT56" s="24"/>
      <c r="CU56" s="24"/>
      <c r="CV56" s="24"/>
      <c r="CW56" s="24"/>
      <c r="CX56" s="24"/>
      <c r="CY56" s="24"/>
      <c r="CZ56" s="24"/>
      <c r="DA56" s="24"/>
      <c r="DB56" s="24"/>
      <c r="DC56" s="24"/>
      <c r="DD56" s="24"/>
      <c r="DE56" s="24"/>
      <c r="DF56" s="24"/>
      <c r="DG56" s="24"/>
      <c r="DH56" s="24"/>
      <c r="DI56" s="24"/>
      <c r="DJ56" s="24"/>
      <c r="DK56" s="24"/>
      <c r="DL56" s="24"/>
      <c r="DM56" s="24"/>
      <c r="DN56" s="24"/>
      <c r="DO56" s="24"/>
      <c r="DP56" s="24"/>
      <c r="DQ56" s="24"/>
      <c r="DR56" s="24"/>
      <c r="DS56" s="24"/>
      <c r="DT56" s="24"/>
      <c r="DU56" s="24"/>
      <c r="DV56" s="24"/>
      <c r="DW56" s="24"/>
      <c r="DX56" s="24"/>
      <c r="DY56" s="24"/>
      <c r="DZ56" s="24"/>
      <c r="EA56" s="24"/>
    </row>
    <row r="57" spans="1:131" ht="13.5" thickBot="1">
      <c r="A57" s="187" t="s">
        <v>509</v>
      </c>
      <c r="B57" s="188"/>
      <c r="C57" s="45"/>
      <c r="D57" s="45"/>
      <c r="E57" s="45"/>
      <c r="F57" s="45"/>
      <c r="G57" s="45"/>
      <c r="H57" s="45"/>
      <c r="I57" s="45"/>
      <c r="J57" s="45"/>
      <c r="K57" s="45"/>
      <c r="L57" s="45"/>
      <c r="M57" s="45"/>
      <c r="N57" s="45"/>
      <c r="O57" s="45"/>
      <c r="P57" s="45"/>
      <c r="Q57" s="45"/>
      <c r="R57" s="45"/>
      <c r="S57" s="45"/>
      <c r="T57" s="45"/>
      <c r="U57" s="45"/>
      <c r="V57" s="45"/>
      <c r="W57" s="45"/>
      <c r="X57" s="45"/>
      <c r="Y57" s="45"/>
      <c r="Z57" s="45"/>
      <c r="AA57" s="45"/>
      <c r="AB57" s="45"/>
      <c r="AC57" s="45"/>
      <c r="AD57" s="45"/>
      <c r="AE57" s="45"/>
      <c r="AF57" s="45"/>
      <c r="AG57" s="45"/>
      <c r="AH57" s="45"/>
      <c r="AI57" s="45"/>
      <c r="AJ57" s="45"/>
      <c r="AK57" s="45"/>
      <c r="AL57" s="45"/>
      <c r="AM57" s="45"/>
      <c r="AN57" s="45"/>
      <c r="AO57" s="45"/>
      <c r="AP57" s="45"/>
      <c r="AQ57" s="45"/>
      <c r="AR57" s="45"/>
      <c r="AS57" s="45"/>
      <c r="AT57" s="45"/>
      <c r="AU57" s="45"/>
      <c r="AV57" s="45"/>
      <c r="AW57" s="45"/>
      <c r="AX57" s="45"/>
      <c r="AY57" s="45"/>
      <c r="AZ57" s="45"/>
      <c r="BA57" s="45"/>
      <c r="BB57" s="45"/>
      <c r="BC57" s="45"/>
      <c r="BD57" s="45"/>
      <c r="BE57" s="45"/>
      <c r="BF57" s="45"/>
      <c r="BG57" s="45"/>
      <c r="BH57" s="45"/>
      <c r="BI57" s="45"/>
      <c r="BJ57" s="45"/>
      <c r="BK57" s="45"/>
      <c r="BL57" s="45"/>
      <c r="BM57" s="45"/>
      <c r="BN57" s="45"/>
      <c r="BO57" s="45"/>
      <c r="BP57" s="45"/>
      <c r="BQ57" s="45"/>
      <c r="BR57" s="45"/>
      <c r="BS57" s="45"/>
      <c r="BT57" s="45"/>
      <c r="BU57" s="45"/>
      <c r="BV57" s="45"/>
      <c r="BW57" s="45"/>
      <c r="BX57" s="45"/>
      <c r="BY57" s="45"/>
      <c r="BZ57" s="45"/>
      <c r="CA57" s="45"/>
      <c r="CB57" s="45"/>
      <c r="CC57" s="45"/>
      <c r="CD57" s="45"/>
      <c r="CE57" s="45"/>
      <c r="CF57" s="45"/>
      <c r="CG57" s="45"/>
      <c r="CH57" s="45"/>
      <c r="CI57" s="45"/>
      <c r="CJ57" s="45"/>
      <c r="CK57" s="45"/>
      <c r="CL57" s="45"/>
      <c r="CM57" s="45"/>
      <c r="CN57" s="45"/>
      <c r="CO57" s="45"/>
      <c r="CP57" s="45"/>
      <c r="CQ57" s="45"/>
      <c r="CR57" s="45"/>
      <c r="CS57" s="45"/>
      <c r="CT57" s="45"/>
      <c r="CU57" s="45"/>
      <c r="CV57" s="45"/>
      <c r="CW57" s="45"/>
      <c r="CX57" s="24"/>
      <c r="CY57" s="24"/>
      <c r="CZ57" s="24"/>
      <c r="DA57" s="24"/>
      <c r="DB57" s="24"/>
      <c r="DC57" s="24"/>
      <c r="DD57" s="24"/>
      <c r="DE57" s="24"/>
      <c r="DF57" s="24"/>
      <c r="DG57" s="24"/>
      <c r="DH57" s="24"/>
      <c r="DI57" s="24"/>
      <c r="DJ57" s="24"/>
      <c r="DK57" s="24"/>
      <c r="DL57" s="24"/>
      <c r="DM57" s="24"/>
      <c r="DN57" s="24"/>
      <c r="DO57" s="24"/>
      <c r="DP57" s="24"/>
      <c r="DQ57" s="24"/>
      <c r="DR57" s="24"/>
      <c r="DS57" s="24"/>
      <c r="DT57" s="24"/>
      <c r="DU57" s="24"/>
      <c r="DV57" s="24"/>
      <c r="DW57" s="24"/>
      <c r="DX57" s="24"/>
      <c r="DY57" s="24"/>
      <c r="DZ57" s="24"/>
      <c r="EA57" s="24"/>
    </row>
    <row r="58" spans="1:131" ht="26.25" thickBot="1">
      <c r="A58" s="213" t="s">
        <v>510</v>
      </c>
      <c r="B58" s="214"/>
      <c r="C58" s="215" t="s">
        <v>511</v>
      </c>
      <c r="D58" s="216"/>
      <c r="E58" s="216"/>
      <c r="F58" s="216"/>
      <c r="G58" s="216"/>
      <c r="H58" s="216"/>
      <c r="I58" s="216"/>
      <c r="J58" s="216"/>
      <c r="K58" s="217"/>
      <c r="L58" s="215" t="s">
        <v>512</v>
      </c>
      <c r="M58" s="216"/>
      <c r="N58" s="216"/>
      <c r="O58" s="216"/>
      <c r="P58" s="216"/>
      <c r="Q58" s="217"/>
      <c r="R58" s="215" t="s">
        <v>513</v>
      </c>
      <c r="S58" s="216"/>
      <c r="T58" s="216"/>
      <c r="U58" s="217"/>
      <c r="V58" s="215" t="s">
        <v>514</v>
      </c>
      <c r="W58" s="216"/>
      <c r="X58" s="216"/>
      <c r="Y58" s="217"/>
      <c r="Z58" s="215" t="s">
        <v>515</v>
      </c>
      <c r="AA58" s="216"/>
      <c r="AB58" s="216"/>
      <c r="AC58" s="217"/>
      <c r="AD58" s="215" t="s">
        <v>516</v>
      </c>
      <c r="AE58" s="216"/>
      <c r="AF58" s="216"/>
      <c r="AG58" s="217"/>
      <c r="AH58" s="215" t="s">
        <v>517</v>
      </c>
      <c r="AI58" s="216"/>
      <c r="AJ58" s="216"/>
      <c r="AK58" s="216"/>
      <c r="AL58" s="217"/>
      <c r="AM58" s="215" t="s">
        <v>518</v>
      </c>
      <c r="AN58" s="216"/>
      <c r="AO58" s="216"/>
      <c r="AP58" s="216"/>
      <c r="AQ58" s="216"/>
      <c r="AR58" s="216"/>
      <c r="AS58" s="217"/>
      <c r="AT58" s="215" t="s">
        <v>519</v>
      </c>
      <c r="AU58" s="216"/>
      <c r="AV58" s="216"/>
      <c r="AW58" s="216"/>
      <c r="AX58" s="216"/>
      <c r="AY58" s="216"/>
      <c r="AZ58" s="217"/>
      <c r="BA58" s="215" t="s">
        <v>520</v>
      </c>
      <c r="BB58" s="216"/>
      <c r="BC58" s="216"/>
      <c r="BD58" s="216"/>
      <c r="BE58" s="216"/>
      <c r="BF58" s="217"/>
      <c r="BG58" s="215" t="s">
        <v>521</v>
      </c>
      <c r="BH58" s="217"/>
      <c r="BI58" s="215" t="s">
        <v>522</v>
      </c>
      <c r="BJ58" s="216"/>
      <c r="BK58" s="216"/>
      <c r="BL58" s="216"/>
      <c r="BM58" s="217"/>
      <c r="BN58" s="215" t="s">
        <v>523</v>
      </c>
      <c r="BO58" s="216"/>
      <c r="BP58" s="216"/>
      <c r="BQ58" s="216"/>
      <c r="BR58" s="216"/>
      <c r="BS58" s="216"/>
      <c r="BT58" s="216"/>
      <c r="BU58" s="216"/>
      <c r="BV58" s="216"/>
      <c r="BW58" s="216"/>
      <c r="BX58" s="216"/>
      <c r="BY58" s="216"/>
      <c r="BZ58" s="216"/>
      <c r="CA58" s="216"/>
      <c r="CB58" s="216"/>
      <c r="CC58" s="217"/>
      <c r="CD58" s="215" t="s">
        <v>524</v>
      </c>
      <c r="CE58" s="217"/>
      <c r="CF58" s="215" t="s">
        <v>525</v>
      </c>
      <c r="CG58" s="216"/>
      <c r="CH58" s="216"/>
      <c r="CI58" s="216"/>
      <c r="CJ58" s="216"/>
      <c r="CK58" s="217"/>
      <c r="CL58" s="218"/>
      <c r="CM58" s="215" t="s">
        <v>19</v>
      </c>
      <c r="CN58" s="216"/>
      <c r="CO58" s="216"/>
      <c r="CP58" s="217"/>
      <c r="CQ58" s="215" t="s">
        <v>526</v>
      </c>
      <c r="CR58" s="216"/>
      <c r="CS58" s="216"/>
      <c r="CT58" s="216"/>
      <c r="CU58" s="217"/>
      <c r="CV58" s="215" t="s">
        <v>527</v>
      </c>
      <c r="CW58" s="217"/>
      <c r="CX58" s="24"/>
      <c r="CY58" s="24"/>
      <c r="CZ58" s="24"/>
      <c r="DA58" s="24"/>
      <c r="DB58" s="24"/>
      <c r="DC58" s="24"/>
      <c r="DD58" s="24"/>
      <c r="DE58" s="24"/>
      <c r="DF58" s="24"/>
      <c r="DG58" s="24"/>
      <c r="DH58" s="24"/>
      <c r="DI58" s="24"/>
      <c r="DJ58" s="24"/>
      <c r="DK58" s="24"/>
      <c r="DL58" s="24"/>
      <c r="DM58" s="24"/>
      <c r="DN58" s="24"/>
      <c r="DO58" s="24"/>
      <c r="DP58" s="24"/>
      <c r="DQ58" s="24"/>
      <c r="DR58" s="24"/>
      <c r="DS58" s="24"/>
      <c r="DT58" s="24"/>
      <c r="DU58" s="24"/>
      <c r="DV58" s="24"/>
      <c r="DW58" s="24"/>
      <c r="DX58" s="24"/>
      <c r="DY58" s="24"/>
      <c r="DZ58" s="24"/>
      <c r="EA58" s="24"/>
    </row>
    <row r="59" spans="1:131" ht="127.5">
      <c r="A59" s="195" t="s">
        <v>387</v>
      </c>
      <c r="B59" s="196" t="s">
        <v>388</v>
      </c>
      <c r="C59" s="197" t="s">
        <v>11</v>
      </c>
      <c r="D59" s="197" t="s">
        <v>528</v>
      </c>
      <c r="E59" s="197" t="s">
        <v>529</v>
      </c>
      <c r="F59" s="197" t="s">
        <v>530</v>
      </c>
      <c r="G59" s="197" t="s">
        <v>531</v>
      </c>
      <c r="H59" s="197" t="s">
        <v>532</v>
      </c>
      <c r="I59" s="197" t="s">
        <v>533</v>
      </c>
      <c r="J59" s="197" t="s">
        <v>534</v>
      </c>
      <c r="K59" s="197" t="s">
        <v>535</v>
      </c>
      <c r="L59" s="197" t="s">
        <v>536</v>
      </c>
      <c r="M59" s="197" t="s">
        <v>537</v>
      </c>
      <c r="N59" s="197" t="s">
        <v>538</v>
      </c>
      <c r="O59" s="197" t="s">
        <v>539</v>
      </c>
      <c r="P59" s="197" t="s">
        <v>540</v>
      </c>
      <c r="Q59" s="197" t="s">
        <v>541</v>
      </c>
      <c r="R59" s="197" t="s">
        <v>542</v>
      </c>
      <c r="S59" s="197" t="s">
        <v>543</v>
      </c>
      <c r="T59" s="197" t="s">
        <v>544</v>
      </c>
      <c r="U59" s="197" t="s">
        <v>451</v>
      </c>
      <c r="V59" s="197" t="s">
        <v>542</v>
      </c>
      <c r="W59" s="197" t="s">
        <v>543</v>
      </c>
      <c r="X59" s="197" t="s">
        <v>544</v>
      </c>
      <c r="Y59" s="197" t="s">
        <v>451</v>
      </c>
      <c r="Z59" s="197" t="s">
        <v>542</v>
      </c>
      <c r="AA59" s="197" t="s">
        <v>543</v>
      </c>
      <c r="AB59" s="197" t="s">
        <v>544</v>
      </c>
      <c r="AC59" s="197" t="s">
        <v>451</v>
      </c>
      <c r="AD59" s="197" t="s">
        <v>542</v>
      </c>
      <c r="AE59" s="197" t="s">
        <v>543</v>
      </c>
      <c r="AF59" s="197" t="s">
        <v>544</v>
      </c>
      <c r="AG59" s="197" t="s">
        <v>451</v>
      </c>
      <c r="AH59" s="197" t="s">
        <v>542</v>
      </c>
      <c r="AI59" s="197" t="s">
        <v>543</v>
      </c>
      <c r="AJ59" s="197" t="s">
        <v>544</v>
      </c>
      <c r="AK59" s="197" t="s">
        <v>451</v>
      </c>
      <c r="AL59" s="197" t="s">
        <v>545</v>
      </c>
      <c r="AM59" s="197" t="s">
        <v>546</v>
      </c>
      <c r="AN59" s="197" t="s">
        <v>547</v>
      </c>
      <c r="AO59" s="197" t="s">
        <v>548</v>
      </c>
      <c r="AP59" s="197" t="s">
        <v>549</v>
      </c>
      <c r="AQ59" s="197" t="s">
        <v>550</v>
      </c>
      <c r="AR59" s="197" t="s">
        <v>551</v>
      </c>
      <c r="AS59" s="197" t="s">
        <v>552</v>
      </c>
      <c r="AT59" s="197" t="s">
        <v>553</v>
      </c>
      <c r="AU59" s="197" t="s">
        <v>554</v>
      </c>
      <c r="AV59" s="197" t="s">
        <v>555</v>
      </c>
      <c r="AW59" s="197" t="s">
        <v>556</v>
      </c>
      <c r="AX59" s="197" t="s">
        <v>557</v>
      </c>
      <c r="AY59" s="197" t="s">
        <v>558</v>
      </c>
      <c r="AZ59" s="197" t="s">
        <v>559</v>
      </c>
      <c r="BA59" s="197" t="s">
        <v>560</v>
      </c>
      <c r="BB59" s="197" t="s">
        <v>561</v>
      </c>
      <c r="BC59" s="197" t="s">
        <v>562</v>
      </c>
      <c r="BD59" s="197" t="s">
        <v>563</v>
      </c>
      <c r="BE59" s="197" t="s">
        <v>564</v>
      </c>
      <c r="BF59" s="197" t="s">
        <v>565</v>
      </c>
      <c r="BG59" s="197" t="s">
        <v>566</v>
      </c>
      <c r="BH59" s="197" t="s">
        <v>567</v>
      </c>
      <c r="BI59" s="197" t="s">
        <v>568</v>
      </c>
      <c r="BJ59" s="197" t="s">
        <v>569</v>
      </c>
      <c r="BK59" s="197" t="s">
        <v>570</v>
      </c>
      <c r="BL59" s="197" t="s">
        <v>571</v>
      </c>
      <c r="BM59" s="197" t="s">
        <v>572</v>
      </c>
      <c r="BN59" s="197" t="s">
        <v>573</v>
      </c>
      <c r="BO59" s="197" t="s">
        <v>574</v>
      </c>
      <c r="BP59" s="197" t="s">
        <v>575</v>
      </c>
      <c r="BQ59" s="197" t="s">
        <v>576</v>
      </c>
      <c r="BR59" s="197" t="s">
        <v>577</v>
      </c>
      <c r="BS59" s="197" t="s">
        <v>578</v>
      </c>
      <c r="BT59" s="197" t="s">
        <v>579</v>
      </c>
      <c r="BU59" s="197" t="s">
        <v>580</v>
      </c>
      <c r="BV59" s="197" t="s">
        <v>581</v>
      </c>
      <c r="BW59" s="197" t="s">
        <v>582</v>
      </c>
      <c r="BX59" s="197" t="s">
        <v>583</v>
      </c>
      <c r="BY59" s="197" t="s">
        <v>584</v>
      </c>
      <c r="BZ59" s="197" t="s">
        <v>585</v>
      </c>
      <c r="CA59" s="197" t="s">
        <v>586</v>
      </c>
      <c r="CB59" s="197" t="s">
        <v>587</v>
      </c>
      <c r="CC59" s="197" t="s">
        <v>588</v>
      </c>
      <c r="CD59" s="197" t="s">
        <v>398</v>
      </c>
      <c r="CE59" s="197" t="s">
        <v>397</v>
      </c>
      <c r="CF59" s="197" t="s">
        <v>589</v>
      </c>
      <c r="CG59" s="197" t="s">
        <v>590</v>
      </c>
      <c r="CH59" s="197" t="s">
        <v>591</v>
      </c>
      <c r="CI59" s="197" t="s">
        <v>592</v>
      </c>
      <c r="CJ59" s="197" t="s">
        <v>593</v>
      </c>
      <c r="CK59" s="197" t="s">
        <v>594</v>
      </c>
      <c r="CL59" s="197"/>
      <c r="CM59" s="197" t="s">
        <v>595</v>
      </c>
      <c r="CN59" s="197" t="s">
        <v>596</v>
      </c>
      <c r="CO59" s="197" t="s">
        <v>597</v>
      </c>
      <c r="CP59" s="197" t="s">
        <v>598</v>
      </c>
      <c r="CQ59" s="197" t="s">
        <v>599</v>
      </c>
      <c r="CR59" s="197" t="s">
        <v>600</v>
      </c>
      <c r="CS59" s="197" t="s">
        <v>601</v>
      </c>
      <c r="CT59" s="197" t="s">
        <v>602</v>
      </c>
      <c r="CU59" s="197" t="s">
        <v>603</v>
      </c>
      <c r="CV59" s="197" t="s">
        <v>604</v>
      </c>
      <c r="CW59" s="219" t="s">
        <v>605</v>
      </c>
      <c r="CX59" s="24"/>
      <c r="CY59" s="24"/>
      <c r="CZ59" s="24"/>
      <c r="DA59" s="24"/>
      <c r="DB59" s="24"/>
      <c r="DC59" s="24"/>
      <c r="DD59" s="24"/>
      <c r="DE59" s="24"/>
      <c r="DF59" s="24"/>
      <c r="DG59" s="24"/>
      <c r="DH59" s="24"/>
      <c r="DI59" s="24"/>
      <c r="DJ59" s="24"/>
      <c r="DK59" s="24"/>
      <c r="DL59" s="24"/>
      <c r="DM59" s="24"/>
      <c r="DN59" s="24"/>
      <c r="DO59" s="24"/>
      <c r="DP59" s="24"/>
      <c r="DQ59" s="24"/>
      <c r="DR59" s="24"/>
      <c r="DS59" s="24"/>
      <c r="DT59" s="24"/>
      <c r="DU59" s="24"/>
      <c r="DV59" s="24"/>
      <c r="DW59" s="24"/>
      <c r="DX59" s="24"/>
      <c r="DY59" s="24"/>
      <c r="DZ59" s="24"/>
      <c r="EA59" s="24"/>
    </row>
    <row r="60" spans="1:131">
      <c r="A60" s="24" t="s">
        <v>413</v>
      </c>
      <c r="B60" s="24" t="s">
        <v>606</v>
      </c>
      <c r="C60" s="45">
        <v>11.627906976744185</v>
      </c>
      <c r="D60" s="45">
        <v>130.19651169604927</v>
      </c>
      <c r="E60" s="45">
        <v>0</v>
      </c>
      <c r="F60" s="45">
        <v>14.537319798098604</v>
      </c>
      <c r="G60" s="45">
        <v>0</v>
      </c>
      <c r="H60" s="45">
        <v>-5.5848064724719757</v>
      </c>
      <c r="I60" s="45" t="s">
        <v>368</v>
      </c>
      <c r="J60" s="45"/>
      <c r="K60" s="45"/>
      <c r="L60" s="45">
        <v>139.58339165168746</v>
      </c>
      <c r="M60" s="45">
        <v>3.2580822604331608E-2</v>
      </c>
      <c r="N60" s="45">
        <v>3.2345668837434206E-2</v>
      </c>
      <c r="O60" s="45">
        <v>0</v>
      </c>
      <c r="P60" s="45">
        <v>0</v>
      </c>
      <c r="Q60" s="45">
        <v>0</v>
      </c>
      <c r="R60" s="45">
        <v>2.8989357645589631</v>
      </c>
      <c r="S60" s="45">
        <v>6.6989996262549925</v>
      </c>
      <c r="T60" s="45">
        <v>0</v>
      </c>
      <c r="U60" s="45">
        <v>14.181078332616323</v>
      </c>
      <c r="V60" s="45" t="s">
        <v>607</v>
      </c>
      <c r="W60" s="45" t="s">
        <v>607</v>
      </c>
      <c r="X60" s="45" t="s">
        <v>607</v>
      </c>
      <c r="Y60" s="45" t="s">
        <v>607</v>
      </c>
      <c r="Z60" s="45">
        <v>0</v>
      </c>
      <c r="AA60" s="45">
        <v>0</v>
      </c>
      <c r="AB60" s="45">
        <v>0</v>
      </c>
      <c r="AC60" s="45">
        <v>0</v>
      </c>
      <c r="AD60" s="45">
        <v>0</v>
      </c>
      <c r="AE60" s="45">
        <v>0</v>
      </c>
      <c r="AF60" s="45">
        <v>0</v>
      </c>
      <c r="AG60" s="45">
        <v>-5.5848064724719757</v>
      </c>
      <c r="AH60" s="45">
        <v>2.8989357645589631</v>
      </c>
      <c r="AI60" s="45">
        <v>6.6989996262549925</v>
      </c>
      <c r="AJ60" s="45">
        <v>0</v>
      </c>
      <c r="AK60" s="45">
        <v>8.5962718601443484</v>
      </c>
      <c r="AL60" s="45">
        <v>18.194207250958303</v>
      </c>
      <c r="AM60" s="45">
        <v>66.903734690655924</v>
      </c>
      <c r="AN60" s="45">
        <v>11.512384306289528</v>
      </c>
      <c r="AO60" s="45">
        <v>0</v>
      </c>
      <c r="AP60" s="45">
        <v>0</v>
      </c>
      <c r="AQ60" s="45">
        <v>78.416118996945457</v>
      </c>
      <c r="AR60" s="45">
        <v>2.8989357645589631</v>
      </c>
      <c r="AS60" s="199">
        <v>27.04996776942227</v>
      </c>
      <c r="AT60" s="45">
        <v>66.903734690655924</v>
      </c>
      <c r="AU60" s="45">
        <v>13.62723405575645</v>
      </c>
      <c r="AV60" s="45">
        <v>0</v>
      </c>
      <c r="AW60" s="45">
        <v>0</v>
      </c>
      <c r="AX60" s="45">
        <v>80.53096874641237</v>
      </c>
      <c r="AY60" s="45">
        <v>6.6989996262549925</v>
      </c>
      <c r="AZ60" s="199">
        <v>12.02134247489612</v>
      </c>
      <c r="BA60" s="45">
        <v>66.903734690655924</v>
      </c>
      <c r="BB60" s="45">
        <v>25.139618362045979</v>
      </c>
      <c r="BC60" s="45">
        <v>0</v>
      </c>
      <c r="BD60" s="45">
        <v>0</v>
      </c>
      <c r="BE60" s="45">
        <v>92.043353052701903</v>
      </c>
      <c r="BF60" s="45">
        <v>9.5979353908139551</v>
      </c>
      <c r="BG60" s="45">
        <v>-8.1928388653111792</v>
      </c>
      <c r="BH60" s="199">
        <v>9.5899117158879044</v>
      </c>
      <c r="BI60" s="45">
        <v>1.5281815774959473</v>
      </c>
      <c r="BJ60" s="45">
        <v>3.5313951904872893</v>
      </c>
      <c r="BK60" s="45">
        <v>0</v>
      </c>
      <c r="BL60" s="45">
        <v>4.5315472155065128</v>
      </c>
      <c r="BM60" s="45">
        <v>9.5911239834897497</v>
      </c>
      <c r="BN60" s="45">
        <v>66.903734690655924</v>
      </c>
      <c r="BO60" s="45">
        <v>0</v>
      </c>
      <c r="BP60" s="45">
        <v>25.139618362045979</v>
      </c>
      <c r="BQ60" s="45">
        <v>0</v>
      </c>
      <c r="BR60" s="45">
        <v>0</v>
      </c>
      <c r="BS60" s="45">
        <v>0</v>
      </c>
      <c r="BT60" s="45">
        <v>0</v>
      </c>
      <c r="BU60" s="45">
        <v>0</v>
      </c>
      <c r="BV60" s="45">
        <v>0</v>
      </c>
      <c r="BW60" s="45">
        <v>0</v>
      </c>
      <c r="BX60" s="45">
        <v>23.779013723430278</v>
      </c>
      <c r="BY60" s="45"/>
      <c r="BZ60" s="45">
        <v>0</v>
      </c>
      <c r="CA60" s="45">
        <v>-5.5848064724719757</v>
      </c>
      <c r="CB60" s="45">
        <v>92.043353052701903</v>
      </c>
      <c r="CC60" s="45">
        <v>18.194207250958303</v>
      </c>
      <c r="CD60" s="199">
        <v>4.1056437689414134</v>
      </c>
      <c r="CE60" s="45">
        <v>-3.6612916498046708</v>
      </c>
      <c r="CF60" s="45">
        <v>1.3260457339362539</v>
      </c>
      <c r="CG60" s="45">
        <v>0</v>
      </c>
      <c r="CH60" s="45">
        <v>1.3260457339362539</v>
      </c>
      <c r="CI60" s="45">
        <v>6.6302111034551553E-2</v>
      </c>
      <c r="CJ60" s="45">
        <v>0</v>
      </c>
      <c r="CK60" s="45">
        <v>6.6302111034551553E-2</v>
      </c>
      <c r="CL60" s="45"/>
      <c r="CM60" s="45">
        <v>0</v>
      </c>
      <c r="CN60" s="45"/>
      <c r="CO60" s="45">
        <v>0</v>
      </c>
      <c r="CP60" s="45">
        <v>0</v>
      </c>
      <c r="CQ60" s="45">
        <v>0</v>
      </c>
      <c r="CR60" s="45">
        <v>0</v>
      </c>
      <c r="CS60" s="45">
        <v>0</v>
      </c>
      <c r="CT60" s="45">
        <v>0</v>
      </c>
      <c r="CU60" s="45">
        <v>0</v>
      </c>
      <c r="CV60" s="45">
        <v>9999</v>
      </c>
      <c r="CW60" s="199">
        <v>9999</v>
      </c>
      <c r="CX60" s="24"/>
      <c r="CY60" s="24"/>
      <c r="CZ60" s="24"/>
      <c r="DA60" s="24"/>
      <c r="DB60" s="24"/>
      <c r="DC60" s="24"/>
      <c r="DD60" s="24"/>
      <c r="DE60" s="24"/>
      <c r="DF60" s="24"/>
      <c r="DG60" s="24"/>
      <c r="DH60" s="24"/>
      <c r="DI60" s="24"/>
      <c r="DJ60" s="24"/>
      <c r="DK60" s="24"/>
      <c r="DL60" s="24"/>
      <c r="DM60" s="24"/>
      <c r="DN60" s="24"/>
      <c r="DO60" s="24"/>
      <c r="DP60" s="24"/>
      <c r="DQ60" s="24"/>
      <c r="DR60" s="24"/>
      <c r="DS60" s="24"/>
      <c r="DT60" s="24"/>
      <c r="DU60" s="24"/>
      <c r="DV60" s="24"/>
      <c r="DW60" s="24"/>
      <c r="DX60" s="24"/>
      <c r="DY60" s="24"/>
      <c r="DZ60" s="24"/>
      <c r="EA60" s="24"/>
    </row>
    <row r="61" spans="1:131">
      <c r="A61" s="24" t="s">
        <v>423</v>
      </c>
      <c r="B61" s="24" t="s">
        <v>608</v>
      </c>
      <c r="C61" s="45">
        <v>11.627906976744185</v>
      </c>
      <c r="D61" s="45">
        <v>51.403081848075573</v>
      </c>
      <c r="E61" s="45">
        <v>0</v>
      </c>
      <c r="F61" s="45">
        <v>5.3072521232113603</v>
      </c>
      <c r="G61" s="45">
        <v>0</v>
      </c>
      <c r="H61" s="45">
        <v>-2.3589192204985965</v>
      </c>
      <c r="I61" s="45" t="s">
        <v>368</v>
      </c>
      <c r="J61" s="45"/>
      <c r="K61" s="45"/>
      <c r="L61" s="45">
        <v>55.109130131336691</v>
      </c>
      <c r="M61" s="45">
        <v>1.2863283886728799E-2</v>
      </c>
      <c r="N61" s="45">
        <v>1.2770442472091442E-2</v>
      </c>
      <c r="O61" s="45">
        <v>0</v>
      </c>
      <c r="P61" s="45">
        <v>0</v>
      </c>
      <c r="Q61" s="45">
        <v>0</v>
      </c>
      <c r="R61" s="45">
        <v>1.0583369703073617</v>
      </c>
      <c r="S61" s="45">
        <v>2.4456557662358143</v>
      </c>
      <c r="T61" s="45">
        <v>0</v>
      </c>
      <c r="U61" s="45">
        <v>5.1771962875886182</v>
      </c>
      <c r="V61" s="45" t="s">
        <v>607</v>
      </c>
      <c r="W61" s="45" t="s">
        <v>607</v>
      </c>
      <c r="X61" s="45" t="s">
        <v>607</v>
      </c>
      <c r="Y61" s="45" t="s">
        <v>607</v>
      </c>
      <c r="Z61" s="45">
        <v>0</v>
      </c>
      <c r="AA61" s="45">
        <v>0</v>
      </c>
      <c r="AB61" s="45">
        <v>0</v>
      </c>
      <c r="AC61" s="45">
        <v>0</v>
      </c>
      <c r="AD61" s="45">
        <v>0</v>
      </c>
      <c r="AE61" s="45">
        <v>0</v>
      </c>
      <c r="AF61" s="45">
        <v>0</v>
      </c>
      <c r="AG61" s="45">
        <v>-2.3589192204985965</v>
      </c>
      <c r="AH61" s="45">
        <v>1.0583369703073617</v>
      </c>
      <c r="AI61" s="45">
        <v>2.4456557662358143</v>
      </c>
      <c r="AJ61" s="45">
        <v>0</v>
      </c>
      <c r="AK61" s="45">
        <v>2.8182770670900217</v>
      </c>
      <c r="AL61" s="45">
        <v>6.3222698036331977</v>
      </c>
      <c r="AM61" s="45">
        <v>26.414364758668693</v>
      </c>
      <c r="AN61" s="45">
        <v>4.5452218731038272</v>
      </c>
      <c r="AO61" s="45">
        <v>0</v>
      </c>
      <c r="AP61" s="45">
        <v>0</v>
      </c>
      <c r="AQ61" s="45">
        <v>30.95958663177252</v>
      </c>
      <c r="AR61" s="45">
        <v>1.0583369703073617</v>
      </c>
      <c r="AS61" s="199">
        <v>29.253052194502146</v>
      </c>
      <c r="AT61" s="45">
        <v>26.414364758668693</v>
      </c>
      <c r="AU61" s="45">
        <v>5.3801889037261148</v>
      </c>
      <c r="AV61" s="45">
        <v>0</v>
      </c>
      <c r="AW61" s="45">
        <v>0</v>
      </c>
      <c r="AX61" s="45">
        <v>31.794553662394808</v>
      </c>
      <c r="AY61" s="45">
        <v>2.4456557662358143</v>
      </c>
      <c r="AZ61" s="199">
        <v>13.000420623925667</v>
      </c>
      <c r="BA61" s="45">
        <v>26.414364758668693</v>
      </c>
      <c r="BB61" s="45">
        <v>9.925410776829942</v>
      </c>
      <c r="BC61" s="45">
        <v>0</v>
      </c>
      <c r="BD61" s="45">
        <v>0</v>
      </c>
      <c r="BE61" s="45">
        <v>36.339775535498632</v>
      </c>
      <c r="BF61" s="45">
        <v>3.503992736543176</v>
      </c>
      <c r="BG61" s="45">
        <v>-8.5738820023119295</v>
      </c>
      <c r="BH61" s="199">
        <v>10.370962004718429</v>
      </c>
      <c r="BI61" s="45">
        <v>1.4130922866523732</v>
      </c>
      <c r="BJ61" s="45">
        <v>3.2654413443301111</v>
      </c>
      <c r="BK61" s="45">
        <v>0</v>
      </c>
      <c r="BL61" s="45">
        <v>3.7629655741853099</v>
      </c>
      <c r="BM61" s="45">
        <v>8.4414992051677942</v>
      </c>
      <c r="BN61" s="45">
        <v>26.414364758668693</v>
      </c>
      <c r="BO61" s="45">
        <v>0</v>
      </c>
      <c r="BP61" s="45">
        <v>9.925410776829942</v>
      </c>
      <c r="BQ61" s="45">
        <v>0</v>
      </c>
      <c r="BR61" s="45">
        <v>0</v>
      </c>
      <c r="BS61" s="45">
        <v>0</v>
      </c>
      <c r="BT61" s="45">
        <v>0</v>
      </c>
      <c r="BU61" s="45">
        <v>0</v>
      </c>
      <c r="BV61" s="45">
        <v>0</v>
      </c>
      <c r="BW61" s="45">
        <v>0</v>
      </c>
      <c r="BX61" s="45">
        <v>8.6811890241317933</v>
      </c>
      <c r="BY61" s="45"/>
      <c r="BZ61" s="45">
        <v>0</v>
      </c>
      <c r="CA61" s="45">
        <v>-2.3589192204985965</v>
      </c>
      <c r="CB61" s="45">
        <v>36.339775535498632</v>
      </c>
      <c r="CC61" s="45">
        <v>6.3222698036331968</v>
      </c>
      <c r="CD61" s="199">
        <v>4.4577643279536225</v>
      </c>
      <c r="CE61" s="45">
        <v>-4.8109164281266183</v>
      </c>
      <c r="CF61" s="45">
        <v>0.52353812331736238</v>
      </c>
      <c r="CG61" s="45">
        <v>0</v>
      </c>
      <c r="CH61" s="45">
        <v>0.52353812331736238</v>
      </c>
      <c r="CI61" s="45">
        <v>2.6176836812384929E-2</v>
      </c>
      <c r="CJ61" s="45">
        <v>0</v>
      </c>
      <c r="CK61" s="45">
        <v>2.6176836812384929E-2</v>
      </c>
      <c r="CL61" s="45"/>
      <c r="CM61" s="45">
        <v>0</v>
      </c>
      <c r="CN61" s="45"/>
      <c r="CO61" s="45">
        <v>0</v>
      </c>
      <c r="CP61" s="45">
        <v>0</v>
      </c>
      <c r="CQ61" s="45">
        <v>0</v>
      </c>
      <c r="CR61" s="45">
        <v>0</v>
      </c>
      <c r="CS61" s="45">
        <v>0</v>
      </c>
      <c r="CT61" s="45">
        <v>0</v>
      </c>
      <c r="CU61" s="45">
        <v>0</v>
      </c>
      <c r="CV61" s="45">
        <v>9999</v>
      </c>
      <c r="CW61" s="199">
        <v>9999</v>
      </c>
      <c r="CX61" s="24"/>
      <c r="CY61" s="24"/>
      <c r="CZ61" s="24"/>
      <c r="DA61" s="24"/>
      <c r="DB61" s="24"/>
      <c r="DC61" s="24"/>
      <c r="DD61" s="24"/>
      <c r="DE61" s="24"/>
      <c r="DF61" s="24"/>
      <c r="DG61" s="24"/>
      <c r="DH61" s="24"/>
      <c r="DI61" s="24"/>
      <c r="DJ61" s="24"/>
      <c r="DK61" s="24"/>
      <c r="DL61" s="24"/>
      <c r="DM61" s="24"/>
      <c r="DN61" s="24"/>
      <c r="DO61" s="24"/>
      <c r="DP61" s="24"/>
      <c r="DQ61" s="24"/>
      <c r="DR61" s="24"/>
      <c r="DS61" s="24"/>
      <c r="DT61" s="24"/>
      <c r="DU61" s="24"/>
      <c r="DV61" s="24"/>
      <c r="DW61" s="24"/>
      <c r="DX61" s="24"/>
      <c r="DY61" s="24"/>
      <c r="DZ61" s="24"/>
      <c r="EA61" s="24"/>
    </row>
    <row r="62" spans="1:131">
      <c r="A62" s="24" t="s">
        <v>424</v>
      </c>
      <c r="B62" s="24" t="s">
        <v>609</v>
      </c>
      <c r="C62" s="45">
        <v>11.627906976744185</v>
      </c>
      <c r="D62" s="45">
        <v>6.2518603404583653</v>
      </c>
      <c r="E62" s="45">
        <v>0</v>
      </c>
      <c r="F62" s="45">
        <v>1.0527185054529571</v>
      </c>
      <c r="G62" s="45">
        <v>0</v>
      </c>
      <c r="H62" s="45">
        <v>-0.12603545489407003</v>
      </c>
      <c r="I62" s="45" t="s">
        <v>368</v>
      </c>
      <c r="J62" s="45"/>
      <c r="K62" s="45"/>
      <c r="L62" s="45">
        <v>6.702605615817987</v>
      </c>
      <c r="M62" s="45">
        <v>1.5644870207817637E-3</v>
      </c>
      <c r="N62" s="45">
        <v>1.5531952550499185E-3</v>
      </c>
      <c r="O62" s="45">
        <v>0</v>
      </c>
      <c r="P62" s="45">
        <v>0</v>
      </c>
      <c r="Q62" s="45">
        <v>0</v>
      </c>
      <c r="R62" s="45">
        <v>0.20992613272976152</v>
      </c>
      <c r="S62" s="45">
        <v>0.48510736315393255</v>
      </c>
      <c r="T62" s="45">
        <v>0</v>
      </c>
      <c r="U62" s="45">
        <v>1.0269213166773528</v>
      </c>
      <c r="V62" s="45" t="s">
        <v>607</v>
      </c>
      <c r="W62" s="45" t="s">
        <v>607</v>
      </c>
      <c r="X62" s="45" t="s">
        <v>607</v>
      </c>
      <c r="Y62" s="45" t="s">
        <v>607</v>
      </c>
      <c r="Z62" s="45">
        <v>0</v>
      </c>
      <c r="AA62" s="45">
        <v>0</v>
      </c>
      <c r="AB62" s="45">
        <v>0</v>
      </c>
      <c r="AC62" s="45">
        <v>0</v>
      </c>
      <c r="AD62" s="45">
        <v>0</v>
      </c>
      <c r="AE62" s="45">
        <v>0</v>
      </c>
      <c r="AF62" s="45">
        <v>0</v>
      </c>
      <c r="AG62" s="45">
        <v>-0.12603545489407003</v>
      </c>
      <c r="AH62" s="45">
        <v>0.20992613272976152</v>
      </c>
      <c r="AI62" s="45">
        <v>0.48510736315393255</v>
      </c>
      <c r="AJ62" s="45">
        <v>0</v>
      </c>
      <c r="AK62" s="45">
        <v>0.90088586178328267</v>
      </c>
      <c r="AL62" s="45">
        <v>1.5959193576669768</v>
      </c>
      <c r="AM62" s="45">
        <v>3.212626821504565</v>
      </c>
      <c r="AN62" s="45">
        <v>0.55280911854715076</v>
      </c>
      <c r="AO62" s="45">
        <v>0</v>
      </c>
      <c r="AP62" s="45">
        <v>0</v>
      </c>
      <c r="AQ62" s="45">
        <v>3.7654359400517157</v>
      </c>
      <c r="AR62" s="45">
        <v>0.20992613272976152</v>
      </c>
      <c r="AS62" s="199">
        <v>17.936956638452305</v>
      </c>
      <c r="AT62" s="45">
        <v>3.212626821504565</v>
      </c>
      <c r="AU62" s="45">
        <v>0.6543613422010951</v>
      </c>
      <c r="AV62" s="45">
        <v>0</v>
      </c>
      <c r="AW62" s="45">
        <v>0</v>
      </c>
      <c r="AX62" s="45">
        <v>3.8669881637056602</v>
      </c>
      <c r="AY62" s="45">
        <v>0.48510736315393255</v>
      </c>
      <c r="AZ62" s="199">
        <v>7.9714068625229286</v>
      </c>
      <c r="BA62" s="45">
        <v>3.212626821504565</v>
      </c>
      <c r="BB62" s="45">
        <v>1.2071704607482459</v>
      </c>
      <c r="BC62" s="45">
        <v>0</v>
      </c>
      <c r="BD62" s="45">
        <v>0</v>
      </c>
      <c r="BE62" s="45">
        <v>4.4197972822528113</v>
      </c>
      <c r="BF62" s="45">
        <v>0.69503349588369412</v>
      </c>
      <c r="BG62" s="45">
        <v>-5.6222813100911182</v>
      </c>
      <c r="BH62" s="199">
        <v>6.3591140692194976</v>
      </c>
      <c r="BI62" s="45">
        <v>2.3045861820546323</v>
      </c>
      <c r="BJ62" s="45">
        <v>5.3255481411486745</v>
      </c>
      <c r="BK62" s="45">
        <v>0</v>
      </c>
      <c r="BL62" s="45">
        <v>9.8899983612178026</v>
      </c>
      <c r="BM62" s="45">
        <v>17.52013268442111</v>
      </c>
      <c r="BN62" s="45">
        <v>3.212626821504565</v>
      </c>
      <c r="BO62" s="45">
        <v>0</v>
      </c>
      <c r="BP62" s="45">
        <v>1.2071704607482459</v>
      </c>
      <c r="BQ62" s="45">
        <v>0</v>
      </c>
      <c r="BR62" s="45">
        <v>0</v>
      </c>
      <c r="BS62" s="45">
        <v>0</v>
      </c>
      <c r="BT62" s="45">
        <v>0</v>
      </c>
      <c r="BU62" s="45">
        <v>0</v>
      </c>
      <c r="BV62" s="45">
        <v>0</v>
      </c>
      <c r="BW62" s="45">
        <v>0</v>
      </c>
      <c r="BX62" s="45">
        <v>1.7219548125610469</v>
      </c>
      <c r="BY62" s="45"/>
      <c r="BZ62" s="45">
        <v>0</v>
      </c>
      <c r="CA62" s="45">
        <v>-0.12603545489407003</v>
      </c>
      <c r="CB62" s="45">
        <v>4.4197972822528104</v>
      </c>
      <c r="CC62" s="45">
        <v>1.5959193576669768</v>
      </c>
      <c r="CD62" s="199">
        <v>2.6399256844527219</v>
      </c>
      <c r="CE62" s="45">
        <v>4.2677170511266942</v>
      </c>
      <c r="CF62" s="45">
        <v>6.3674922051553298E-2</v>
      </c>
      <c r="CG62" s="45">
        <v>0</v>
      </c>
      <c r="CH62" s="45">
        <v>6.3674922051553298E-2</v>
      </c>
      <c r="CI62" s="45">
        <v>3.1837376675135452E-3</v>
      </c>
      <c r="CJ62" s="45">
        <v>0</v>
      </c>
      <c r="CK62" s="45">
        <v>3.1837376675135452E-3</v>
      </c>
      <c r="CL62" s="45"/>
      <c r="CM62" s="45">
        <v>0</v>
      </c>
      <c r="CN62" s="45"/>
      <c r="CO62" s="45">
        <v>0</v>
      </c>
      <c r="CP62" s="45">
        <v>0</v>
      </c>
      <c r="CQ62" s="45">
        <v>0</v>
      </c>
      <c r="CR62" s="45">
        <v>0</v>
      </c>
      <c r="CS62" s="45">
        <v>0</v>
      </c>
      <c r="CT62" s="45">
        <v>0</v>
      </c>
      <c r="CU62" s="45">
        <v>0</v>
      </c>
      <c r="CV62" s="45">
        <v>9999</v>
      </c>
      <c r="CW62" s="199">
        <v>9999</v>
      </c>
      <c r="CX62" s="24"/>
      <c r="CY62" s="24"/>
      <c r="CZ62" s="24"/>
      <c r="DA62" s="24"/>
      <c r="DB62" s="24"/>
      <c r="DC62" s="24"/>
      <c r="DD62" s="24"/>
      <c r="DE62" s="24"/>
      <c r="DF62" s="24"/>
      <c r="DG62" s="24"/>
      <c r="DH62" s="24"/>
      <c r="DI62" s="24"/>
      <c r="DJ62" s="24"/>
      <c r="DK62" s="24"/>
      <c r="DL62" s="24"/>
      <c r="DM62" s="24"/>
      <c r="DN62" s="24"/>
      <c r="DO62" s="24"/>
      <c r="DP62" s="24"/>
      <c r="DQ62" s="24"/>
      <c r="DR62" s="24"/>
      <c r="DS62" s="24"/>
      <c r="DT62" s="24"/>
      <c r="DU62" s="24"/>
      <c r="DV62" s="24"/>
      <c r="DW62" s="24"/>
      <c r="DX62" s="24"/>
      <c r="DY62" s="24"/>
      <c r="DZ62" s="24"/>
      <c r="EA62" s="24"/>
    </row>
    <row r="63" spans="1:131">
      <c r="A63" s="24" t="s">
        <v>427</v>
      </c>
      <c r="B63" s="24" t="s">
        <v>610</v>
      </c>
      <c r="C63" s="45">
        <v>11.627906976744185</v>
      </c>
      <c r="D63" s="45">
        <v>130.19651169604927</v>
      </c>
      <c r="E63" s="45">
        <v>0</v>
      </c>
      <c r="F63" s="45">
        <v>45.543781319840186</v>
      </c>
      <c r="G63" s="45">
        <v>0</v>
      </c>
      <c r="H63" s="45">
        <v>-5.5848064724719757</v>
      </c>
      <c r="I63" s="45" t="s">
        <v>368</v>
      </c>
      <c r="J63" s="45"/>
      <c r="K63" s="45"/>
      <c r="L63" s="45">
        <v>139.58339165168746</v>
      </c>
      <c r="M63" s="45">
        <v>3.2580822604331608E-2</v>
      </c>
      <c r="N63" s="45">
        <v>3.2345668837434206E-2</v>
      </c>
      <c r="O63" s="45">
        <v>0</v>
      </c>
      <c r="P63" s="45">
        <v>0</v>
      </c>
      <c r="Q63" s="45">
        <v>0</v>
      </c>
      <c r="R63" s="45">
        <v>9.0820383918778251</v>
      </c>
      <c r="S63" s="45">
        <v>20.987209353388064</v>
      </c>
      <c r="T63" s="45">
        <v>0</v>
      </c>
      <c r="U63" s="45">
        <v>44.427717036580319</v>
      </c>
      <c r="V63" s="45" t="s">
        <v>607</v>
      </c>
      <c r="W63" s="45" t="s">
        <v>607</v>
      </c>
      <c r="X63" s="45" t="s">
        <v>607</v>
      </c>
      <c r="Y63" s="45" t="s">
        <v>607</v>
      </c>
      <c r="Z63" s="45">
        <v>0</v>
      </c>
      <c r="AA63" s="45">
        <v>0</v>
      </c>
      <c r="AB63" s="45">
        <v>0</v>
      </c>
      <c r="AC63" s="45">
        <v>0</v>
      </c>
      <c r="AD63" s="45">
        <v>0</v>
      </c>
      <c r="AE63" s="45">
        <v>0</v>
      </c>
      <c r="AF63" s="45">
        <v>0</v>
      </c>
      <c r="AG63" s="45">
        <v>-5.5848064724719757</v>
      </c>
      <c r="AH63" s="45">
        <v>9.0820383918778251</v>
      </c>
      <c r="AI63" s="45">
        <v>20.987209353388064</v>
      </c>
      <c r="AJ63" s="45">
        <v>0</v>
      </c>
      <c r="AK63" s="45">
        <v>38.842910564108344</v>
      </c>
      <c r="AL63" s="45">
        <v>68.912158309374234</v>
      </c>
      <c r="AM63" s="45">
        <v>66.903734690655924</v>
      </c>
      <c r="AN63" s="45">
        <v>11.512384306289528</v>
      </c>
      <c r="AO63" s="45">
        <v>0</v>
      </c>
      <c r="AP63" s="45">
        <v>0</v>
      </c>
      <c r="AQ63" s="45">
        <v>78.416118996945457</v>
      </c>
      <c r="AR63" s="45">
        <v>9.0820383918778251</v>
      </c>
      <c r="AS63" s="199">
        <v>8.6341981407030737</v>
      </c>
      <c r="AT63" s="45">
        <v>66.903734690655924</v>
      </c>
      <c r="AU63" s="45">
        <v>13.62723405575645</v>
      </c>
      <c r="AV63" s="45">
        <v>0</v>
      </c>
      <c r="AW63" s="45">
        <v>0</v>
      </c>
      <c r="AX63" s="45">
        <v>80.53096874641237</v>
      </c>
      <c r="AY63" s="45">
        <v>20.987209353388064</v>
      </c>
      <c r="AZ63" s="199">
        <v>3.8371451578154616</v>
      </c>
      <c r="BA63" s="45">
        <v>66.903734690655924</v>
      </c>
      <c r="BB63" s="45">
        <v>25.139618362045979</v>
      </c>
      <c r="BC63" s="45">
        <v>0</v>
      </c>
      <c r="BD63" s="45">
        <v>0</v>
      </c>
      <c r="BE63" s="45">
        <v>92.043353052701903</v>
      </c>
      <c r="BF63" s="45">
        <v>30.069247745265891</v>
      </c>
      <c r="BG63" s="45">
        <v>2.5986670347852585</v>
      </c>
      <c r="BH63" s="199">
        <v>3.0610460837748503</v>
      </c>
      <c r="BI63" s="45">
        <v>4.7876203144122194</v>
      </c>
      <c r="BJ63" s="45">
        <v>11.063462353667457</v>
      </c>
      <c r="BK63" s="45">
        <v>0</v>
      </c>
      <c r="BL63" s="45">
        <v>20.476141991860871</v>
      </c>
      <c r="BM63" s="45">
        <v>36.327224659940548</v>
      </c>
      <c r="BN63" s="45">
        <v>66.903734690655924</v>
      </c>
      <c r="BO63" s="45">
        <v>0</v>
      </c>
      <c r="BP63" s="45">
        <v>25.139618362045979</v>
      </c>
      <c r="BQ63" s="45">
        <v>0</v>
      </c>
      <c r="BR63" s="45">
        <v>0</v>
      </c>
      <c r="BS63" s="45">
        <v>0</v>
      </c>
      <c r="BT63" s="45">
        <v>0</v>
      </c>
      <c r="BU63" s="45">
        <v>0</v>
      </c>
      <c r="BV63" s="45">
        <v>0</v>
      </c>
      <c r="BW63" s="45">
        <v>0</v>
      </c>
      <c r="BX63" s="45">
        <v>74.496964781846202</v>
      </c>
      <c r="BY63" s="45"/>
      <c r="BZ63" s="45">
        <v>0</v>
      </c>
      <c r="CA63" s="45">
        <v>-5.5848064724719757</v>
      </c>
      <c r="CB63" s="45">
        <v>92.043353052701903</v>
      </c>
      <c r="CC63" s="45">
        <v>68.91215830937422</v>
      </c>
      <c r="CD63" s="199">
        <v>1.3104984855566144</v>
      </c>
      <c r="CE63" s="45">
        <v>23.074809026646122</v>
      </c>
      <c r="CF63" s="45">
        <v>1.3260457339362539</v>
      </c>
      <c r="CG63" s="45">
        <v>0</v>
      </c>
      <c r="CH63" s="45">
        <v>1.3260457339362539</v>
      </c>
      <c r="CI63" s="45">
        <v>6.6302111034551553E-2</v>
      </c>
      <c r="CJ63" s="45">
        <v>0</v>
      </c>
      <c r="CK63" s="45">
        <v>6.6302111034551553E-2</v>
      </c>
      <c r="CL63" s="45"/>
      <c r="CM63" s="45">
        <v>0</v>
      </c>
      <c r="CN63" s="45"/>
      <c r="CO63" s="45">
        <v>0</v>
      </c>
      <c r="CP63" s="45">
        <v>0</v>
      </c>
      <c r="CQ63" s="45">
        <v>0</v>
      </c>
      <c r="CR63" s="45">
        <v>0</v>
      </c>
      <c r="CS63" s="45">
        <v>0</v>
      </c>
      <c r="CT63" s="45">
        <v>0</v>
      </c>
      <c r="CU63" s="45">
        <v>0</v>
      </c>
      <c r="CV63" s="45">
        <v>9999</v>
      </c>
      <c r="CW63" s="199">
        <v>9999</v>
      </c>
      <c r="CX63" s="24"/>
      <c r="CY63" s="24"/>
      <c r="CZ63" s="24"/>
      <c r="DA63" s="24"/>
      <c r="DB63" s="24"/>
      <c r="DC63" s="24"/>
      <c r="DD63" s="24"/>
      <c r="DE63" s="24"/>
      <c r="DF63" s="24"/>
      <c r="DG63" s="24"/>
      <c r="DH63" s="24"/>
      <c r="DI63" s="24"/>
      <c r="DJ63" s="24"/>
      <c r="DK63" s="24"/>
      <c r="DL63" s="24"/>
      <c r="DM63" s="24"/>
      <c r="DN63" s="24"/>
      <c r="DO63" s="24"/>
      <c r="DP63" s="24"/>
      <c r="DQ63" s="24"/>
      <c r="DR63" s="24"/>
      <c r="DS63" s="24"/>
      <c r="DT63" s="24"/>
      <c r="DU63" s="24"/>
      <c r="DV63" s="24"/>
      <c r="DW63" s="24"/>
      <c r="DX63" s="24"/>
      <c r="DY63" s="24"/>
      <c r="DZ63" s="24"/>
      <c r="EA63" s="24"/>
    </row>
    <row r="64" spans="1:131">
      <c r="A64" s="24" t="s">
        <v>429</v>
      </c>
      <c r="B64" s="24" t="s">
        <v>611</v>
      </c>
      <c r="C64" s="45">
        <v>11.627906976744185</v>
      </c>
      <c r="D64" s="45">
        <v>51.403081848075573</v>
      </c>
      <c r="E64" s="45">
        <v>0</v>
      </c>
      <c r="F64" s="45">
        <v>13.388193469372712</v>
      </c>
      <c r="G64" s="45">
        <v>0</v>
      </c>
      <c r="H64" s="45">
        <v>-2.3589192204985965</v>
      </c>
      <c r="I64" s="45" t="s">
        <v>368</v>
      </c>
      <c r="J64" s="45"/>
      <c r="K64" s="45"/>
      <c r="L64" s="45">
        <v>55.109130131336691</v>
      </c>
      <c r="M64" s="45">
        <v>1.2863283886728799E-2</v>
      </c>
      <c r="N64" s="45">
        <v>1.2770442472091442E-2</v>
      </c>
      <c r="O64" s="45">
        <v>0</v>
      </c>
      <c r="P64" s="45">
        <v>0</v>
      </c>
      <c r="Q64" s="45">
        <v>0</v>
      </c>
      <c r="R64" s="45">
        <v>2.6697846240044618</v>
      </c>
      <c r="S64" s="45">
        <v>6.1694661941252695</v>
      </c>
      <c r="T64" s="45">
        <v>0</v>
      </c>
      <c r="U64" s="45">
        <v>13.060111695845695</v>
      </c>
      <c r="V64" s="45" t="s">
        <v>607</v>
      </c>
      <c r="W64" s="45" t="s">
        <v>607</v>
      </c>
      <c r="X64" s="45" t="s">
        <v>607</v>
      </c>
      <c r="Y64" s="45" t="s">
        <v>607</v>
      </c>
      <c r="Z64" s="45">
        <v>0</v>
      </c>
      <c r="AA64" s="45">
        <v>0</v>
      </c>
      <c r="AB64" s="45">
        <v>0</v>
      </c>
      <c r="AC64" s="45">
        <v>0</v>
      </c>
      <c r="AD64" s="45">
        <v>0</v>
      </c>
      <c r="AE64" s="45">
        <v>0</v>
      </c>
      <c r="AF64" s="45">
        <v>0</v>
      </c>
      <c r="AG64" s="45">
        <v>-2.3589192204985965</v>
      </c>
      <c r="AH64" s="45">
        <v>2.6697846240044618</v>
      </c>
      <c r="AI64" s="45">
        <v>6.1694661941252695</v>
      </c>
      <c r="AJ64" s="45">
        <v>0</v>
      </c>
      <c r="AK64" s="45">
        <v>10.701192475347099</v>
      </c>
      <c r="AL64" s="45">
        <v>19.54044329347683</v>
      </c>
      <c r="AM64" s="45">
        <v>26.414364758668693</v>
      </c>
      <c r="AN64" s="45">
        <v>4.5452218731038272</v>
      </c>
      <c r="AO64" s="45">
        <v>0</v>
      </c>
      <c r="AP64" s="45">
        <v>0</v>
      </c>
      <c r="AQ64" s="45">
        <v>30.95958663177252</v>
      </c>
      <c r="AR64" s="45">
        <v>2.6697846240044618</v>
      </c>
      <c r="AS64" s="199">
        <v>11.596286214779241</v>
      </c>
      <c r="AT64" s="45">
        <v>26.414364758668693</v>
      </c>
      <c r="AU64" s="45">
        <v>5.3801889037261148</v>
      </c>
      <c r="AV64" s="45">
        <v>0</v>
      </c>
      <c r="AW64" s="45">
        <v>0</v>
      </c>
      <c r="AX64" s="45">
        <v>31.794553662394808</v>
      </c>
      <c r="AY64" s="45">
        <v>6.1694661941252695</v>
      </c>
      <c r="AZ64" s="199">
        <v>5.153533978785787</v>
      </c>
      <c r="BA64" s="45">
        <v>26.414364758668693</v>
      </c>
      <c r="BB64" s="45">
        <v>9.925410776829942</v>
      </c>
      <c r="BC64" s="45">
        <v>0</v>
      </c>
      <c r="BD64" s="45">
        <v>0</v>
      </c>
      <c r="BE64" s="45">
        <v>36.339775535498632</v>
      </c>
      <c r="BF64" s="45">
        <v>8.8392508181297309</v>
      </c>
      <c r="BG64" s="45">
        <v>-1.4502415608368804</v>
      </c>
      <c r="BH64" s="199">
        <v>4.11118275555254</v>
      </c>
      <c r="BI64" s="45">
        <v>3.5646983569969777</v>
      </c>
      <c r="BJ64" s="45">
        <v>8.2374757154605565</v>
      </c>
      <c r="BK64" s="45">
        <v>0</v>
      </c>
      <c r="BL64" s="45">
        <v>14.288239917106688</v>
      </c>
      <c r="BM64" s="45">
        <v>26.090413989564222</v>
      </c>
      <c r="BN64" s="45">
        <v>26.414364758668693</v>
      </c>
      <c r="BO64" s="45">
        <v>0</v>
      </c>
      <c r="BP64" s="45">
        <v>9.925410776829942</v>
      </c>
      <c r="BQ64" s="45">
        <v>0</v>
      </c>
      <c r="BR64" s="45">
        <v>0</v>
      </c>
      <c r="BS64" s="45">
        <v>0</v>
      </c>
      <c r="BT64" s="45">
        <v>0</v>
      </c>
      <c r="BU64" s="45">
        <v>0</v>
      </c>
      <c r="BV64" s="45">
        <v>0</v>
      </c>
      <c r="BW64" s="45">
        <v>0</v>
      </c>
      <c r="BX64" s="45">
        <v>21.899362513975426</v>
      </c>
      <c r="BY64" s="45"/>
      <c r="BZ64" s="45">
        <v>0</v>
      </c>
      <c r="CA64" s="45">
        <v>-2.3589192204985965</v>
      </c>
      <c r="CB64" s="45">
        <v>36.339775535498632</v>
      </c>
      <c r="CC64" s="45">
        <v>19.54044329347683</v>
      </c>
      <c r="CD64" s="199">
        <v>1.7671151263558948</v>
      </c>
      <c r="CE64" s="45">
        <v>12.837998356269809</v>
      </c>
      <c r="CF64" s="45">
        <v>0.52353812331736238</v>
      </c>
      <c r="CG64" s="45">
        <v>0</v>
      </c>
      <c r="CH64" s="45">
        <v>0.52353812331736238</v>
      </c>
      <c r="CI64" s="45">
        <v>2.6176836812384929E-2</v>
      </c>
      <c r="CJ64" s="45">
        <v>0</v>
      </c>
      <c r="CK64" s="45">
        <v>2.6176836812384929E-2</v>
      </c>
      <c r="CL64" s="45"/>
      <c r="CM64" s="45">
        <v>0</v>
      </c>
      <c r="CN64" s="45"/>
      <c r="CO64" s="45">
        <v>0</v>
      </c>
      <c r="CP64" s="45">
        <v>0</v>
      </c>
      <c r="CQ64" s="45">
        <v>0</v>
      </c>
      <c r="CR64" s="45">
        <v>0</v>
      </c>
      <c r="CS64" s="45">
        <v>0</v>
      </c>
      <c r="CT64" s="45">
        <v>0</v>
      </c>
      <c r="CU64" s="45">
        <v>0</v>
      </c>
      <c r="CV64" s="45">
        <v>9999</v>
      </c>
      <c r="CW64" s="199">
        <v>9999</v>
      </c>
      <c r="CX64" s="24"/>
      <c r="CY64" s="24"/>
      <c r="CZ64" s="24"/>
      <c r="DA64" s="24"/>
      <c r="DB64" s="24"/>
      <c r="DC64" s="24"/>
      <c r="DD64" s="24"/>
      <c r="DE64" s="24"/>
      <c r="DF64" s="24"/>
      <c r="DG64" s="24"/>
      <c r="DH64" s="24"/>
      <c r="DI64" s="24"/>
      <c r="DJ64" s="24"/>
      <c r="DK64" s="24"/>
      <c r="DL64" s="24"/>
      <c r="DM64" s="24"/>
      <c r="DN64" s="24"/>
      <c r="DO64" s="24"/>
      <c r="DP64" s="24"/>
      <c r="DQ64" s="24"/>
      <c r="DR64" s="24"/>
      <c r="DS64" s="24"/>
      <c r="DT64" s="24"/>
      <c r="DU64" s="24"/>
      <c r="DV64" s="24"/>
      <c r="DW64" s="24"/>
      <c r="DX64" s="24"/>
      <c r="DY64" s="24"/>
      <c r="DZ64" s="24"/>
      <c r="EA64" s="24"/>
    </row>
    <row r="65" spans="1:131">
      <c r="A65" s="24" t="s">
        <v>433</v>
      </c>
      <c r="B65" s="24" t="s">
        <v>612</v>
      </c>
      <c r="C65" s="45">
        <v>11.627906976744185</v>
      </c>
      <c r="D65" s="45">
        <v>6.2518603404583653</v>
      </c>
      <c r="E65" s="45">
        <v>0</v>
      </c>
      <c r="F65" s="45">
        <v>1.947148610061336</v>
      </c>
      <c r="G65" s="45">
        <v>0</v>
      </c>
      <c r="H65" s="45">
        <v>-0.12603545489407003</v>
      </c>
      <c r="I65" s="45" t="s">
        <v>368</v>
      </c>
      <c r="J65" s="45"/>
      <c r="K65" s="45"/>
      <c r="L65" s="45">
        <v>6.702605615817987</v>
      </c>
      <c r="M65" s="45">
        <v>1.5644870207817637E-3</v>
      </c>
      <c r="N65" s="45">
        <v>1.5531952550499185E-3</v>
      </c>
      <c r="O65" s="45">
        <v>0</v>
      </c>
      <c r="P65" s="45">
        <v>0</v>
      </c>
      <c r="Q65" s="45">
        <v>0</v>
      </c>
      <c r="R65" s="45">
        <v>0.38828744383516756</v>
      </c>
      <c r="S65" s="45">
        <v>0.89727322451624736</v>
      </c>
      <c r="T65" s="45">
        <v>0</v>
      </c>
      <c r="U65" s="45">
        <v>1.8994331381590968</v>
      </c>
      <c r="V65" s="45" t="s">
        <v>607</v>
      </c>
      <c r="W65" s="45" t="s">
        <v>607</v>
      </c>
      <c r="X65" s="45" t="s">
        <v>607</v>
      </c>
      <c r="Y65" s="45" t="s">
        <v>607</v>
      </c>
      <c r="Z65" s="45">
        <v>0</v>
      </c>
      <c r="AA65" s="45">
        <v>0</v>
      </c>
      <c r="AB65" s="45">
        <v>0</v>
      </c>
      <c r="AC65" s="45">
        <v>0</v>
      </c>
      <c r="AD65" s="45">
        <v>0</v>
      </c>
      <c r="AE65" s="45">
        <v>0</v>
      </c>
      <c r="AF65" s="45">
        <v>0</v>
      </c>
      <c r="AG65" s="45">
        <v>-0.12603545489407003</v>
      </c>
      <c r="AH65" s="45">
        <v>0.38828744383516756</v>
      </c>
      <c r="AI65" s="45">
        <v>0.89727322451624736</v>
      </c>
      <c r="AJ65" s="45">
        <v>0</v>
      </c>
      <c r="AK65" s="45">
        <v>1.7733976832650267</v>
      </c>
      <c r="AL65" s="45">
        <v>3.0589583516164418</v>
      </c>
      <c r="AM65" s="45">
        <v>3.212626821504565</v>
      </c>
      <c r="AN65" s="45">
        <v>0.55280911854715076</v>
      </c>
      <c r="AO65" s="45">
        <v>0</v>
      </c>
      <c r="AP65" s="45">
        <v>0</v>
      </c>
      <c r="AQ65" s="45">
        <v>3.7654359400517157</v>
      </c>
      <c r="AR65" s="45">
        <v>0.38828744383516756</v>
      </c>
      <c r="AS65" s="199">
        <v>9.6975475252560219</v>
      </c>
      <c r="AT65" s="45">
        <v>3.212626821504565</v>
      </c>
      <c r="AU65" s="45">
        <v>0.6543613422010951</v>
      </c>
      <c r="AV65" s="45">
        <v>0</v>
      </c>
      <c r="AW65" s="45">
        <v>0</v>
      </c>
      <c r="AX65" s="45">
        <v>3.8669881637056602</v>
      </c>
      <c r="AY65" s="45">
        <v>0.89727322451624736</v>
      </c>
      <c r="AZ65" s="199">
        <v>4.3097108640353046</v>
      </c>
      <c r="BA65" s="45">
        <v>3.212626821504565</v>
      </c>
      <c r="BB65" s="45">
        <v>1.2071704607482459</v>
      </c>
      <c r="BC65" s="45">
        <v>0</v>
      </c>
      <c r="BD65" s="45">
        <v>0</v>
      </c>
      <c r="BE65" s="45">
        <v>4.4197972822528113</v>
      </c>
      <c r="BF65" s="45">
        <v>1.2855606683514149</v>
      </c>
      <c r="BG65" s="45">
        <v>0.86057408337634933</v>
      </c>
      <c r="BH65" s="199">
        <v>3.4380308849373074</v>
      </c>
      <c r="BI65" s="45">
        <v>4.2626511815933537</v>
      </c>
      <c r="BJ65" s="45">
        <v>9.8503385350774213</v>
      </c>
      <c r="BK65" s="45">
        <v>0</v>
      </c>
      <c r="BL65" s="45">
        <v>19.468504197147368</v>
      </c>
      <c r="BM65" s="45">
        <v>33.581493913818143</v>
      </c>
      <c r="BN65" s="45">
        <v>3.212626821504565</v>
      </c>
      <c r="BO65" s="45">
        <v>0</v>
      </c>
      <c r="BP65" s="45">
        <v>1.2071704607482459</v>
      </c>
      <c r="BQ65" s="45">
        <v>0</v>
      </c>
      <c r="BR65" s="45">
        <v>0</v>
      </c>
      <c r="BS65" s="45">
        <v>0</v>
      </c>
      <c r="BT65" s="45">
        <v>0</v>
      </c>
      <c r="BU65" s="45">
        <v>0</v>
      </c>
      <c r="BV65" s="45">
        <v>0</v>
      </c>
      <c r="BW65" s="45">
        <v>0</v>
      </c>
      <c r="BX65" s="45">
        <v>3.1849938065105117</v>
      </c>
      <c r="BY65" s="45"/>
      <c r="BZ65" s="45">
        <v>0</v>
      </c>
      <c r="CA65" s="45">
        <v>-0.12603545489407003</v>
      </c>
      <c r="CB65" s="45">
        <v>4.4197972822528104</v>
      </c>
      <c r="CC65" s="45">
        <v>3.0589583516164418</v>
      </c>
      <c r="CD65" s="199">
        <v>1.4272658012253114</v>
      </c>
      <c r="CE65" s="45">
        <v>20.329078280523731</v>
      </c>
      <c r="CF65" s="45">
        <v>6.3674922051553298E-2</v>
      </c>
      <c r="CG65" s="45">
        <v>0</v>
      </c>
      <c r="CH65" s="45">
        <v>6.3674922051553298E-2</v>
      </c>
      <c r="CI65" s="45">
        <v>3.1837376675135452E-3</v>
      </c>
      <c r="CJ65" s="45">
        <v>0</v>
      </c>
      <c r="CK65" s="45">
        <v>3.1837376675135452E-3</v>
      </c>
      <c r="CL65" s="45"/>
      <c r="CM65" s="45">
        <v>0</v>
      </c>
      <c r="CN65" s="45"/>
      <c r="CO65" s="45">
        <v>0</v>
      </c>
      <c r="CP65" s="45">
        <v>0</v>
      </c>
      <c r="CQ65" s="45">
        <v>0</v>
      </c>
      <c r="CR65" s="45">
        <v>0</v>
      </c>
      <c r="CS65" s="45">
        <v>0</v>
      </c>
      <c r="CT65" s="45">
        <v>0</v>
      </c>
      <c r="CU65" s="45">
        <v>0</v>
      </c>
      <c r="CV65" s="45">
        <v>9999</v>
      </c>
      <c r="CW65" s="199">
        <v>9999</v>
      </c>
      <c r="CX65" s="24"/>
      <c r="CY65" s="24"/>
      <c r="CZ65" s="24"/>
      <c r="DA65" s="24"/>
      <c r="DB65" s="24"/>
      <c r="DC65" s="24"/>
      <c r="DD65" s="24"/>
      <c r="DE65" s="24"/>
      <c r="DF65" s="24"/>
      <c r="DG65" s="24"/>
      <c r="DH65" s="24"/>
      <c r="DI65" s="24"/>
      <c r="DJ65" s="24"/>
      <c r="DK65" s="24"/>
      <c r="DL65" s="24"/>
      <c r="DM65" s="24"/>
      <c r="DN65" s="24"/>
      <c r="DO65" s="24"/>
      <c r="DP65" s="24"/>
      <c r="DQ65" s="24"/>
      <c r="DR65" s="24"/>
      <c r="DS65" s="24"/>
      <c r="DT65" s="24"/>
      <c r="DU65" s="24"/>
      <c r="DV65" s="24"/>
      <c r="DW65" s="24"/>
      <c r="DX65" s="24"/>
      <c r="DY65" s="24"/>
      <c r="DZ65" s="24"/>
      <c r="EA65" s="24"/>
    </row>
    <row r="66" spans="1:131">
      <c r="A66" s="24" t="s">
        <v>431</v>
      </c>
      <c r="B66" s="24" t="s">
        <v>613</v>
      </c>
      <c r="C66" s="45">
        <v>11.627906976744185</v>
      </c>
      <c r="D66" s="45">
        <v>130.19651169604927</v>
      </c>
      <c r="E66" s="45">
        <v>0</v>
      </c>
      <c r="F66" s="45">
        <v>50.067502645018976</v>
      </c>
      <c r="G66" s="45">
        <v>0</v>
      </c>
      <c r="H66" s="45">
        <v>-5.5848064724719757</v>
      </c>
      <c r="I66" s="45" t="s">
        <v>368</v>
      </c>
      <c r="J66" s="45"/>
      <c r="K66" s="45"/>
      <c r="L66" s="45">
        <v>139.58339165168746</v>
      </c>
      <c r="M66" s="45">
        <v>3.2580822604331608E-2</v>
      </c>
      <c r="N66" s="45">
        <v>3.2345668837434206E-2</v>
      </c>
      <c r="O66" s="45">
        <v>0</v>
      </c>
      <c r="P66" s="45">
        <v>0</v>
      </c>
      <c r="Q66" s="45">
        <v>0</v>
      </c>
      <c r="R66" s="45">
        <v>9.9841288542596249</v>
      </c>
      <c r="S66" s="45">
        <v>23.071803204767605</v>
      </c>
      <c r="T66" s="45">
        <v>0</v>
      </c>
      <c r="U66" s="45">
        <v>48.840583187855188</v>
      </c>
      <c r="V66" s="45" t="s">
        <v>607</v>
      </c>
      <c r="W66" s="45" t="s">
        <v>607</v>
      </c>
      <c r="X66" s="45" t="s">
        <v>607</v>
      </c>
      <c r="Y66" s="45" t="s">
        <v>607</v>
      </c>
      <c r="Z66" s="45">
        <v>0</v>
      </c>
      <c r="AA66" s="45">
        <v>0</v>
      </c>
      <c r="AB66" s="45">
        <v>0</v>
      </c>
      <c r="AC66" s="45">
        <v>0</v>
      </c>
      <c r="AD66" s="45">
        <v>0</v>
      </c>
      <c r="AE66" s="45">
        <v>0</v>
      </c>
      <c r="AF66" s="45">
        <v>0</v>
      </c>
      <c r="AG66" s="45">
        <v>-5.5848064724719757</v>
      </c>
      <c r="AH66" s="45">
        <v>9.9841288542596249</v>
      </c>
      <c r="AI66" s="45">
        <v>23.071803204767605</v>
      </c>
      <c r="AJ66" s="45">
        <v>0</v>
      </c>
      <c r="AK66" s="45">
        <v>43.255776715383213</v>
      </c>
      <c r="AL66" s="45">
        <v>76.311708774410434</v>
      </c>
      <c r="AM66" s="45">
        <v>66.903734690655924</v>
      </c>
      <c r="AN66" s="45">
        <v>11.512384306289528</v>
      </c>
      <c r="AO66" s="45">
        <v>0</v>
      </c>
      <c r="AP66" s="45">
        <v>0</v>
      </c>
      <c r="AQ66" s="45">
        <v>78.416118996945457</v>
      </c>
      <c r="AR66" s="45">
        <v>9.9841288542596249</v>
      </c>
      <c r="AS66" s="199">
        <v>7.8540772201162081</v>
      </c>
      <c r="AT66" s="45">
        <v>66.903734690655924</v>
      </c>
      <c r="AU66" s="45">
        <v>13.62723405575645</v>
      </c>
      <c r="AV66" s="45">
        <v>0</v>
      </c>
      <c r="AW66" s="45">
        <v>0</v>
      </c>
      <c r="AX66" s="45">
        <v>80.53096874641237</v>
      </c>
      <c r="AY66" s="45">
        <v>23.071803204767605</v>
      </c>
      <c r="AZ66" s="199">
        <v>3.49044970744945</v>
      </c>
      <c r="BA66" s="45">
        <v>66.903734690655924</v>
      </c>
      <c r="BB66" s="45">
        <v>25.139618362045979</v>
      </c>
      <c r="BC66" s="45">
        <v>0</v>
      </c>
      <c r="BD66" s="45">
        <v>0</v>
      </c>
      <c r="BE66" s="45">
        <v>92.043353052701903</v>
      </c>
      <c r="BF66" s="45">
        <v>33.055932059027228</v>
      </c>
      <c r="BG66" s="45">
        <v>4.1731054897127304</v>
      </c>
      <c r="BH66" s="199">
        <v>2.7844730830261319</v>
      </c>
      <c r="BI66" s="45">
        <v>5.26315966326578</v>
      </c>
      <c r="BJ66" s="45">
        <v>12.162361459741369</v>
      </c>
      <c r="BK66" s="45">
        <v>0</v>
      </c>
      <c r="BL66" s="45">
        <v>22.802395936076728</v>
      </c>
      <c r="BM66" s="45">
        <v>40.227917059083872</v>
      </c>
      <c r="BN66" s="45">
        <v>66.903734690655924</v>
      </c>
      <c r="BO66" s="45">
        <v>0</v>
      </c>
      <c r="BP66" s="45">
        <v>25.139618362045979</v>
      </c>
      <c r="BQ66" s="45">
        <v>0</v>
      </c>
      <c r="BR66" s="45">
        <v>0</v>
      </c>
      <c r="BS66" s="45">
        <v>0</v>
      </c>
      <c r="BT66" s="45">
        <v>0</v>
      </c>
      <c r="BU66" s="45">
        <v>0</v>
      </c>
      <c r="BV66" s="45">
        <v>0</v>
      </c>
      <c r="BW66" s="45">
        <v>0</v>
      </c>
      <c r="BX66" s="45">
        <v>81.896515246882416</v>
      </c>
      <c r="BY66" s="45"/>
      <c r="BZ66" s="45">
        <v>0</v>
      </c>
      <c r="CA66" s="45">
        <v>-5.5848064724719757</v>
      </c>
      <c r="CB66" s="45">
        <v>92.043353052701903</v>
      </c>
      <c r="CC66" s="45">
        <v>76.311708774410434</v>
      </c>
      <c r="CD66" s="199">
        <v>1.1920917420096251</v>
      </c>
      <c r="CE66" s="45">
        <v>26.975501425789457</v>
      </c>
      <c r="CF66" s="45">
        <v>1.3260457339362539</v>
      </c>
      <c r="CG66" s="45">
        <v>0</v>
      </c>
      <c r="CH66" s="45">
        <v>1.3260457339362539</v>
      </c>
      <c r="CI66" s="45">
        <v>6.6302111034551553E-2</v>
      </c>
      <c r="CJ66" s="45">
        <v>0</v>
      </c>
      <c r="CK66" s="45">
        <v>6.6302111034551553E-2</v>
      </c>
      <c r="CL66" s="45"/>
      <c r="CM66" s="45">
        <v>0</v>
      </c>
      <c r="CN66" s="45"/>
      <c r="CO66" s="45">
        <v>0</v>
      </c>
      <c r="CP66" s="45">
        <v>0</v>
      </c>
      <c r="CQ66" s="45">
        <v>0</v>
      </c>
      <c r="CR66" s="45">
        <v>0</v>
      </c>
      <c r="CS66" s="45">
        <v>0</v>
      </c>
      <c r="CT66" s="45">
        <v>0</v>
      </c>
      <c r="CU66" s="45">
        <v>0</v>
      </c>
      <c r="CV66" s="45">
        <v>9999</v>
      </c>
      <c r="CW66" s="199">
        <v>9999</v>
      </c>
      <c r="CX66" s="24"/>
      <c r="CY66" s="24"/>
      <c r="CZ66" s="24"/>
      <c r="DA66" s="24"/>
      <c r="DB66" s="24"/>
      <c r="DC66" s="24"/>
      <c r="DD66" s="24"/>
      <c r="DE66" s="24"/>
      <c r="DF66" s="24"/>
      <c r="DG66" s="24"/>
      <c r="DH66" s="24"/>
      <c r="DI66" s="24"/>
      <c r="DJ66" s="24"/>
      <c r="DK66" s="24"/>
      <c r="DL66" s="24"/>
      <c r="DM66" s="24"/>
      <c r="DN66" s="24"/>
      <c r="DO66" s="24"/>
      <c r="DP66" s="24"/>
      <c r="DQ66" s="24"/>
      <c r="DR66" s="24"/>
      <c r="DS66" s="24"/>
      <c r="DT66" s="24"/>
      <c r="DU66" s="24"/>
      <c r="DV66" s="24"/>
      <c r="DW66" s="24"/>
      <c r="DX66" s="24"/>
      <c r="DY66" s="24"/>
      <c r="DZ66" s="24"/>
      <c r="EA66" s="24"/>
    </row>
    <row r="67" spans="1:131">
      <c r="A67" s="24" t="s">
        <v>432</v>
      </c>
      <c r="B67" s="24" t="s">
        <v>614</v>
      </c>
      <c r="C67" s="45">
        <v>11.627906976744185</v>
      </c>
      <c r="D67" s="45">
        <v>51.403081848075573</v>
      </c>
      <c r="E67" s="45">
        <v>0</v>
      </c>
      <c r="F67" s="45">
        <v>14.529979530207335</v>
      </c>
      <c r="G67" s="45">
        <v>0</v>
      </c>
      <c r="H67" s="45">
        <v>-2.3589192204985965</v>
      </c>
      <c r="I67" s="45" t="s">
        <v>368</v>
      </c>
      <c r="J67" s="45"/>
      <c r="K67" s="45"/>
      <c r="L67" s="45">
        <v>55.109130131336691</v>
      </c>
      <c r="M67" s="45">
        <v>1.2863283886728799E-2</v>
      </c>
      <c r="N67" s="45">
        <v>1.2770442472091442E-2</v>
      </c>
      <c r="O67" s="45">
        <v>0</v>
      </c>
      <c r="P67" s="45">
        <v>0</v>
      </c>
      <c r="Q67" s="45">
        <v>0</v>
      </c>
      <c r="R67" s="45">
        <v>2.8974720170864594</v>
      </c>
      <c r="S67" s="45">
        <v>6.6956171284807704</v>
      </c>
      <c r="T67" s="45">
        <v>0</v>
      </c>
      <c r="U67" s="45">
        <v>14.173917940233535</v>
      </c>
      <c r="V67" s="45" t="s">
        <v>607</v>
      </c>
      <c r="W67" s="45" t="s">
        <v>607</v>
      </c>
      <c r="X67" s="45" t="s">
        <v>607</v>
      </c>
      <c r="Y67" s="45" t="s">
        <v>607</v>
      </c>
      <c r="Z67" s="45">
        <v>0</v>
      </c>
      <c r="AA67" s="45">
        <v>0</v>
      </c>
      <c r="AB67" s="45">
        <v>0</v>
      </c>
      <c r="AC67" s="45">
        <v>0</v>
      </c>
      <c r="AD67" s="45">
        <v>0</v>
      </c>
      <c r="AE67" s="45">
        <v>0</v>
      </c>
      <c r="AF67" s="45">
        <v>0</v>
      </c>
      <c r="AG67" s="45">
        <v>-2.3589192204985965</v>
      </c>
      <c r="AH67" s="45">
        <v>2.8974720170864594</v>
      </c>
      <c r="AI67" s="45">
        <v>6.6956171284807704</v>
      </c>
      <c r="AJ67" s="45">
        <v>0</v>
      </c>
      <c r="AK67" s="45">
        <v>11.814998719734938</v>
      </c>
      <c r="AL67" s="45">
        <v>21.408087865302168</v>
      </c>
      <c r="AM67" s="45">
        <v>26.414364758668693</v>
      </c>
      <c r="AN67" s="45">
        <v>4.5452218731038272</v>
      </c>
      <c r="AO67" s="45">
        <v>0</v>
      </c>
      <c r="AP67" s="45">
        <v>0</v>
      </c>
      <c r="AQ67" s="45">
        <v>30.95958663177252</v>
      </c>
      <c r="AR67" s="45">
        <v>2.8974720170864594</v>
      </c>
      <c r="AS67" s="199">
        <v>10.685033867179087</v>
      </c>
      <c r="AT67" s="45">
        <v>26.414364758668693</v>
      </c>
      <c r="AU67" s="45">
        <v>5.3801889037261148</v>
      </c>
      <c r="AV67" s="45">
        <v>0</v>
      </c>
      <c r="AW67" s="45">
        <v>0</v>
      </c>
      <c r="AX67" s="45">
        <v>31.794553662394808</v>
      </c>
      <c r="AY67" s="45">
        <v>6.6956171284807704</v>
      </c>
      <c r="AZ67" s="199">
        <v>4.7485620895424416</v>
      </c>
      <c r="BA67" s="45">
        <v>26.414364758668693</v>
      </c>
      <c r="BB67" s="45">
        <v>9.925410776829942</v>
      </c>
      <c r="BC67" s="45">
        <v>0</v>
      </c>
      <c r="BD67" s="45">
        <v>0</v>
      </c>
      <c r="BE67" s="45">
        <v>36.339775535498632</v>
      </c>
      <c r="BF67" s="45">
        <v>9.5930891455672302</v>
      </c>
      <c r="BG67" s="45">
        <v>-0.443716081928694</v>
      </c>
      <c r="BH67" s="199">
        <v>3.7881202795129343</v>
      </c>
      <c r="BI67" s="45">
        <v>3.8687067285827466</v>
      </c>
      <c r="BJ67" s="45">
        <v>8.9399928227829708</v>
      </c>
      <c r="BK67" s="45">
        <v>0</v>
      </c>
      <c r="BL67" s="45">
        <v>15.775394818548532</v>
      </c>
      <c r="BM67" s="45">
        <v>28.584094369914251</v>
      </c>
      <c r="BN67" s="45">
        <v>26.414364758668693</v>
      </c>
      <c r="BO67" s="45">
        <v>0</v>
      </c>
      <c r="BP67" s="45">
        <v>9.925410776829942</v>
      </c>
      <c r="BQ67" s="45">
        <v>0</v>
      </c>
      <c r="BR67" s="45">
        <v>0</v>
      </c>
      <c r="BS67" s="45">
        <v>0</v>
      </c>
      <c r="BT67" s="45">
        <v>0</v>
      </c>
      <c r="BU67" s="45">
        <v>0</v>
      </c>
      <c r="BV67" s="45">
        <v>0</v>
      </c>
      <c r="BW67" s="45">
        <v>0</v>
      </c>
      <c r="BX67" s="45">
        <v>23.767007085800763</v>
      </c>
      <c r="BY67" s="45"/>
      <c r="BZ67" s="45">
        <v>0</v>
      </c>
      <c r="CA67" s="45">
        <v>-2.3589192204985965</v>
      </c>
      <c r="CB67" s="45">
        <v>36.339775535498632</v>
      </c>
      <c r="CC67" s="45">
        <v>21.408087865302168</v>
      </c>
      <c r="CD67" s="199">
        <v>1.6282527545976615</v>
      </c>
      <c r="CE67" s="45">
        <v>15.331678736619837</v>
      </c>
      <c r="CF67" s="45">
        <v>0.52353812331736238</v>
      </c>
      <c r="CG67" s="45">
        <v>0</v>
      </c>
      <c r="CH67" s="45">
        <v>0.52353812331736238</v>
      </c>
      <c r="CI67" s="45">
        <v>2.6176836812384929E-2</v>
      </c>
      <c r="CJ67" s="45">
        <v>0</v>
      </c>
      <c r="CK67" s="45">
        <v>2.6176836812384929E-2</v>
      </c>
      <c r="CL67" s="45"/>
      <c r="CM67" s="45">
        <v>0</v>
      </c>
      <c r="CN67" s="45"/>
      <c r="CO67" s="45">
        <v>0</v>
      </c>
      <c r="CP67" s="45">
        <v>0</v>
      </c>
      <c r="CQ67" s="45">
        <v>0</v>
      </c>
      <c r="CR67" s="45">
        <v>0</v>
      </c>
      <c r="CS67" s="45">
        <v>0</v>
      </c>
      <c r="CT67" s="45">
        <v>0</v>
      </c>
      <c r="CU67" s="45">
        <v>0</v>
      </c>
      <c r="CV67" s="45">
        <v>9999</v>
      </c>
      <c r="CW67" s="199">
        <v>9999</v>
      </c>
      <c r="CX67" s="24"/>
      <c r="CY67" s="24"/>
      <c r="CZ67" s="24"/>
      <c r="DA67" s="24"/>
      <c r="DB67" s="24"/>
      <c r="DC67" s="24"/>
      <c r="DD67" s="24"/>
      <c r="DE67" s="24"/>
      <c r="DF67" s="24"/>
      <c r="DG67" s="24"/>
      <c r="DH67" s="24"/>
      <c r="DI67" s="24"/>
      <c r="DJ67" s="24"/>
      <c r="DK67" s="24"/>
      <c r="DL67" s="24"/>
      <c r="DM67" s="24"/>
      <c r="DN67" s="24"/>
      <c r="DO67" s="24"/>
      <c r="DP67" s="24"/>
      <c r="DQ67" s="24"/>
      <c r="DR67" s="24"/>
      <c r="DS67" s="24"/>
      <c r="DT67" s="24"/>
      <c r="DU67" s="24"/>
      <c r="DV67" s="24"/>
      <c r="DW67" s="24"/>
      <c r="DX67" s="24"/>
      <c r="DY67" s="24"/>
      <c r="DZ67" s="24"/>
      <c r="EA67" s="24"/>
    </row>
    <row r="68" spans="1:131">
      <c r="A68" s="24" t="s">
        <v>434</v>
      </c>
      <c r="B68" s="24" t="s">
        <v>615</v>
      </c>
      <c r="C68" s="45">
        <v>11.627906976744185</v>
      </c>
      <c r="D68" s="45">
        <v>6.2518603404583653</v>
      </c>
      <c r="E68" s="45">
        <v>0</v>
      </c>
      <c r="F68" s="45">
        <v>2.008153465301179</v>
      </c>
      <c r="G68" s="45">
        <v>0</v>
      </c>
      <c r="H68" s="45">
        <v>-0.12603545489407003</v>
      </c>
      <c r="I68" s="45" t="s">
        <v>368</v>
      </c>
      <c r="J68" s="45"/>
      <c r="K68" s="45"/>
      <c r="L68" s="45">
        <v>6.702605615817987</v>
      </c>
      <c r="M68" s="45">
        <v>1.5644870207817637E-3</v>
      </c>
      <c r="N68" s="45">
        <v>1.5531952550499185E-3</v>
      </c>
      <c r="O68" s="45">
        <v>0</v>
      </c>
      <c r="P68" s="45">
        <v>0</v>
      </c>
      <c r="Q68" s="45">
        <v>0</v>
      </c>
      <c r="R68" s="45">
        <v>0.40045262690348349</v>
      </c>
      <c r="S68" s="45">
        <v>0.92538511227322573</v>
      </c>
      <c r="T68" s="45">
        <v>0</v>
      </c>
      <c r="U68" s="45">
        <v>1.9589430507730636</v>
      </c>
      <c r="V68" s="45" t="s">
        <v>607</v>
      </c>
      <c r="W68" s="45" t="s">
        <v>607</v>
      </c>
      <c r="X68" s="45" t="s">
        <v>607</v>
      </c>
      <c r="Y68" s="45" t="s">
        <v>607</v>
      </c>
      <c r="Z68" s="45">
        <v>0</v>
      </c>
      <c r="AA68" s="45">
        <v>0</v>
      </c>
      <c r="AB68" s="45">
        <v>0</v>
      </c>
      <c r="AC68" s="45">
        <v>0</v>
      </c>
      <c r="AD68" s="45">
        <v>0</v>
      </c>
      <c r="AE68" s="45">
        <v>0</v>
      </c>
      <c r="AF68" s="45">
        <v>0</v>
      </c>
      <c r="AG68" s="45">
        <v>-0.12603545489407003</v>
      </c>
      <c r="AH68" s="45">
        <v>0.40045262690348349</v>
      </c>
      <c r="AI68" s="45">
        <v>0.92538511227322573</v>
      </c>
      <c r="AJ68" s="45">
        <v>0</v>
      </c>
      <c r="AK68" s="45">
        <v>1.8329075958789935</v>
      </c>
      <c r="AL68" s="45">
        <v>3.1587453350557029</v>
      </c>
      <c r="AM68" s="45">
        <v>3.212626821504565</v>
      </c>
      <c r="AN68" s="45">
        <v>0.55280911854715076</v>
      </c>
      <c r="AO68" s="45">
        <v>0</v>
      </c>
      <c r="AP68" s="45">
        <v>0</v>
      </c>
      <c r="AQ68" s="45">
        <v>3.7654359400517157</v>
      </c>
      <c r="AR68" s="45">
        <v>0.40045262690348349</v>
      </c>
      <c r="AS68" s="199">
        <v>9.4029497800229329</v>
      </c>
      <c r="AT68" s="45">
        <v>3.212626821504565</v>
      </c>
      <c r="AU68" s="45">
        <v>0.6543613422010951</v>
      </c>
      <c r="AV68" s="45">
        <v>0</v>
      </c>
      <c r="AW68" s="45">
        <v>0</v>
      </c>
      <c r="AX68" s="45">
        <v>3.8669881637056602</v>
      </c>
      <c r="AY68" s="45">
        <v>0.92538511227322573</v>
      </c>
      <c r="AZ68" s="199">
        <v>4.1787879580279093</v>
      </c>
      <c r="BA68" s="45">
        <v>3.212626821504565</v>
      </c>
      <c r="BB68" s="45">
        <v>1.2071704607482459</v>
      </c>
      <c r="BC68" s="45">
        <v>0</v>
      </c>
      <c r="BD68" s="45">
        <v>0</v>
      </c>
      <c r="BE68" s="45">
        <v>4.4197972822528113</v>
      </c>
      <c r="BF68" s="45">
        <v>1.3258377391767091</v>
      </c>
      <c r="BG68" s="45">
        <v>1.3027390471691076</v>
      </c>
      <c r="BH68" s="199">
        <v>3.3335883808808493</v>
      </c>
      <c r="BI68" s="45">
        <v>4.3962015520824647</v>
      </c>
      <c r="BJ68" s="45">
        <v>10.15895312838107</v>
      </c>
      <c r="BK68" s="45">
        <v>0</v>
      </c>
      <c r="BL68" s="45">
        <v>20.121808864470395</v>
      </c>
      <c r="BM68" s="45">
        <v>34.676963544933933</v>
      </c>
      <c r="BN68" s="45">
        <v>3.212626821504565</v>
      </c>
      <c r="BO68" s="45">
        <v>0</v>
      </c>
      <c r="BP68" s="45">
        <v>1.2071704607482459</v>
      </c>
      <c r="BQ68" s="45">
        <v>0</v>
      </c>
      <c r="BR68" s="45">
        <v>0</v>
      </c>
      <c r="BS68" s="45">
        <v>0</v>
      </c>
      <c r="BT68" s="45">
        <v>0</v>
      </c>
      <c r="BU68" s="45">
        <v>0</v>
      </c>
      <c r="BV68" s="45">
        <v>0</v>
      </c>
      <c r="BW68" s="45">
        <v>0</v>
      </c>
      <c r="BX68" s="45">
        <v>3.2847807899497727</v>
      </c>
      <c r="BY68" s="45"/>
      <c r="BZ68" s="45">
        <v>0</v>
      </c>
      <c r="CA68" s="45">
        <v>-0.12603545489407003</v>
      </c>
      <c r="CB68" s="45">
        <v>4.4197972822528104</v>
      </c>
      <c r="CC68" s="45">
        <v>3.1587453350557029</v>
      </c>
      <c r="CD68" s="199">
        <v>1.3839074896734251</v>
      </c>
      <c r="CE68" s="45">
        <v>21.424547911639518</v>
      </c>
      <c r="CF68" s="45">
        <v>6.3674922051553298E-2</v>
      </c>
      <c r="CG68" s="45">
        <v>0</v>
      </c>
      <c r="CH68" s="45">
        <v>6.3674922051553298E-2</v>
      </c>
      <c r="CI68" s="45">
        <v>3.1837376675135452E-3</v>
      </c>
      <c r="CJ68" s="45">
        <v>0</v>
      </c>
      <c r="CK68" s="45">
        <v>3.1837376675135452E-3</v>
      </c>
      <c r="CL68" s="45"/>
      <c r="CM68" s="45">
        <v>0</v>
      </c>
      <c r="CN68" s="45"/>
      <c r="CO68" s="45">
        <v>0</v>
      </c>
      <c r="CP68" s="45">
        <v>0</v>
      </c>
      <c r="CQ68" s="45">
        <v>0</v>
      </c>
      <c r="CR68" s="45">
        <v>0</v>
      </c>
      <c r="CS68" s="45">
        <v>0</v>
      </c>
      <c r="CT68" s="45">
        <v>0</v>
      </c>
      <c r="CU68" s="45">
        <v>0</v>
      </c>
      <c r="CV68" s="45">
        <v>9999</v>
      </c>
      <c r="CW68" s="199">
        <v>9999</v>
      </c>
      <c r="CX68" s="24"/>
      <c r="CY68" s="24"/>
      <c r="CZ68" s="24"/>
      <c r="DA68" s="24"/>
      <c r="DB68" s="24"/>
      <c r="DC68" s="24"/>
      <c r="DD68" s="24"/>
      <c r="DE68" s="24"/>
      <c r="DF68" s="24"/>
      <c r="DG68" s="24"/>
      <c r="DH68" s="24"/>
      <c r="DI68" s="24"/>
      <c r="DJ68" s="24"/>
      <c r="DK68" s="24"/>
      <c r="DL68" s="24"/>
      <c r="DM68" s="24"/>
      <c r="DN68" s="24"/>
      <c r="DO68" s="24"/>
      <c r="DP68" s="24"/>
      <c r="DQ68" s="24"/>
      <c r="DR68" s="24"/>
      <c r="DS68" s="24"/>
      <c r="DT68" s="24"/>
      <c r="DU68" s="24"/>
      <c r="DV68" s="24"/>
      <c r="DW68" s="24"/>
      <c r="DX68" s="24"/>
      <c r="DY68" s="24"/>
      <c r="DZ68" s="24"/>
      <c r="EA68" s="24"/>
    </row>
    <row r="69" spans="1:131">
      <c r="A69" s="24" t="s">
        <v>415</v>
      </c>
      <c r="B69" s="24" t="s">
        <v>616</v>
      </c>
      <c r="C69" s="45">
        <v>16.279069767441861</v>
      </c>
      <c r="D69" s="45">
        <v>66.935750455655011</v>
      </c>
      <c r="E69" s="45">
        <v>0</v>
      </c>
      <c r="F69" s="45">
        <v>0.75267609869364605</v>
      </c>
      <c r="G69" s="45">
        <v>0</v>
      </c>
      <c r="H69" s="45">
        <v>-5.9700810224120291</v>
      </c>
      <c r="I69" s="45" t="s">
        <v>368</v>
      </c>
      <c r="J69" s="45"/>
      <c r="K69" s="45"/>
      <c r="L69" s="45">
        <v>71.761669722483219</v>
      </c>
      <c r="M69" s="45">
        <v>1.6750232268701249E-2</v>
      </c>
      <c r="N69" s="45">
        <v>1.6629336603719857E-2</v>
      </c>
      <c r="O69" s="45">
        <v>0</v>
      </c>
      <c r="P69" s="45">
        <v>0</v>
      </c>
      <c r="Q69" s="45">
        <v>0</v>
      </c>
      <c r="R69" s="45">
        <v>0.15009366870481242</v>
      </c>
      <c r="S69" s="45">
        <v>0.34684363925868145</v>
      </c>
      <c r="T69" s="45">
        <v>0</v>
      </c>
      <c r="U69" s="45">
        <v>0.44170581895405731</v>
      </c>
      <c r="V69" s="45" t="s">
        <v>607</v>
      </c>
      <c r="W69" s="45" t="s">
        <v>607</v>
      </c>
      <c r="X69" s="45" t="s">
        <v>607</v>
      </c>
      <c r="Y69" s="45" t="s">
        <v>607</v>
      </c>
      <c r="Z69" s="45">
        <v>0</v>
      </c>
      <c r="AA69" s="45">
        <v>0</v>
      </c>
      <c r="AB69" s="45">
        <v>0</v>
      </c>
      <c r="AC69" s="45">
        <v>0</v>
      </c>
      <c r="AD69" s="45">
        <v>0</v>
      </c>
      <c r="AE69" s="45">
        <v>0</v>
      </c>
      <c r="AF69" s="45">
        <v>0</v>
      </c>
      <c r="AG69" s="45">
        <v>-5.9700810224120291</v>
      </c>
      <c r="AH69" s="45">
        <v>0.15009366870481242</v>
      </c>
      <c r="AI69" s="45">
        <v>0.34684363925868145</v>
      </c>
      <c r="AJ69" s="45">
        <v>0</v>
      </c>
      <c r="AK69" s="45">
        <v>-5.5283752034579718</v>
      </c>
      <c r="AL69" s="45">
        <v>-5.0314378954944781</v>
      </c>
      <c r="AM69" s="45">
        <v>34.396095805237941</v>
      </c>
      <c r="AN69" s="45">
        <v>5.9186691950271193</v>
      </c>
      <c r="AO69" s="45">
        <v>0</v>
      </c>
      <c r="AP69" s="45">
        <v>0</v>
      </c>
      <c r="AQ69" s="45">
        <v>40.314765000265062</v>
      </c>
      <c r="AR69" s="45">
        <v>0.15009366870481242</v>
      </c>
      <c r="AS69" s="199">
        <v>268.59737221529093</v>
      </c>
      <c r="AT69" s="45">
        <v>34.396095805237941</v>
      </c>
      <c r="AU69" s="45">
        <v>7.0059414516909495</v>
      </c>
      <c r="AV69" s="45">
        <v>0</v>
      </c>
      <c r="AW69" s="45">
        <v>0</v>
      </c>
      <c r="AX69" s="45">
        <v>41.402037256928892</v>
      </c>
      <c r="AY69" s="45">
        <v>0.34684363925868145</v>
      </c>
      <c r="AZ69" s="199">
        <v>119.36801650858762</v>
      </c>
      <c r="BA69" s="45">
        <v>34.396095805237941</v>
      </c>
      <c r="BB69" s="45">
        <v>12.924610646718069</v>
      </c>
      <c r="BC69" s="45">
        <v>0</v>
      </c>
      <c r="BD69" s="45">
        <v>0</v>
      </c>
      <c r="BE69" s="45">
        <v>47.320706451956013</v>
      </c>
      <c r="BF69" s="45">
        <v>0.49693730796349389</v>
      </c>
      <c r="BG69" s="45">
        <v>-12.742874577951689</v>
      </c>
      <c r="BH69" s="199">
        <v>95.22470076936203</v>
      </c>
      <c r="BI69" s="45">
        <v>0.15390047220550196</v>
      </c>
      <c r="BJ69" s="45">
        <v>0.35564058313723101</v>
      </c>
      <c r="BK69" s="45">
        <v>0</v>
      </c>
      <c r="BL69" s="45">
        <v>-5.6685905653666673</v>
      </c>
      <c r="BM69" s="45">
        <v>-5.1590495100239337</v>
      </c>
      <c r="BN69" s="45">
        <v>34.396095805237941</v>
      </c>
      <c r="BO69" s="45">
        <v>0</v>
      </c>
      <c r="BP69" s="45">
        <v>12.924610646718069</v>
      </c>
      <c r="BQ69" s="45">
        <v>0</v>
      </c>
      <c r="BR69" s="45">
        <v>0</v>
      </c>
      <c r="BS69" s="45">
        <v>0</v>
      </c>
      <c r="BT69" s="45">
        <v>0</v>
      </c>
      <c r="BU69" s="45">
        <v>0</v>
      </c>
      <c r="BV69" s="45">
        <v>0</v>
      </c>
      <c r="BW69" s="45">
        <v>0</v>
      </c>
      <c r="BX69" s="45">
        <v>0.93864312691755125</v>
      </c>
      <c r="BY69" s="45"/>
      <c r="BZ69" s="45">
        <v>0</v>
      </c>
      <c r="CA69" s="45">
        <v>-5.9700810224120291</v>
      </c>
      <c r="CB69" s="45">
        <v>47.320706451956013</v>
      </c>
      <c r="CC69" s="45">
        <v>-5.0314378954944781</v>
      </c>
      <c r="CD69" s="199">
        <v>56.774279751423585</v>
      </c>
      <c r="CE69" s="45">
        <v>-18.411465143318352</v>
      </c>
      <c r="CF69" s="45">
        <v>0.68173766856947449</v>
      </c>
      <c r="CG69" s="45">
        <v>0</v>
      </c>
      <c r="CH69" s="45">
        <v>0.68173766856947449</v>
      </c>
      <c r="CI69" s="45">
        <v>3.4086793118179526E-2</v>
      </c>
      <c r="CJ69" s="45">
        <v>0</v>
      </c>
      <c r="CK69" s="45">
        <v>3.4086793118179526E-2</v>
      </c>
      <c r="CL69" s="45"/>
      <c r="CM69" s="45">
        <v>0</v>
      </c>
      <c r="CN69" s="45"/>
      <c r="CO69" s="45">
        <v>0</v>
      </c>
      <c r="CP69" s="45">
        <v>0</v>
      </c>
      <c r="CQ69" s="45">
        <v>0</v>
      </c>
      <c r="CR69" s="45">
        <v>0</v>
      </c>
      <c r="CS69" s="45">
        <v>0</v>
      </c>
      <c r="CT69" s="45">
        <v>0</v>
      </c>
      <c r="CU69" s="45">
        <v>0</v>
      </c>
      <c r="CV69" s="45">
        <v>9999</v>
      </c>
      <c r="CW69" s="199">
        <v>9999</v>
      </c>
      <c r="CX69" s="24"/>
      <c r="CY69" s="24"/>
      <c r="CZ69" s="24"/>
      <c r="DA69" s="24"/>
      <c r="DB69" s="24"/>
      <c r="DC69" s="24"/>
      <c r="DD69" s="24"/>
      <c r="DE69" s="24"/>
      <c r="DF69" s="24"/>
      <c r="DG69" s="24"/>
      <c r="DH69" s="24"/>
      <c r="DI69" s="24"/>
      <c r="DJ69" s="24"/>
      <c r="DK69" s="24"/>
      <c r="DL69" s="24"/>
      <c r="DM69" s="24"/>
      <c r="DN69" s="24"/>
      <c r="DO69" s="24"/>
      <c r="DP69" s="24"/>
      <c r="DQ69" s="24"/>
      <c r="DR69" s="24"/>
      <c r="DS69" s="24"/>
      <c r="DT69" s="24"/>
      <c r="DU69" s="24"/>
      <c r="DV69" s="24"/>
      <c r="DW69" s="24"/>
      <c r="DX69" s="24"/>
      <c r="DY69" s="24"/>
      <c r="DZ69" s="24"/>
      <c r="EA69" s="24"/>
    </row>
    <row r="70" spans="1:131">
      <c r="A70" s="24" t="s">
        <v>418</v>
      </c>
      <c r="B70" s="24" t="s">
        <v>617</v>
      </c>
      <c r="C70" s="45">
        <v>16.279069767441861</v>
      </c>
      <c r="D70" s="45">
        <v>28.880984703126135</v>
      </c>
      <c r="E70" s="45">
        <v>0</v>
      </c>
      <c r="F70" s="45">
        <v>0.93212841418794667</v>
      </c>
      <c r="G70" s="45">
        <v>0</v>
      </c>
      <c r="H70" s="45">
        <v>-1.9132235365066426</v>
      </c>
      <c r="I70" s="45" t="s">
        <v>368</v>
      </c>
      <c r="J70" s="45"/>
      <c r="K70" s="45"/>
      <c r="L70" s="45">
        <v>30.963239695039977</v>
      </c>
      <c r="M70" s="45">
        <v>7.2272768831756675E-3</v>
      </c>
      <c r="N70" s="45">
        <v>7.1751136396588106E-3</v>
      </c>
      <c r="O70" s="45">
        <v>0</v>
      </c>
      <c r="P70" s="45">
        <v>0</v>
      </c>
      <c r="Q70" s="45">
        <v>0</v>
      </c>
      <c r="R70" s="45">
        <v>0.1858788576285223</v>
      </c>
      <c r="S70" s="45">
        <v>0.42953776796486476</v>
      </c>
      <c r="T70" s="45">
        <v>0</v>
      </c>
      <c r="U70" s="45">
        <v>0.54701689780482132</v>
      </c>
      <c r="V70" s="45" t="s">
        <v>607</v>
      </c>
      <c r="W70" s="45" t="s">
        <v>607</v>
      </c>
      <c r="X70" s="45" t="s">
        <v>607</v>
      </c>
      <c r="Y70" s="45" t="s">
        <v>607</v>
      </c>
      <c r="Z70" s="45">
        <v>0</v>
      </c>
      <c r="AA70" s="45">
        <v>0</v>
      </c>
      <c r="AB70" s="45">
        <v>0</v>
      </c>
      <c r="AC70" s="45">
        <v>0</v>
      </c>
      <c r="AD70" s="45">
        <v>0</v>
      </c>
      <c r="AE70" s="45">
        <v>0</v>
      </c>
      <c r="AF70" s="45">
        <v>0</v>
      </c>
      <c r="AG70" s="45">
        <v>-1.9132235365066426</v>
      </c>
      <c r="AH70" s="45">
        <v>0.1858788576285223</v>
      </c>
      <c r="AI70" s="45">
        <v>0.42953776796486476</v>
      </c>
      <c r="AJ70" s="45">
        <v>0</v>
      </c>
      <c r="AK70" s="45">
        <v>-1.3662066387018212</v>
      </c>
      <c r="AL70" s="45">
        <v>-0.75079001310843418</v>
      </c>
      <c r="AM70" s="45">
        <v>14.840994685739142</v>
      </c>
      <c r="AN70" s="45">
        <v>2.5537473371227533</v>
      </c>
      <c r="AO70" s="45">
        <v>0</v>
      </c>
      <c r="AP70" s="45">
        <v>0</v>
      </c>
      <c r="AQ70" s="45">
        <v>17.394742022861895</v>
      </c>
      <c r="AR70" s="45">
        <v>0.1858788576285223</v>
      </c>
      <c r="AS70" s="199">
        <v>93.58106803962167</v>
      </c>
      <c r="AT70" s="45">
        <v>14.840994685739142</v>
      </c>
      <c r="AU70" s="45">
        <v>3.0228762136809548</v>
      </c>
      <c r="AV70" s="45">
        <v>0</v>
      </c>
      <c r="AW70" s="45">
        <v>0</v>
      </c>
      <c r="AX70" s="45">
        <v>17.863870899420096</v>
      </c>
      <c r="AY70" s="45">
        <v>0.42953776796486476</v>
      </c>
      <c r="AZ70" s="199">
        <v>41.588591811282406</v>
      </c>
      <c r="BA70" s="45">
        <v>14.840994685739142</v>
      </c>
      <c r="BB70" s="45">
        <v>5.5766235508037081</v>
      </c>
      <c r="BC70" s="45">
        <v>0</v>
      </c>
      <c r="BD70" s="45">
        <v>0</v>
      </c>
      <c r="BE70" s="45">
        <v>20.41761823654285</v>
      </c>
      <c r="BF70" s="45">
        <v>0.61541662559338706</v>
      </c>
      <c r="BG70" s="45">
        <v>-11.78992550181913</v>
      </c>
      <c r="BH70" s="199">
        <v>33.17690388500003</v>
      </c>
      <c r="BI70" s="45">
        <v>0.44172676464419353</v>
      </c>
      <c r="BJ70" s="45">
        <v>1.0207633668310943</v>
      </c>
      <c r="BK70" s="45">
        <v>0</v>
      </c>
      <c r="BL70" s="45">
        <v>-3.2466846743551927</v>
      </c>
      <c r="BM70" s="45">
        <v>-1.7841945428799051</v>
      </c>
      <c r="BN70" s="45">
        <v>14.840994685739142</v>
      </c>
      <c r="BO70" s="45">
        <v>0</v>
      </c>
      <c r="BP70" s="45">
        <v>5.5766235508037081</v>
      </c>
      <c r="BQ70" s="45">
        <v>0</v>
      </c>
      <c r="BR70" s="45">
        <v>0</v>
      </c>
      <c r="BS70" s="45">
        <v>0</v>
      </c>
      <c r="BT70" s="45">
        <v>0</v>
      </c>
      <c r="BU70" s="45">
        <v>0</v>
      </c>
      <c r="BV70" s="45">
        <v>0</v>
      </c>
      <c r="BW70" s="45">
        <v>0</v>
      </c>
      <c r="BX70" s="45">
        <v>1.1624335233982084</v>
      </c>
      <c r="BY70" s="45"/>
      <c r="BZ70" s="45">
        <v>0</v>
      </c>
      <c r="CA70" s="45">
        <v>-1.9132235365066426</v>
      </c>
      <c r="CB70" s="45">
        <v>20.41761823654285</v>
      </c>
      <c r="CC70" s="45">
        <v>-0.75079001310843418</v>
      </c>
      <c r="CD70" s="199">
        <v>19.210424788652404</v>
      </c>
      <c r="CE70" s="45">
        <v>-15.036610176174326</v>
      </c>
      <c r="CF70" s="45">
        <v>0.29415155643237295</v>
      </c>
      <c r="CG70" s="45">
        <v>0</v>
      </c>
      <c r="CH70" s="45">
        <v>0.29415155643237295</v>
      </c>
      <c r="CI70" s="45">
        <v>1.4707538855143995E-2</v>
      </c>
      <c r="CJ70" s="45">
        <v>0</v>
      </c>
      <c r="CK70" s="45">
        <v>1.4707538855143995E-2</v>
      </c>
      <c r="CL70" s="45"/>
      <c r="CM70" s="45">
        <v>0</v>
      </c>
      <c r="CN70" s="45"/>
      <c r="CO70" s="45">
        <v>0</v>
      </c>
      <c r="CP70" s="45">
        <v>0</v>
      </c>
      <c r="CQ70" s="45">
        <v>0</v>
      </c>
      <c r="CR70" s="45">
        <v>0</v>
      </c>
      <c r="CS70" s="45">
        <v>0</v>
      </c>
      <c r="CT70" s="45">
        <v>0</v>
      </c>
      <c r="CU70" s="45">
        <v>0</v>
      </c>
      <c r="CV70" s="45">
        <v>9999</v>
      </c>
      <c r="CW70" s="199">
        <v>9999</v>
      </c>
      <c r="CX70" s="24"/>
      <c r="CY70" s="24"/>
      <c r="CZ70" s="24"/>
      <c r="DA70" s="24"/>
      <c r="DB70" s="24"/>
      <c r="DC70" s="24"/>
      <c r="DD70" s="24"/>
      <c r="DE70" s="24"/>
      <c r="DF70" s="24"/>
      <c r="DG70" s="24"/>
      <c r="DH70" s="24"/>
      <c r="DI70" s="24"/>
      <c r="DJ70" s="24"/>
      <c r="DK70" s="24"/>
      <c r="DL70" s="24"/>
      <c r="DM70" s="24"/>
      <c r="DN70" s="24"/>
      <c r="DO70" s="24"/>
      <c r="DP70" s="24"/>
      <c r="DQ70" s="24"/>
      <c r="DR70" s="24"/>
      <c r="DS70" s="24"/>
      <c r="DT70" s="24"/>
      <c r="DU70" s="24"/>
      <c r="DV70" s="24"/>
      <c r="DW70" s="24"/>
      <c r="DX70" s="24"/>
      <c r="DY70" s="24"/>
      <c r="DZ70" s="24"/>
      <c r="EA70" s="24"/>
    </row>
    <row r="71" spans="1:131">
      <c r="A71" s="24" t="s">
        <v>430</v>
      </c>
      <c r="B71" s="24" t="s">
        <v>618</v>
      </c>
      <c r="C71" s="45">
        <v>16.279069767441861</v>
      </c>
      <c r="D71" s="45">
        <v>66.935750455655011</v>
      </c>
      <c r="E71" s="45">
        <v>0</v>
      </c>
      <c r="F71" s="45">
        <v>19.271398161973615</v>
      </c>
      <c r="G71" s="45">
        <v>0</v>
      </c>
      <c r="H71" s="45">
        <v>-5.9700810224120291</v>
      </c>
      <c r="I71" s="45" t="s">
        <v>368</v>
      </c>
      <c r="J71" s="45"/>
      <c r="K71" s="45"/>
      <c r="L71" s="45">
        <v>71.761669722483219</v>
      </c>
      <c r="M71" s="45">
        <v>1.6750232268701249E-2</v>
      </c>
      <c r="N71" s="45">
        <v>1.6629336603719857E-2</v>
      </c>
      <c r="O71" s="45">
        <v>0</v>
      </c>
      <c r="P71" s="45">
        <v>0</v>
      </c>
      <c r="Q71" s="45">
        <v>0</v>
      </c>
      <c r="R71" s="45">
        <v>3.8429742305117474</v>
      </c>
      <c r="S71" s="45">
        <v>8.8805289336317532</v>
      </c>
      <c r="T71" s="45">
        <v>0</v>
      </c>
      <c r="U71" s="45">
        <v>11.309364974254271</v>
      </c>
      <c r="V71" s="45" t="s">
        <v>607</v>
      </c>
      <c r="W71" s="45" t="s">
        <v>607</v>
      </c>
      <c r="X71" s="45" t="s">
        <v>607</v>
      </c>
      <c r="Y71" s="45" t="s">
        <v>607</v>
      </c>
      <c r="Z71" s="45">
        <v>0</v>
      </c>
      <c r="AA71" s="45">
        <v>0</v>
      </c>
      <c r="AB71" s="45">
        <v>0</v>
      </c>
      <c r="AC71" s="45">
        <v>0</v>
      </c>
      <c r="AD71" s="45">
        <v>0</v>
      </c>
      <c r="AE71" s="45">
        <v>0</v>
      </c>
      <c r="AF71" s="45">
        <v>0</v>
      </c>
      <c r="AG71" s="45">
        <v>-5.9700810224120291</v>
      </c>
      <c r="AH71" s="45">
        <v>3.8429742305117474</v>
      </c>
      <c r="AI71" s="45">
        <v>8.8805289336317532</v>
      </c>
      <c r="AJ71" s="45">
        <v>0</v>
      </c>
      <c r="AK71" s="45">
        <v>5.3392839518422415</v>
      </c>
      <c r="AL71" s="45">
        <v>18.062787115985742</v>
      </c>
      <c r="AM71" s="45">
        <v>34.396095805237941</v>
      </c>
      <c r="AN71" s="45">
        <v>5.9186691950271193</v>
      </c>
      <c r="AO71" s="45">
        <v>0</v>
      </c>
      <c r="AP71" s="45">
        <v>0</v>
      </c>
      <c r="AQ71" s="45">
        <v>40.314765000265062</v>
      </c>
      <c r="AR71" s="45">
        <v>3.8429742305117474</v>
      </c>
      <c r="AS71" s="199">
        <v>10.490511406551006</v>
      </c>
      <c r="AT71" s="45">
        <v>34.396095805237941</v>
      </c>
      <c r="AU71" s="45">
        <v>7.0059414516909495</v>
      </c>
      <c r="AV71" s="45">
        <v>0</v>
      </c>
      <c r="AW71" s="45">
        <v>0</v>
      </c>
      <c r="AX71" s="45">
        <v>41.402037256928892</v>
      </c>
      <c r="AY71" s="45">
        <v>8.8805289336317532</v>
      </c>
      <c r="AZ71" s="199">
        <v>4.6621138860472406</v>
      </c>
      <c r="BA71" s="45">
        <v>34.396095805237941</v>
      </c>
      <c r="BB71" s="45">
        <v>12.924610646718069</v>
      </c>
      <c r="BC71" s="45">
        <v>0</v>
      </c>
      <c r="BD71" s="45">
        <v>0</v>
      </c>
      <c r="BE71" s="45">
        <v>47.320706451956013</v>
      </c>
      <c r="BF71" s="45">
        <v>12.723503164143501</v>
      </c>
      <c r="BG71" s="45">
        <v>-0.20620814188476064</v>
      </c>
      <c r="BH71" s="199">
        <v>3.7191570467253046</v>
      </c>
      <c r="BI71" s="45">
        <v>3.9404430170369364</v>
      </c>
      <c r="BJ71" s="45">
        <v>9.1057644743727195</v>
      </c>
      <c r="BK71" s="45">
        <v>0</v>
      </c>
      <c r="BL71" s="45">
        <v>5.4747034203277689</v>
      </c>
      <c r="BM71" s="45">
        <v>18.520910911737428</v>
      </c>
      <c r="BN71" s="45">
        <v>34.396095805237941</v>
      </c>
      <c r="BO71" s="45">
        <v>0</v>
      </c>
      <c r="BP71" s="45">
        <v>12.924610646718069</v>
      </c>
      <c r="BQ71" s="45">
        <v>0</v>
      </c>
      <c r="BR71" s="45">
        <v>0</v>
      </c>
      <c r="BS71" s="45">
        <v>0</v>
      </c>
      <c r="BT71" s="45">
        <v>0</v>
      </c>
      <c r="BU71" s="45">
        <v>0</v>
      </c>
      <c r="BV71" s="45">
        <v>0</v>
      </c>
      <c r="BW71" s="45">
        <v>0</v>
      </c>
      <c r="BX71" s="45">
        <v>24.032868138397774</v>
      </c>
      <c r="BY71" s="45"/>
      <c r="BZ71" s="45">
        <v>0</v>
      </c>
      <c r="CA71" s="45">
        <v>-5.9700810224120291</v>
      </c>
      <c r="CB71" s="45">
        <v>47.320706451956013</v>
      </c>
      <c r="CC71" s="45">
        <v>18.062787115985746</v>
      </c>
      <c r="CD71" s="199">
        <v>2.2174127185936801</v>
      </c>
      <c r="CE71" s="45">
        <v>5.2684952784430106</v>
      </c>
      <c r="CF71" s="45">
        <v>0.68173766856947449</v>
      </c>
      <c r="CG71" s="45">
        <v>0</v>
      </c>
      <c r="CH71" s="45">
        <v>0.68173766856947449</v>
      </c>
      <c r="CI71" s="45">
        <v>3.4086793118179526E-2</v>
      </c>
      <c r="CJ71" s="45">
        <v>0</v>
      </c>
      <c r="CK71" s="45">
        <v>3.4086793118179526E-2</v>
      </c>
      <c r="CL71" s="45"/>
      <c r="CM71" s="45">
        <v>0</v>
      </c>
      <c r="CN71" s="45"/>
      <c r="CO71" s="45">
        <v>0</v>
      </c>
      <c r="CP71" s="45">
        <v>0</v>
      </c>
      <c r="CQ71" s="45">
        <v>0</v>
      </c>
      <c r="CR71" s="45">
        <v>0</v>
      </c>
      <c r="CS71" s="45">
        <v>0</v>
      </c>
      <c r="CT71" s="45">
        <v>0</v>
      </c>
      <c r="CU71" s="45">
        <v>0</v>
      </c>
      <c r="CV71" s="45">
        <v>9999</v>
      </c>
      <c r="CW71" s="199">
        <v>9999</v>
      </c>
      <c r="CX71" s="24"/>
      <c r="CY71" s="24"/>
      <c r="CZ71" s="24"/>
      <c r="DA71" s="24"/>
      <c r="DB71" s="24"/>
      <c r="DC71" s="24"/>
      <c r="DD71" s="24"/>
      <c r="DE71" s="24"/>
      <c r="DF71" s="24"/>
      <c r="DG71" s="24"/>
      <c r="DH71" s="24"/>
      <c r="DI71" s="24"/>
      <c r="DJ71" s="24"/>
      <c r="DK71" s="24"/>
      <c r="DL71" s="24"/>
      <c r="DM71" s="24"/>
      <c r="DN71" s="24"/>
      <c r="DO71" s="24"/>
      <c r="DP71" s="24"/>
      <c r="DQ71" s="24"/>
      <c r="DR71" s="24"/>
      <c r="DS71" s="24"/>
      <c r="DT71" s="24"/>
      <c r="DU71" s="24"/>
      <c r="DV71" s="24"/>
      <c r="DW71" s="24"/>
      <c r="DX71" s="24"/>
      <c r="DY71" s="24"/>
      <c r="DZ71" s="24"/>
      <c r="EA71" s="24"/>
    </row>
    <row r="72" spans="1:131">
      <c r="A72" s="24" t="s">
        <v>425</v>
      </c>
      <c r="B72" s="24" t="s">
        <v>619</v>
      </c>
      <c r="C72" s="45">
        <v>16.279069767441861</v>
      </c>
      <c r="D72" s="45">
        <v>28.880984703126135</v>
      </c>
      <c r="E72" s="45">
        <v>0</v>
      </c>
      <c r="F72" s="45">
        <v>5.9720678877064044</v>
      </c>
      <c r="G72" s="45">
        <v>0</v>
      </c>
      <c r="H72" s="45">
        <v>-1.9132235365066426</v>
      </c>
      <c r="I72" s="45" t="s">
        <v>368</v>
      </c>
      <c r="J72" s="45"/>
      <c r="K72" s="45"/>
      <c r="L72" s="45">
        <v>30.963239695039977</v>
      </c>
      <c r="M72" s="45">
        <v>7.2272768831756675E-3</v>
      </c>
      <c r="N72" s="45">
        <v>7.1751136396588106E-3</v>
      </c>
      <c r="O72" s="45">
        <v>0</v>
      </c>
      <c r="P72" s="45">
        <v>0</v>
      </c>
      <c r="Q72" s="45">
        <v>0</v>
      </c>
      <c r="R72" s="45">
        <v>1.1909101146905077</v>
      </c>
      <c r="S72" s="45">
        <v>2.7520121386438308</v>
      </c>
      <c r="T72" s="45">
        <v>0</v>
      </c>
      <c r="U72" s="45">
        <v>3.5046909842984943</v>
      </c>
      <c r="V72" s="45" t="s">
        <v>607</v>
      </c>
      <c r="W72" s="45" t="s">
        <v>607</v>
      </c>
      <c r="X72" s="45" t="s">
        <v>607</v>
      </c>
      <c r="Y72" s="45" t="s">
        <v>607</v>
      </c>
      <c r="Z72" s="45">
        <v>0</v>
      </c>
      <c r="AA72" s="45">
        <v>0</v>
      </c>
      <c r="AB72" s="45">
        <v>0</v>
      </c>
      <c r="AC72" s="45">
        <v>0</v>
      </c>
      <c r="AD72" s="45">
        <v>0</v>
      </c>
      <c r="AE72" s="45">
        <v>0</v>
      </c>
      <c r="AF72" s="45">
        <v>0</v>
      </c>
      <c r="AG72" s="45">
        <v>-1.9132235365066426</v>
      </c>
      <c r="AH72" s="45">
        <v>1.1909101146905077</v>
      </c>
      <c r="AI72" s="45">
        <v>2.7520121386438308</v>
      </c>
      <c r="AJ72" s="45">
        <v>0</v>
      </c>
      <c r="AK72" s="45">
        <v>1.5914674477918518</v>
      </c>
      <c r="AL72" s="45">
        <v>5.5343897011261909</v>
      </c>
      <c r="AM72" s="45">
        <v>14.840994685739142</v>
      </c>
      <c r="AN72" s="45">
        <v>2.5537473371227533</v>
      </c>
      <c r="AO72" s="45">
        <v>0</v>
      </c>
      <c r="AP72" s="45">
        <v>0</v>
      </c>
      <c r="AQ72" s="45">
        <v>17.394742022861895</v>
      </c>
      <c r="AR72" s="45">
        <v>1.1909101146905077</v>
      </c>
      <c r="AS72" s="199">
        <v>14.606259371121741</v>
      </c>
      <c r="AT72" s="45">
        <v>14.840994685739142</v>
      </c>
      <c r="AU72" s="45">
        <v>3.0228762136809548</v>
      </c>
      <c r="AV72" s="45">
        <v>0</v>
      </c>
      <c r="AW72" s="45">
        <v>0</v>
      </c>
      <c r="AX72" s="45">
        <v>17.863870899420096</v>
      </c>
      <c r="AY72" s="45">
        <v>2.7520121386438308</v>
      </c>
      <c r="AZ72" s="199">
        <v>6.491203526530688</v>
      </c>
      <c r="BA72" s="45">
        <v>14.840994685739142</v>
      </c>
      <c r="BB72" s="45">
        <v>5.5766235508037081</v>
      </c>
      <c r="BC72" s="45">
        <v>0</v>
      </c>
      <c r="BD72" s="45">
        <v>0</v>
      </c>
      <c r="BE72" s="45">
        <v>20.41761823654285</v>
      </c>
      <c r="BF72" s="45">
        <v>3.9429222533343387</v>
      </c>
      <c r="BG72" s="45">
        <v>-3.8823650937664906</v>
      </c>
      <c r="BH72" s="199">
        <v>5.178295924875683</v>
      </c>
      <c r="BI72" s="45">
        <v>2.8301060091277552</v>
      </c>
      <c r="BJ72" s="45">
        <v>6.5399445304001746</v>
      </c>
      <c r="BK72" s="45">
        <v>0</v>
      </c>
      <c r="BL72" s="45">
        <v>3.7819996083394014</v>
      </c>
      <c r="BM72" s="45">
        <v>13.152050147867332</v>
      </c>
      <c r="BN72" s="45">
        <v>14.840994685739142</v>
      </c>
      <c r="BO72" s="45">
        <v>0</v>
      </c>
      <c r="BP72" s="45">
        <v>5.5766235508037081</v>
      </c>
      <c r="BQ72" s="45">
        <v>0</v>
      </c>
      <c r="BR72" s="45">
        <v>0</v>
      </c>
      <c r="BS72" s="45">
        <v>0</v>
      </c>
      <c r="BT72" s="45">
        <v>0</v>
      </c>
      <c r="BU72" s="45">
        <v>0</v>
      </c>
      <c r="BV72" s="45">
        <v>0</v>
      </c>
      <c r="BW72" s="45">
        <v>0</v>
      </c>
      <c r="BX72" s="45">
        <v>7.447613237632833</v>
      </c>
      <c r="BY72" s="45"/>
      <c r="BZ72" s="45">
        <v>0</v>
      </c>
      <c r="CA72" s="45">
        <v>-1.9132235365066426</v>
      </c>
      <c r="CB72" s="45">
        <v>20.41761823654285</v>
      </c>
      <c r="CC72" s="45">
        <v>5.5343897011261909</v>
      </c>
      <c r="CD72" s="199">
        <v>2.998389022165064</v>
      </c>
      <c r="CE72" s="45">
        <v>-0.10036548542708622</v>
      </c>
      <c r="CF72" s="45">
        <v>0.29415155643237295</v>
      </c>
      <c r="CG72" s="45">
        <v>0</v>
      </c>
      <c r="CH72" s="45">
        <v>0.29415155643237295</v>
      </c>
      <c r="CI72" s="45">
        <v>1.4707538855143995E-2</v>
      </c>
      <c r="CJ72" s="45">
        <v>0</v>
      </c>
      <c r="CK72" s="45">
        <v>1.4707538855143995E-2</v>
      </c>
      <c r="CL72" s="45"/>
      <c r="CM72" s="45">
        <v>0</v>
      </c>
      <c r="CN72" s="45"/>
      <c r="CO72" s="45">
        <v>0</v>
      </c>
      <c r="CP72" s="45">
        <v>0</v>
      </c>
      <c r="CQ72" s="45">
        <v>0</v>
      </c>
      <c r="CR72" s="45">
        <v>0</v>
      </c>
      <c r="CS72" s="45">
        <v>0</v>
      </c>
      <c r="CT72" s="45">
        <v>0</v>
      </c>
      <c r="CU72" s="45">
        <v>0</v>
      </c>
      <c r="CV72" s="45">
        <v>9999</v>
      </c>
      <c r="CW72" s="199">
        <v>9999</v>
      </c>
      <c r="CX72" s="24"/>
      <c r="CY72" s="24"/>
      <c r="CZ72" s="24"/>
      <c r="DA72" s="24"/>
      <c r="DB72" s="24"/>
      <c r="DC72" s="24"/>
      <c r="DD72" s="24"/>
      <c r="DE72" s="24"/>
      <c r="DF72" s="24"/>
      <c r="DG72" s="24"/>
      <c r="DH72" s="24"/>
      <c r="DI72" s="24"/>
      <c r="DJ72" s="24"/>
      <c r="DK72" s="24"/>
      <c r="DL72" s="24"/>
      <c r="DM72" s="24"/>
      <c r="DN72" s="24"/>
      <c r="DO72" s="24"/>
      <c r="DP72" s="24"/>
      <c r="DQ72" s="24"/>
      <c r="DR72" s="24"/>
      <c r="DS72" s="24"/>
      <c r="DT72" s="24"/>
      <c r="DU72" s="24"/>
      <c r="DV72" s="24"/>
      <c r="DW72" s="24"/>
      <c r="DX72" s="24"/>
      <c r="DY72" s="24"/>
      <c r="DZ72" s="24"/>
      <c r="EA72" s="24"/>
    </row>
    <row r="73" spans="1:131">
      <c r="A73" s="24" t="s">
        <v>435</v>
      </c>
      <c r="B73" s="24" t="s">
        <v>620</v>
      </c>
      <c r="C73" s="45">
        <v>16.279069767441861</v>
      </c>
      <c r="D73" s="45">
        <v>66.935750455655011</v>
      </c>
      <c r="E73" s="45">
        <v>0</v>
      </c>
      <c r="F73" s="45">
        <v>23.583436394929375</v>
      </c>
      <c r="G73" s="45">
        <v>0</v>
      </c>
      <c r="H73" s="45">
        <v>-5.9700810224120291</v>
      </c>
      <c r="I73" s="45" t="s">
        <v>368</v>
      </c>
      <c r="J73" s="45"/>
      <c r="K73" s="45"/>
      <c r="L73" s="45">
        <v>71.761669722483219</v>
      </c>
      <c r="M73" s="45">
        <v>1.6750232268701249E-2</v>
      </c>
      <c r="N73" s="45">
        <v>1.6629336603719857E-2</v>
      </c>
      <c r="O73" s="45">
        <v>0</v>
      </c>
      <c r="P73" s="45">
        <v>0</v>
      </c>
      <c r="Q73" s="45">
        <v>0</v>
      </c>
      <c r="R73" s="45">
        <v>4.7028522565352278</v>
      </c>
      <c r="S73" s="45">
        <v>10.867576265062548</v>
      </c>
      <c r="T73" s="45">
        <v>0</v>
      </c>
      <c r="U73" s="45">
        <v>13.839872296533628</v>
      </c>
      <c r="V73" s="45" t="s">
        <v>607</v>
      </c>
      <c r="W73" s="45" t="s">
        <v>607</v>
      </c>
      <c r="X73" s="45" t="s">
        <v>607</v>
      </c>
      <c r="Y73" s="45" t="s">
        <v>607</v>
      </c>
      <c r="Z73" s="45">
        <v>0</v>
      </c>
      <c r="AA73" s="45">
        <v>0</v>
      </c>
      <c r="AB73" s="45">
        <v>0</v>
      </c>
      <c r="AC73" s="45">
        <v>0</v>
      </c>
      <c r="AD73" s="45">
        <v>0</v>
      </c>
      <c r="AE73" s="45">
        <v>0</v>
      </c>
      <c r="AF73" s="45">
        <v>0</v>
      </c>
      <c r="AG73" s="45">
        <v>-5.9700810224120291</v>
      </c>
      <c r="AH73" s="45">
        <v>4.7028522565352278</v>
      </c>
      <c r="AI73" s="45">
        <v>10.867576265062548</v>
      </c>
      <c r="AJ73" s="45">
        <v>0</v>
      </c>
      <c r="AK73" s="45">
        <v>7.8697912741215985</v>
      </c>
      <c r="AL73" s="45">
        <v>23.440219795719376</v>
      </c>
      <c r="AM73" s="45">
        <v>34.396095805237941</v>
      </c>
      <c r="AN73" s="45">
        <v>5.9186691950271193</v>
      </c>
      <c r="AO73" s="45">
        <v>0</v>
      </c>
      <c r="AP73" s="45">
        <v>0</v>
      </c>
      <c r="AQ73" s="45">
        <v>40.314765000265062</v>
      </c>
      <c r="AR73" s="45">
        <v>4.7028522565352278</v>
      </c>
      <c r="AS73" s="199">
        <v>8.5724072969212308</v>
      </c>
      <c r="AT73" s="45">
        <v>34.396095805237941</v>
      </c>
      <c r="AU73" s="45">
        <v>7.0059414516909495</v>
      </c>
      <c r="AV73" s="45">
        <v>0</v>
      </c>
      <c r="AW73" s="45">
        <v>0</v>
      </c>
      <c r="AX73" s="45">
        <v>41.402037256928892</v>
      </c>
      <c r="AY73" s="45">
        <v>10.867576265062548</v>
      </c>
      <c r="AZ73" s="199">
        <v>3.8096845374832626</v>
      </c>
      <c r="BA73" s="45">
        <v>34.396095805237941</v>
      </c>
      <c r="BB73" s="45">
        <v>12.924610646718069</v>
      </c>
      <c r="BC73" s="45">
        <v>0</v>
      </c>
      <c r="BD73" s="45">
        <v>0</v>
      </c>
      <c r="BE73" s="45">
        <v>47.320706451956013</v>
      </c>
      <c r="BF73" s="45">
        <v>15.570428521597776</v>
      </c>
      <c r="BG73" s="45">
        <v>2.7129233619744841</v>
      </c>
      <c r="BH73" s="199">
        <v>3.0391396348737194</v>
      </c>
      <c r="BI73" s="45">
        <v>4.8221300021449593</v>
      </c>
      <c r="BJ73" s="45">
        <v>11.143208993123942</v>
      </c>
      <c r="BK73" s="45">
        <v>0</v>
      </c>
      <c r="BL73" s="45">
        <v>8.0693916252259594</v>
      </c>
      <c r="BM73" s="45">
        <v>24.034730620494862</v>
      </c>
      <c r="BN73" s="45">
        <v>34.396095805237941</v>
      </c>
      <c r="BO73" s="45">
        <v>0</v>
      </c>
      <c r="BP73" s="45">
        <v>12.924610646718069</v>
      </c>
      <c r="BQ73" s="45">
        <v>0</v>
      </c>
      <c r="BR73" s="45">
        <v>0</v>
      </c>
      <c r="BS73" s="45">
        <v>0</v>
      </c>
      <c r="BT73" s="45">
        <v>0</v>
      </c>
      <c r="BU73" s="45">
        <v>0</v>
      </c>
      <c r="BV73" s="45">
        <v>0</v>
      </c>
      <c r="BW73" s="45">
        <v>0</v>
      </c>
      <c r="BX73" s="45">
        <v>29.410300818131404</v>
      </c>
      <c r="BY73" s="45"/>
      <c r="BZ73" s="45">
        <v>0</v>
      </c>
      <c r="CA73" s="45">
        <v>-5.9700810224120291</v>
      </c>
      <c r="CB73" s="45">
        <v>47.320706451956013</v>
      </c>
      <c r="CC73" s="45">
        <v>23.440219795719376</v>
      </c>
      <c r="CD73" s="199">
        <v>1.8119769601783318</v>
      </c>
      <c r="CE73" s="45">
        <v>10.782314987200444</v>
      </c>
      <c r="CF73" s="45">
        <v>0.68173766856947449</v>
      </c>
      <c r="CG73" s="45">
        <v>0</v>
      </c>
      <c r="CH73" s="45">
        <v>0.68173766856947449</v>
      </c>
      <c r="CI73" s="45">
        <v>3.4086793118179526E-2</v>
      </c>
      <c r="CJ73" s="45">
        <v>0</v>
      </c>
      <c r="CK73" s="45">
        <v>3.4086793118179526E-2</v>
      </c>
      <c r="CL73" s="45"/>
      <c r="CM73" s="45">
        <v>0</v>
      </c>
      <c r="CN73" s="45"/>
      <c r="CO73" s="45">
        <v>0</v>
      </c>
      <c r="CP73" s="45">
        <v>0</v>
      </c>
      <c r="CQ73" s="45">
        <v>0</v>
      </c>
      <c r="CR73" s="45">
        <v>0</v>
      </c>
      <c r="CS73" s="45">
        <v>0</v>
      </c>
      <c r="CT73" s="45">
        <v>0</v>
      </c>
      <c r="CU73" s="45">
        <v>0</v>
      </c>
      <c r="CV73" s="45">
        <v>9999</v>
      </c>
      <c r="CW73" s="199">
        <v>9999</v>
      </c>
      <c r="CX73" s="24"/>
      <c r="CY73" s="24"/>
      <c r="CZ73" s="24"/>
      <c r="DA73" s="24"/>
      <c r="DB73" s="24"/>
      <c r="DC73" s="24"/>
      <c r="DD73" s="24"/>
      <c r="DE73" s="24"/>
      <c r="DF73" s="24"/>
      <c r="DG73" s="24"/>
      <c r="DH73" s="24"/>
      <c r="DI73" s="24"/>
      <c r="DJ73" s="24"/>
      <c r="DK73" s="24"/>
      <c r="DL73" s="24"/>
      <c r="DM73" s="24"/>
      <c r="DN73" s="24"/>
      <c r="DO73" s="24"/>
      <c r="DP73" s="24"/>
      <c r="DQ73" s="24"/>
      <c r="DR73" s="24"/>
      <c r="DS73" s="24"/>
      <c r="DT73" s="24"/>
      <c r="DU73" s="24"/>
      <c r="DV73" s="24"/>
      <c r="DW73" s="24"/>
      <c r="DX73" s="24"/>
      <c r="DY73" s="24"/>
      <c r="DZ73" s="24"/>
      <c r="EA73" s="24"/>
    </row>
    <row r="74" spans="1:131">
      <c r="A74" s="24" t="s">
        <v>426</v>
      </c>
      <c r="B74" s="24" t="s">
        <v>621</v>
      </c>
      <c r="C74" s="45">
        <v>16.279069767441861</v>
      </c>
      <c r="D74" s="45">
        <v>28.880984703126135</v>
      </c>
      <c r="E74" s="45">
        <v>0</v>
      </c>
      <c r="F74" s="45">
        <v>6.677762119662626</v>
      </c>
      <c r="G74" s="45">
        <v>0</v>
      </c>
      <c r="H74" s="45">
        <v>-1.9132235365066426</v>
      </c>
      <c r="I74" s="45" t="s">
        <v>368</v>
      </c>
      <c r="J74" s="45"/>
      <c r="K74" s="45"/>
      <c r="L74" s="45">
        <v>30.963239695039977</v>
      </c>
      <c r="M74" s="45">
        <v>7.2272768831756675E-3</v>
      </c>
      <c r="N74" s="45">
        <v>7.1751136396588106E-3</v>
      </c>
      <c r="O74" s="45">
        <v>0</v>
      </c>
      <c r="P74" s="45">
        <v>0</v>
      </c>
      <c r="Q74" s="45">
        <v>0</v>
      </c>
      <c r="R74" s="45">
        <v>1.3316349715605087</v>
      </c>
      <c r="S74" s="45">
        <v>3.0772058787404997</v>
      </c>
      <c r="T74" s="45">
        <v>0</v>
      </c>
      <c r="U74" s="45">
        <v>3.9188256289329972</v>
      </c>
      <c r="V74" s="45" t="s">
        <v>607</v>
      </c>
      <c r="W74" s="45" t="s">
        <v>607</v>
      </c>
      <c r="X74" s="45" t="s">
        <v>607</v>
      </c>
      <c r="Y74" s="45" t="s">
        <v>607</v>
      </c>
      <c r="Z74" s="45">
        <v>0</v>
      </c>
      <c r="AA74" s="45">
        <v>0</v>
      </c>
      <c r="AB74" s="45">
        <v>0</v>
      </c>
      <c r="AC74" s="45">
        <v>0</v>
      </c>
      <c r="AD74" s="45">
        <v>0</v>
      </c>
      <c r="AE74" s="45">
        <v>0</v>
      </c>
      <c r="AF74" s="45">
        <v>0</v>
      </c>
      <c r="AG74" s="45">
        <v>-1.9132235365066426</v>
      </c>
      <c r="AH74" s="45">
        <v>1.3316349715605087</v>
      </c>
      <c r="AI74" s="45">
        <v>3.0772058787404997</v>
      </c>
      <c r="AJ74" s="45">
        <v>0</v>
      </c>
      <c r="AK74" s="45">
        <v>2.0056020924263547</v>
      </c>
      <c r="AL74" s="45">
        <v>6.4144429427273622</v>
      </c>
      <c r="AM74" s="45">
        <v>14.840994685739142</v>
      </c>
      <c r="AN74" s="45">
        <v>2.5537473371227533</v>
      </c>
      <c r="AO74" s="45">
        <v>0</v>
      </c>
      <c r="AP74" s="45">
        <v>0</v>
      </c>
      <c r="AQ74" s="45">
        <v>17.394742022861895</v>
      </c>
      <c r="AR74" s="45">
        <v>1.3316349715605087</v>
      </c>
      <c r="AS74" s="199">
        <v>13.062695404039626</v>
      </c>
      <c r="AT74" s="45">
        <v>14.840994685739142</v>
      </c>
      <c r="AU74" s="45">
        <v>3.0228762136809548</v>
      </c>
      <c r="AV74" s="45">
        <v>0</v>
      </c>
      <c r="AW74" s="45">
        <v>0</v>
      </c>
      <c r="AX74" s="45">
        <v>17.863870899420096</v>
      </c>
      <c r="AY74" s="45">
        <v>3.0772058787404997</v>
      </c>
      <c r="AZ74" s="199">
        <v>5.8052244807005824</v>
      </c>
      <c r="BA74" s="45">
        <v>14.840994685739142</v>
      </c>
      <c r="BB74" s="45">
        <v>5.5766235508037081</v>
      </c>
      <c r="BC74" s="45">
        <v>0</v>
      </c>
      <c r="BD74" s="45">
        <v>0</v>
      </c>
      <c r="BE74" s="45">
        <v>20.41761823654285</v>
      </c>
      <c r="BF74" s="45">
        <v>4.4088408503010079</v>
      </c>
      <c r="BG74" s="45">
        <v>-2.7751454935849762</v>
      </c>
      <c r="BH74" s="199">
        <v>4.6310626601885305</v>
      </c>
      <c r="BI74" s="45">
        <v>3.164527774589823</v>
      </c>
      <c r="BJ74" s="45">
        <v>7.3127423651196217</v>
      </c>
      <c r="BK74" s="45">
        <v>0</v>
      </c>
      <c r="BL74" s="45">
        <v>4.7661586409232193</v>
      </c>
      <c r="BM74" s="45">
        <v>15.243428780632662</v>
      </c>
      <c r="BN74" s="45">
        <v>14.840994685739142</v>
      </c>
      <c r="BO74" s="45">
        <v>0</v>
      </c>
      <c r="BP74" s="45">
        <v>5.5766235508037081</v>
      </c>
      <c r="BQ74" s="45">
        <v>0</v>
      </c>
      <c r="BR74" s="45">
        <v>0</v>
      </c>
      <c r="BS74" s="45">
        <v>0</v>
      </c>
      <c r="BT74" s="45">
        <v>0</v>
      </c>
      <c r="BU74" s="45">
        <v>0</v>
      </c>
      <c r="BV74" s="45">
        <v>0</v>
      </c>
      <c r="BW74" s="45">
        <v>0</v>
      </c>
      <c r="BX74" s="45">
        <v>8.3276664792340043</v>
      </c>
      <c r="BY74" s="45"/>
      <c r="BZ74" s="45">
        <v>0</v>
      </c>
      <c r="CA74" s="45">
        <v>-1.9132235365066426</v>
      </c>
      <c r="CB74" s="45">
        <v>20.41761823654285</v>
      </c>
      <c r="CC74" s="45">
        <v>6.4144429427273622</v>
      </c>
      <c r="CD74" s="199">
        <v>2.6815245097451994</v>
      </c>
      <c r="CE74" s="45">
        <v>1.9910131473382424</v>
      </c>
      <c r="CF74" s="45">
        <v>0.29415155643237295</v>
      </c>
      <c r="CG74" s="45">
        <v>0</v>
      </c>
      <c r="CH74" s="45">
        <v>0.29415155643237295</v>
      </c>
      <c r="CI74" s="45">
        <v>1.4707538855143995E-2</v>
      </c>
      <c r="CJ74" s="45">
        <v>0</v>
      </c>
      <c r="CK74" s="45">
        <v>1.4707538855143995E-2</v>
      </c>
      <c r="CL74" s="45"/>
      <c r="CM74" s="45">
        <v>0</v>
      </c>
      <c r="CN74" s="45"/>
      <c r="CO74" s="45">
        <v>0</v>
      </c>
      <c r="CP74" s="45">
        <v>0</v>
      </c>
      <c r="CQ74" s="45">
        <v>0</v>
      </c>
      <c r="CR74" s="45">
        <v>0</v>
      </c>
      <c r="CS74" s="45">
        <v>0</v>
      </c>
      <c r="CT74" s="45">
        <v>0</v>
      </c>
      <c r="CU74" s="45">
        <v>0</v>
      </c>
      <c r="CV74" s="45">
        <v>9999</v>
      </c>
      <c r="CW74" s="199">
        <v>9999</v>
      </c>
      <c r="CX74" s="24"/>
      <c r="CY74" s="24"/>
      <c r="CZ74" s="24"/>
      <c r="DA74" s="24"/>
      <c r="DB74" s="24"/>
      <c r="DC74" s="24"/>
      <c r="DD74" s="24"/>
      <c r="DE74" s="24"/>
      <c r="DF74" s="24"/>
      <c r="DG74" s="24"/>
      <c r="DH74" s="24"/>
      <c r="DI74" s="24"/>
      <c r="DJ74" s="24"/>
      <c r="DK74" s="24"/>
      <c r="DL74" s="24"/>
      <c r="DM74" s="24"/>
      <c r="DN74" s="24"/>
      <c r="DO74" s="24"/>
      <c r="DP74" s="24"/>
      <c r="DQ74" s="24"/>
      <c r="DR74" s="24"/>
      <c r="DS74" s="24"/>
      <c r="DT74" s="24"/>
      <c r="DU74" s="24"/>
      <c r="DV74" s="24"/>
      <c r="DW74" s="24"/>
      <c r="DX74" s="24"/>
      <c r="DY74" s="24"/>
      <c r="DZ74" s="24"/>
      <c r="EA74" s="24"/>
    </row>
    <row r="75" spans="1:131">
      <c r="A75" s="24" t="s">
        <v>414</v>
      </c>
      <c r="B75" s="24" t="s">
        <v>622</v>
      </c>
      <c r="C75" s="45">
        <v>16.279069767441861</v>
      </c>
      <c r="D75" s="45">
        <v>66.781973941888168</v>
      </c>
      <c r="E75" s="45">
        <v>0</v>
      </c>
      <c r="F75" s="45">
        <v>0.68761315445724391</v>
      </c>
      <c r="G75" s="45">
        <v>0</v>
      </c>
      <c r="H75" s="45">
        <v>-5.6132962216598692</v>
      </c>
      <c r="I75" s="45" t="s">
        <v>368</v>
      </c>
      <c r="J75" s="45"/>
      <c r="K75" s="45"/>
      <c r="L75" s="45">
        <v>71.596806262868725</v>
      </c>
      <c r="M75" s="45">
        <v>1.6711750705328442E-2</v>
      </c>
      <c r="N75" s="45">
        <v>1.6591132783014665E-2</v>
      </c>
      <c r="O75" s="45">
        <v>0</v>
      </c>
      <c r="P75" s="45">
        <v>0</v>
      </c>
      <c r="Q75" s="45">
        <v>0</v>
      </c>
      <c r="R75" s="45">
        <v>0.1371192484805919</v>
      </c>
      <c r="S75" s="45">
        <v>0.31686172751868419</v>
      </c>
      <c r="T75" s="45">
        <v>0</v>
      </c>
      <c r="U75" s="45">
        <v>0.40352381594189662</v>
      </c>
      <c r="V75" s="45" t="s">
        <v>607</v>
      </c>
      <c r="W75" s="45" t="s">
        <v>607</v>
      </c>
      <c r="X75" s="45" t="s">
        <v>607</v>
      </c>
      <c r="Y75" s="45" t="s">
        <v>607</v>
      </c>
      <c r="Z75" s="45">
        <v>0</v>
      </c>
      <c r="AA75" s="45">
        <v>0</v>
      </c>
      <c r="AB75" s="45">
        <v>0</v>
      </c>
      <c r="AC75" s="45">
        <v>0</v>
      </c>
      <c r="AD75" s="45">
        <v>0</v>
      </c>
      <c r="AE75" s="45">
        <v>0</v>
      </c>
      <c r="AF75" s="45">
        <v>0</v>
      </c>
      <c r="AG75" s="45">
        <v>-5.6132962216598692</v>
      </c>
      <c r="AH75" s="45">
        <v>0.1371192484805919</v>
      </c>
      <c r="AI75" s="45">
        <v>0.31686172751868419</v>
      </c>
      <c r="AJ75" s="45">
        <v>0</v>
      </c>
      <c r="AK75" s="45">
        <v>-5.2097724057179722</v>
      </c>
      <c r="AL75" s="45">
        <v>-4.7557914297186965</v>
      </c>
      <c r="AM75" s="45">
        <v>34.317075077687797</v>
      </c>
      <c r="AN75" s="45">
        <v>5.9050717929100927</v>
      </c>
      <c r="AO75" s="45">
        <v>0</v>
      </c>
      <c r="AP75" s="45">
        <v>0</v>
      </c>
      <c r="AQ75" s="45">
        <v>40.222146870597889</v>
      </c>
      <c r="AR75" s="45">
        <v>0.1371192484805919</v>
      </c>
      <c r="AS75" s="199">
        <v>293.33698453205136</v>
      </c>
      <c r="AT75" s="45">
        <v>34.317075077687797</v>
      </c>
      <c r="AU75" s="45">
        <v>6.9898461775696976</v>
      </c>
      <c r="AV75" s="45">
        <v>0</v>
      </c>
      <c r="AW75" s="45">
        <v>0</v>
      </c>
      <c r="AX75" s="45">
        <v>41.306921255257492</v>
      </c>
      <c r="AY75" s="45">
        <v>0.31686172751868419</v>
      </c>
      <c r="AZ75" s="199">
        <v>130.36260825416909</v>
      </c>
      <c r="BA75" s="45">
        <v>34.317075077687797</v>
      </c>
      <c r="BB75" s="45">
        <v>12.89491797047979</v>
      </c>
      <c r="BC75" s="45">
        <v>0</v>
      </c>
      <c r="BD75" s="45">
        <v>0</v>
      </c>
      <c r="BE75" s="45">
        <v>47.211993048167585</v>
      </c>
      <c r="BF75" s="45">
        <v>0.45398097599927612</v>
      </c>
      <c r="BG75" s="45">
        <v>-12.785848525436556</v>
      </c>
      <c r="BH75" s="199">
        <v>103.99553184854791</v>
      </c>
      <c r="BI75" s="45">
        <v>0.1409207314346464</v>
      </c>
      <c r="BJ75" s="45">
        <v>0.32564637642321076</v>
      </c>
      <c r="BK75" s="45">
        <v>0</v>
      </c>
      <c r="BL75" s="45">
        <v>-5.3542077145042768</v>
      </c>
      <c r="BM75" s="45">
        <v>-4.8876406066464195</v>
      </c>
      <c r="BN75" s="45">
        <v>34.317075077687797</v>
      </c>
      <c r="BO75" s="45">
        <v>0</v>
      </c>
      <c r="BP75" s="45">
        <v>12.89491797047979</v>
      </c>
      <c r="BQ75" s="45">
        <v>0</v>
      </c>
      <c r="BR75" s="45">
        <v>0</v>
      </c>
      <c r="BS75" s="45">
        <v>0</v>
      </c>
      <c r="BT75" s="45">
        <v>0</v>
      </c>
      <c r="BU75" s="45">
        <v>0</v>
      </c>
      <c r="BV75" s="45">
        <v>0</v>
      </c>
      <c r="BW75" s="45">
        <v>0</v>
      </c>
      <c r="BX75" s="45">
        <v>0.85750479194117268</v>
      </c>
      <c r="BY75" s="45"/>
      <c r="BZ75" s="45">
        <v>0</v>
      </c>
      <c r="CA75" s="45">
        <v>-5.6132962216598692</v>
      </c>
      <c r="CB75" s="45">
        <v>47.211993048167585</v>
      </c>
      <c r="CC75" s="45">
        <v>-4.7557914297186965</v>
      </c>
      <c r="CD75" s="199">
        <v>61.603491626261871</v>
      </c>
      <c r="CE75" s="45">
        <v>-18.14005623994084</v>
      </c>
      <c r="CF75" s="45">
        <v>0.68017146155360431</v>
      </c>
      <c r="CG75" s="45">
        <v>0</v>
      </c>
      <c r="CH75" s="45">
        <v>0.68017146155360431</v>
      </c>
      <c r="CI75" s="45">
        <v>3.4008482974862655E-2</v>
      </c>
      <c r="CJ75" s="45">
        <v>0</v>
      </c>
      <c r="CK75" s="45">
        <v>3.4008482974862655E-2</v>
      </c>
      <c r="CL75" s="45"/>
      <c r="CM75" s="45">
        <v>0</v>
      </c>
      <c r="CN75" s="45"/>
      <c r="CO75" s="45">
        <v>0</v>
      </c>
      <c r="CP75" s="45">
        <v>0</v>
      </c>
      <c r="CQ75" s="45">
        <v>0</v>
      </c>
      <c r="CR75" s="45">
        <v>0</v>
      </c>
      <c r="CS75" s="45">
        <v>0</v>
      </c>
      <c r="CT75" s="45">
        <v>0</v>
      </c>
      <c r="CU75" s="45">
        <v>0</v>
      </c>
      <c r="CV75" s="45">
        <v>9999</v>
      </c>
      <c r="CW75" s="199">
        <v>9999</v>
      </c>
      <c r="CX75" s="24"/>
      <c r="CY75" s="24"/>
      <c r="CZ75" s="24"/>
      <c r="DA75" s="24"/>
      <c r="DB75" s="24"/>
      <c r="DC75" s="24"/>
      <c r="DD75" s="24"/>
      <c r="DE75" s="24"/>
      <c r="DF75" s="24"/>
      <c r="DG75" s="24"/>
      <c r="DH75" s="24"/>
      <c r="DI75" s="24"/>
      <c r="DJ75" s="24"/>
      <c r="DK75" s="24"/>
      <c r="DL75" s="24"/>
      <c r="DM75" s="24"/>
      <c r="DN75" s="24"/>
      <c r="DO75" s="24"/>
      <c r="DP75" s="24"/>
      <c r="DQ75" s="24"/>
      <c r="DR75" s="24"/>
      <c r="DS75" s="24"/>
      <c r="DT75" s="24"/>
      <c r="DU75" s="24"/>
      <c r="DV75" s="24"/>
      <c r="DW75" s="24"/>
      <c r="DX75" s="24"/>
      <c r="DY75" s="24"/>
      <c r="DZ75" s="24"/>
      <c r="EA75" s="24"/>
    </row>
    <row r="76" spans="1:131">
      <c r="A76" s="24" t="s">
        <v>420</v>
      </c>
      <c r="B76" s="24" t="s">
        <v>623</v>
      </c>
      <c r="C76" s="45">
        <v>6.6762790697674417</v>
      </c>
      <c r="D76" s="45">
        <v>2.3112289292682102</v>
      </c>
      <c r="E76" s="45">
        <v>0</v>
      </c>
      <c r="F76" s="45">
        <v>0.13553311531055059</v>
      </c>
      <c r="G76" s="45">
        <v>0</v>
      </c>
      <c r="H76" s="45">
        <v>-1.3137623929241096</v>
      </c>
      <c r="I76" s="45" t="s">
        <v>368</v>
      </c>
      <c r="J76" s="45"/>
      <c r="K76" s="45"/>
      <c r="L76" s="45">
        <v>2.4778634129914572</v>
      </c>
      <c r="M76" s="45">
        <v>5.7836987152376843E-4</v>
      </c>
      <c r="N76" s="45">
        <v>5.7419545715736459E-4</v>
      </c>
      <c r="O76" s="45">
        <v>0</v>
      </c>
      <c r="P76" s="45">
        <v>0</v>
      </c>
      <c r="Q76" s="45">
        <v>0</v>
      </c>
      <c r="R76" s="45">
        <v>2.7027113712339075E-2</v>
      </c>
      <c r="S76" s="45">
        <v>6.2455548988425355E-2</v>
      </c>
      <c r="T76" s="45">
        <v>0</v>
      </c>
      <c r="U76" s="45">
        <v>0.27091136744156291</v>
      </c>
      <c r="V76" s="45" t="s">
        <v>607</v>
      </c>
      <c r="W76" s="45" t="s">
        <v>607</v>
      </c>
      <c r="X76" s="45" t="s">
        <v>607</v>
      </c>
      <c r="Y76" s="45" t="s">
        <v>607</v>
      </c>
      <c r="Z76" s="45">
        <v>0</v>
      </c>
      <c r="AA76" s="45">
        <v>0</v>
      </c>
      <c r="AB76" s="45">
        <v>0</v>
      </c>
      <c r="AC76" s="45">
        <v>0</v>
      </c>
      <c r="AD76" s="45">
        <v>0</v>
      </c>
      <c r="AE76" s="45">
        <v>0</v>
      </c>
      <c r="AF76" s="45">
        <v>0</v>
      </c>
      <c r="AG76" s="45">
        <v>-1.3137623929241096</v>
      </c>
      <c r="AH76" s="45">
        <v>2.7027113712339075E-2</v>
      </c>
      <c r="AI76" s="45">
        <v>6.2455548988425355E-2</v>
      </c>
      <c r="AJ76" s="45">
        <v>0</v>
      </c>
      <c r="AK76" s="45">
        <v>-1.0428510254825467</v>
      </c>
      <c r="AL76" s="45">
        <v>-0.95336836278178216</v>
      </c>
      <c r="AM76" s="45">
        <v>1.1876650539925426</v>
      </c>
      <c r="AN76" s="45">
        <v>0.20436611785473116</v>
      </c>
      <c r="AO76" s="45">
        <v>0</v>
      </c>
      <c r="AP76" s="45">
        <v>0</v>
      </c>
      <c r="AQ76" s="45">
        <v>1.3920311718472738</v>
      </c>
      <c r="AR76" s="45">
        <v>2.7027113712339075E-2</v>
      </c>
      <c r="AS76" s="199">
        <v>51.5049881634882</v>
      </c>
      <c r="AT76" s="45">
        <v>1.1876650539925426</v>
      </c>
      <c r="AU76" s="45">
        <v>0.24190861310556133</v>
      </c>
      <c r="AV76" s="45">
        <v>0</v>
      </c>
      <c r="AW76" s="45">
        <v>0</v>
      </c>
      <c r="AX76" s="45">
        <v>1.4295736670981039</v>
      </c>
      <c r="AY76" s="45">
        <v>6.2455548988425355E-2</v>
      </c>
      <c r="AZ76" s="199">
        <v>22.889458026588496</v>
      </c>
      <c r="BA76" s="45">
        <v>1.1876650539925426</v>
      </c>
      <c r="BB76" s="45">
        <v>0.44627473096029247</v>
      </c>
      <c r="BC76" s="45">
        <v>0</v>
      </c>
      <c r="BD76" s="45">
        <v>0</v>
      </c>
      <c r="BE76" s="45">
        <v>1.633939784952835</v>
      </c>
      <c r="BF76" s="45">
        <v>8.9482662700764437E-2</v>
      </c>
      <c r="BG76" s="45">
        <v>-10.59517031821084</v>
      </c>
      <c r="BH76" s="199">
        <v>18.259847613350875</v>
      </c>
      <c r="BI76" s="45">
        <v>0.8025875529934432</v>
      </c>
      <c r="BJ76" s="45">
        <v>1.8546577620901361</v>
      </c>
      <c r="BK76" s="45">
        <v>0</v>
      </c>
      <c r="BL76" s="45">
        <v>-30.968133023269214</v>
      </c>
      <c r="BM76" s="45">
        <v>-28.310887708185632</v>
      </c>
      <c r="BN76" s="45">
        <v>1.1876650539925426</v>
      </c>
      <c r="BO76" s="45">
        <v>0</v>
      </c>
      <c r="BP76" s="45">
        <v>0.44627473096029247</v>
      </c>
      <c r="BQ76" s="45">
        <v>0</v>
      </c>
      <c r="BR76" s="45">
        <v>0</v>
      </c>
      <c r="BS76" s="45">
        <v>0</v>
      </c>
      <c r="BT76" s="45">
        <v>0</v>
      </c>
      <c r="BU76" s="45">
        <v>0</v>
      </c>
      <c r="BV76" s="45">
        <v>0</v>
      </c>
      <c r="BW76" s="45">
        <v>0</v>
      </c>
      <c r="BX76" s="45">
        <v>0.36039403014232735</v>
      </c>
      <c r="BY76" s="45"/>
      <c r="BZ76" s="45">
        <v>0</v>
      </c>
      <c r="CA76" s="45">
        <v>-1.3137623929241096</v>
      </c>
      <c r="CB76" s="45">
        <v>1.633939784952835</v>
      </c>
      <c r="CC76" s="45">
        <v>-0.95336836278178216</v>
      </c>
      <c r="CD76" s="199">
        <v>8.1791093396104095</v>
      </c>
      <c r="CE76" s="45">
        <v>-41.563303341480051</v>
      </c>
      <c r="CF76" s="45">
        <v>2.3539764790020557E-2</v>
      </c>
      <c r="CG76" s="45">
        <v>0</v>
      </c>
      <c r="CH76" s="45">
        <v>2.3539764790020557E-2</v>
      </c>
      <c r="CI76" s="45">
        <v>1.1769851211709426E-3</v>
      </c>
      <c r="CJ76" s="45">
        <v>0</v>
      </c>
      <c r="CK76" s="45">
        <v>1.1769851211709426E-3</v>
      </c>
      <c r="CL76" s="45"/>
      <c r="CM76" s="45">
        <v>0</v>
      </c>
      <c r="CN76" s="45"/>
      <c r="CO76" s="45">
        <v>0</v>
      </c>
      <c r="CP76" s="45">
        <v>0</v>
      </c>
      <c r="CQ76" s="45">
        <v>0</v>
      </c>
      <c r="CR76" s="45">
        <v>0</v>
      </c>
      <c r="CS76" s="45">
        <v>0</v>
      </c>
      <c r="CT76" s="45">
        <v>0</v>
      </c>
      <c r="CU76" s="45">
        <v>0</v>
      </c>
      <c r="CV76" s="45">
        <v>9999</v>
      </c>
      <c r="CW76" s="199">
        <v>9999</v>
      </c>
      <c r="CX76" s="24"/>
      <c r="CY76" s="24"/>
      <c r="CZ76" s="24"/>
      <c r="DA76" s="24"/>
      <c r="DB76" s="24"/>
      <c r="DC76" s="24"/>
      <c r="DD76" s="24"/>
      <c r="DE76" s="24"/>
      <c r="DF76" s="24"/>
      <c r="DG76" s="24"/>
      <c r="DH76" s="24"/>
      <c r="DI76" s="24"/>
      <c r="DJ76" s="24"/>
      <c r="DK76" s="24"/>
      <c r="DL76" s="24"/>
      <c r="DM76" s="24"/>
      <c r="DN76" s="24"/>
      <c r="DO76" s="24"/>
      <c r="DP76" s="24"/>
      <c r="DQ76" s="24"/>
      <c r="DR76" s="24"/>
      <c r="DS76" s="24"/>
      <c r="DT76" s="24"/>
      <c r="DU76" s="24"/>
      <c r="DV76" s="24"/>
      <c r="DW76" s="24"/>
      <c r="DX76" s="24"/>
      <c r="DY76" s="24"/>
      <c r="DZ76" s="24"/>
      <c r="EA76" s="24"/>
    </row>
    <row r="77" spans="1:131">
      <c r="A77" s="24" t="s">
        <v>416</v>
      </c>
      <c r="B77" s="24" t="s">
        <v>624</v>
      </c>
      <c r="C77" s="45">
        <v>6.6762790697674417</v>
      </c>
      <c r="D77" s="45">
        <v>1.7156302515732005</v>
      </c>
      <c r="E77" s="45">
        <v>0</v>
      </c>
      <c r="F77" s="45">
        <v>2.9394812076628273E-2</v>
      </c>
      <c r="G77" s="45">
        <v>0</v>
      </c>
      <c r="H77" s="45">
        <v>-2.9488192070380408</v>
      </c>
      <c r="I77" s="45" t="s">
        <v>368</v>
      </c>
      <c r="J77" s="45"/>
      <c r="K77" s="45"/>
      <c r="L77" s="45">
        <v>1.8393233905827586</v>
      </c>
      <c r="M77" s="45">
        <v>4.2932521119786187E-4</v>
      </c>
      <c r="N77" s="45">
        <v>4.2622653435156959E-4</v>
      </c>
      <c r="O77" s="45">
        <v>0</v>
      </c>
      <c r="P77" s="45">
        <v>0</v>
      </c>
      <c r="Q77" s="45">
        <v>0</v>
      </c>
      <c r="R77" s="45">
        <v>5.8617181987406551E-3</v>
      </c>
      <c r="S77" s="45">
        <v>1.3545539194984482E-2</v>
      </c>
      <c r="T77" s="45">
        <v>0</v>
      </c>
      <c r="U77" s="45">
        <v>5.8756036981223461E-2</v>
      </c>
      <c r="V77" s="45" t="s">
        <v>607</v>
      </c>
      <c r="W77" s="45" t="s">
        <v>607</v>
      </c>
      <c r="X77" s="45" t="s">
        <v>607</v>
      </c>
      <c r="Y77" s="45" t="s">
        <v>607</v>
      </c>
      <c r="Z77" s="45">
        <v>0</v>
      </c>
      <c r="AA77" s="45">
        <v>0</v>
      </c>
      <c r="AB77" s="45">
        <v>0</v>
      </c>
      <c r="AC77" s="45">
        <v>0</v>
      </c>
      <c r="AD77" s="45">
        <v>0</v>
      </c>
      <c r="AE77" s="45">
        <v>0</v>
      </c>
      <c r="AF77" s="45">
        <v>0</v>
      </c>
      <c r="AG77" s="45">
        <v>-2.9488192070380408</v>
      </c>
      <c r="AH77" s="45">
        <v>5.8617181987406551E-3</v>
      </c>
      <c r="AI77" s="45">
        <v>1.3545539194984482E-2</v>
      </c>
      <c r="AJ77" s="45">
        <v>0</v>
      </c>
      <c r="AK77" s="45">
        <v>-2.8900631700568171</v>
      </c>
      <c r="AL77" s="45">
        <v>-2.8706559126630924</v>
      </c>
      <c r="AM77" s="45">
        <v>0.88160634784502923</v>
      </c>
      <c r="AN77" s="45">
        <v>0.15170141293582903</v>
      </c>
      <c r="AO77" s="45">
        <v>0</v>
      </c>
      <c r="AP77" s="45">
        <v>0</v>
      </c>
      <c r="AQ77" s="45">
        <v>1.0333077607808583</v>
      </c>
      <c r="AR77" s="45">
        <v>5.8617181987406551E-3</v>
      </c>
      <c r="AS77" s="199">
        <v>176.28069547984353</v>
      </c>
      <c r="AT77" s="45">
        <v>0.88160634784502923</v>
      </c>
      <c r="AU77" s="45">
        <v>0.17956928866039473</v>
      </c>
      <c r="AV77" s="45">
        <v>0</v>
      </c>
      <c r="AW77" s="45">
        <v>0</v>
      </c>
      <c r="AX77" s="45">
        <v>1.0611756365054239</v>
      </c>
      <c r="AY77" s="45">
        <v>1.3545539194984482E-2</v>
      </c>
      <c r="AZ77" s="199">
        <v>78.341335935770374</v>
      </c>
      <c r="BA77" s="45">
        <v>0.88160634784502923</v>
      </c>
      <c r="BB77" s="45">
        <v>0.33127070159622374</v>
      </c>
      <c r="BC77" s="45">
        <v>0</v>
      </c>
      <c r="BD77" s="45">
        <v>0</v>
      </c>
      <c r="BE77" s="45">
        <v>1.2128770494412529</v>
      </c>
      <c r="BF77" s="45">
        <v>1.9407257393725137E-2</v>
      </c>
      <c r="BG77" s="45">
        <v>-12.4760323309236</v>
      </c>
      <c r="BH77" s="199">
        <v>62.496056234788078</v>
      </c>
      <c r="BI77" s="45">
        <v>0.23449681943089942</v>
      </c>
      <c r="BJ77" s="45">
        <v>0.5418864829399116</v>
      </c>
      <c r="BK77" s="45">
        <v>0</v>
      </c>
      <c r="BL77" s="45">
        <v>-115.61637703400807</v>
      </c>
      <c r="BM77" s="45">
        <v>-114.83999373163728</v>
      </c>
      <c r="BN77" s="45">
        <v>0.88160634784502923</v>
      </c>
      <c r="BO77" s="45">
        <v>0</v>
      </c>
      <c r="BP77" s="45">
        <v>0.33127070159622374</v>
      </c>
      <c r="BQ77" s="45">
        <v>0</v>
      </c>
      <c r="BR77" s="45">
        <v>0</v>
      </c>
      <c r="BS77" s="45">
        <v>0</v>
      </c>
      <c r="BT77" s="45">
        <v>0</v>
      </c>
      <c r="BU77" s="45">
        <v>0</v>
      </c>
      <c r="BV77" s="45">
        <v>0</v>
      </c>
      <c r="BW77" s="45">
        <v>0</v>
      </c>
      <c r="BX77" s="45">
        <v>7.8163294374948594E-2</v>
      </c>
      <c r="BY77" s="45"/>
      <c r="BZ77" s="45">
        <v>0</v>
      </c>
      <c r="CA77" s="45">
        <v>-2.9488192070380408</v>
      </c>
      <c r="CB77" s="45">
        <v>1.2128770494412531</v>
      </c>
      <c r="CC77" s="45">
        <v>-2.8706559126630924</v>
      </c>
      <c r="CD77" s="199">
        <v>53.243613767296907</v>
      </c>
      <c r="CE77" s="45">
        <v>-128.09240936493168</v>
      </c>
      <c r="CF77" s="45">
        <v>1.7473618505400069E-2</v>
      </c>
      <c r="CG77" s="45">
        <v>0</v>
      </c>
      <c r="CH77" s="45">
        <v>1.7473618505400069E-2</v>
      </c>
      <c r="CI77" s="45">
        <v>8.7367861052681044E-4</v>
      </c>
      <c r="CJ77" s="45">
        <v>0</v>
      </c>
      <c r="CK77" s="45">
        <v>8.7367861052681044E-4</v>
      </c>
      <c r="CL77" s="45"/>
      <c r="CM77" s="45">
        <v>0</v>
      </c>
      <c r="CN77" s="45"/>
      <c r="CO77" s="45">
        <v>0</v>
      </c>
      <c r="CP77" s="45">
        <v>0</v>
      </c>
      <c r="CQ77" s="45">
        <v>0</v>
      </c>
      <c r="CR77" s="45">
        <v>0</v>
      </c>
      <c r="CS77" s="45">
        <v>0</v>
      </c>
      <c r="CT77" s="45">
        <v>0</v>
      </c>
      <c r="CU77" s="45">
        <v>0</v>
      </c>
      <c r="CV77" s="45">
        <v>9999</v>
      </c>
      <c r="CW77" s="199">
        <v>9999</v>
      </c>
      <c r="CX77" s="24"/>
      <c r="CY77" s="24"/>
      <c r="CZ77" s="24"/>
      <c r="DA77" s="24"/>
      <c r="DB77" s="24"/>
      <c r="DC77" s="24"/>
      <c r="DD77" s="24"/>
      <c r="DE77" s="24"/>
      <c r="DF77" s="24"/>
      <c r="DG77" s="24"/>
      <c r="DH77" s="24"/>
      <c r="DI77" s="24"/>
      <c r="DJ77" s="24"/>
      <c r="DK77" s="24"/>
      <c r="DL77" s="24"/>
      <c r="DM77" s="24"/>
      <c r="DN77" s="24"/>
      <c r="DO77" s="24"/>
      <c r="DP77" s="24"/>
      <c r="DQ77" s="24"/>
      <c r="DR77" s="24"/>
      <c r="DS77" s="24"/>
      <c r="DT77" s="24"/>
      <c r="DU77" s="24"/>
      <c r="DV77" s="24"/>
      <c r="DW77" s="24"/>
      <c r="DX77" s="24"/>
      <c r="DY77" s="24"/>
      <c r="DZ77" s="24"/>
      <c r="EA77" s="24"/>
    </row>
    <row r="78" spans="1:131">
      <c r="A78" s="24" t="s">
        <v>428</v>
      </c>
      <c r="B78" s="24" t="s">
        <v>625</v>
      </c>
      <c r="C78" s="45">
        <v>13.953488372093023</v>
      </c>
      <c r="D78" s="45">
        <v>65.987461954092865</v>
      </c>
      <c r="E78" s="45">
        <v>0</v>
      </c>
      <c r="F78" s="45">
        <v>15.900946569337281</v>
      </c>
      <c r="G78" s="45">
        <v>0</v>
      </c>
      <c r="H78" s="45">
        <v>-5.6132962216598692</v>
      </c>
      <c r="I78" s="45" t="s">
        <v>368</v>
      </c>
      <c r="J78" s="45"/>
      <c r="K78" s="45"/>
      <c r="L78" s="45">
        <v>70.745011721527277</v>
      </c>
      <c r="M78" s="45">
        <v>1.6512929294568948E-2</v>
      </c>
      <c r="N78" s="45">
        <v>1.6393746376037847E-2</v>
      </c>
      <c r="O78" s="45">
        <v>0</v>
      </c>
      <c r="P78" s="45">
        <v>0</v>
      </c>
      <c r="Q78" s="45">
        <v>0</v>
      </c>
      <c r="R78" s="45">
        <v>3.170861158755141</v>
      </c>
      <c r="S78" s="45">
        <v>7.3273778526233757</v>
      </c>
      <c r="T78" s="45">
        <v>0</v>
      </c>
      <c r="U78" s="45">
        <v>11.893944438603963</v>
      </c>
      <c r="V78" s="45" t="s">
        <v>607</v>
      </c>
      <c r="W78" s="45" t="s">
        <v>607</v>
      </c>
      <c r="X78" s="45" t="s">
        <v>607</v>
      </c>
      <c r="Y78" s="45" t="s">
        <v>607</v>
      </c>
      <c r="Z78" s="45">
        <v>0</v>
      </c>
      <c r="AA78" s="45">
        <v>0</v>
      </c>
      <c r="AB78" s="45">
        <v>0</v>
      </c>
      <c r="AC78" s="45">
        <v>0</v>
      </c>
      <c r="AD78" s="45">
        <v>0</v>
      </c>
      <c r="AE78" s="45">
        <v>0</v>
      </c>
      <c r="AF78" s="45">
        <v>0</v>
      </c>
      <c r="AG78" s="45">
        <v>-5.6132962216598692</v>
      </c>
      <c r="AH78" s="45">
        <v>3.170861158755141</v>
      </c>
      <c r="AI78" s="45">
        <v>7.3273778526233757</v>
      </c>
      <c r="AJ78" s="45">
        <v>0</v>
      </c>
      <c r="AK78" s="45">
        <v>6.280648216944094</v>
      </c>
      <c r="AL78" s="45">
        <v>16.77888722832261</v>
      </c>
      <c r="AM78" s="45">
        <v>33.90880131867884</v>
      </c>
      <c r="AN78" s="45">
        <v>5.8348185486387933</v>
      </c>
      <c r="AO78" s="45">
        <v>0</v>
      </c>
      <c r="AP78" s="45">
        <v>0</v>
      </c>
      <c r="AQ78" s="45">
        <v>39.743619867317634</v>
      </c>
      <c r="AR78" s="45">
        <v>3.170861158755141</v>
      </c>
      <c r="AS78" s="199">
        <v>12.534014539734914</v>
      </c>
      <c r="AT78" s="45">
        <v>33.90880131867884</v>
      </c>
      <c r="AU78" s="45">
        <v>6.9066872612765557</v>
      </c>
      <c r="AV78" s="45">
        <v>0</v>
      </c>
      <c r="AW78" s="45">
        <v>0</v>
      </c>
      <c r="AX78" s="45">
        <v>40.815488579955399</v>
      </c>
      <c r="AY78" s="45">
        <v>7.3273778526233757</v>
      </c>
      <c r="AZ78" s="199">
        <v>5.5702721220173572</v>
      </c>
      <c r="BA78" s="45">
        <v>33.90880131867884</v>
      </c>
      <c r="BB78" s="45">
        <v>12.741505809915349</v>
      </c>
      <c r="BC78" s="45">
        <v>0</v>
      </c>
      <c r="BD78" s="45">
        <v>0</v>
      </c>
      <c r="BE78" s="45">
        <v>46.650307128594193</v>
      </c>
      <c r="BF78" s="45">
        <v>10.498239011378516</v>
      </c>
      <c r="BG78" s="45">
        <v>-2.3332174732004782</v>
      </c>
      <c r="BH78" s="199">
        <v>4.443631648891996</v>
      </c>
      <c r="BI78" s="45">
        <v>3.2980065793002113</v>
      </c>
      <c r="BJ78" s="45">
        <v>7.6211915807937345</v>
      </c>
      <c r="BK78" s="45">
        <v>0</v>
      </c>
      <c r="BL78" s="45">
        <v>6.5324901043235188</v>
      </c>
      <c r="BM78" s="45">
        <v>17.451688264417463</v>
      </c>
      <c r="BN78" s="45">
        <v>33.90880131867884</v>
      </c>
      <c r="BO78" s="45">
        <v>0</v>
      </c>
      <c r="BP78" s="45">
        <v>12.741505809915349</v>
      </c>
      <c r="BQ78" s="45">
        <v>0</v>
      </c>
      <c r="BR78" s="45">
        <v>0</v>
      </c>
      <c r="BS78" s="45">
        <v>0</v>
      </c>
      <c r="BT78" s="45">
        <v>0</v>
      </c>
      <c r="BU78" s="45">
        <v>0</v>
      </c>
      <c r="BV78" s="45">
        <v>0</v>
      </c>
      <c r="BW78" s="45">
        <v>0</v>
      </c>
      <c r="BX78" s="45">
        <v>22.392183449982479</v>
      </c>
      <c r="BY78" s="45"/>
      <c r="BZ78" s="45">
        <v>0</v>
      </c>
      <c r="CA78" s="45">
        <v>-5.6132962216598692</v>
      </c>
      <c r="CB78" s="45">
        <v>46.650307128594193</v>
      </c>
      <c r="CC78" s="45">
        <v>16.77888722832261</v>
      </c>
      <c r="CD78" s="199">
        <v>2.3340110385838657</v>
      </c>
      <c r="CE78" s="45">
        <v>4.1992726311230406</v>
      </c>
      <c r="CF78" s="45">
        <v>0.67207939197161215</v>
      </c>
      <c r="CG78" s="45">
        <v>0</v>
      </c>
      <c r="CH78" s="45">
        <v>0.67207939197161215</v>
      </c>
      <c r="CI78" s="45">
        <v>3.3603880567725466E-2</v>
      </c>
      <c r="CJ78" s="45">
        <v>0</v>
      </c>
      <c r="CK78" s="45">
        <v>3.3603880567725466E-2</v>
      </c>
      <c r="CL78" s="45"/>
      <c r="CM78" s="45">
        <v>0</v>
      </c>
      <c r="CN78" s="45"/>
      <c r="CO78" s="45">
        <v>0</v>
      </c>
      <c r="CP78" s="45">
        <v>0</v>
      </c>
      <c r="CQ78" s="45">
        <v>0</v>
      </c>
      <c r="CR78" s="45">
        <v>0</v>
      </c>
      <c r="CS78" s="45">
        <v>0</v>
      </c>
      <c r="CT78" s="45">
        <v>0</v>
      </c>
      <c r="CU78" s="45">
        <v>0</v>
      </c>
      <c r="CV78" s="45">
        <v>9999</v>
      </c>
      <c r="CW78" s="199">
        <v>9999</v>
      </c>
      <c r="CX78" s="24"/>
      <c r="CY78" s="24"/>
      <c r="CZ78" s="24"/>
      <c r="DA78" s="24"/>
      <c r="DB78" s="24"/>
      <c r="DC78" s="24"/>
      <c r="DD78" s="24"/>
      <c r="DE78" s="24"/>
      <c r="DF78" s="24"/>
      <c r="DG78" s="24"/>
      <c r="DH78" s="24"/>
      <c r="DI78" s="24"/>
      <c r="DJ78" s="24"/>
      <c r="DK78" s="24"/>
      <c r="DL78" s="24"/>
      <c r="DM78" s="24"/>
      <c r="DN78" s="24"/>
      <c r="DO78" s="24"/>
      <c r="DP78" s="24"/>
      <c r="DQ78" s="24"/>
      <c r="DR78" s="24"/>
      <c r="DS78" s="24"/>
      <c r="DT78" s="24"/>
      <c r="DU78" s="24"/>
      <c r="DV78" s="24"/>
      <c r="DW78" s="24"/>
      <c r="DX78" s="24"/>
      <c r="DY78" s="24"/>
      <c r="DZ78" s="24"/>
      <c r="EA78" s="24"/>
    </row>
    <row r="79" spans="1:131">
      <c r="A79" s="24" t="s">
        <v>421</v>
      </c>
      <c r="B79" s="24" t="s">
        <v>626</v>
      </c>
      <c r="C79" s="45">
        <v>6.6762790697674417</v>
      </c>
      <c r="D79" s="45">
        <v>2.3112289292682102</v>
      </c>
      <c r="E79" s="45">
        <v>0</v>
      </c>
      <c r="F79" s="45">
        <v>0.13553311531055059</v>
      </c>
      <c r="G79" s="45">
        <v>0</v>
      </c>
      <c r="H79" s="45">
        <v>-1.3137623929241096</v>
      </c>
      <c r="I79" s="45" t="s">
        <v>368</v>
      </c>
      <c r="J79" s="45"/>
      <c r="K79" s="45"/>
      <c r="L79" s="45">
        <v>2.4778634129914572</v>
      </c>
      <c r="M79" s="45">
        <v>5.7836987152376843E-4</v>
      </c>
      <c r="N79" s="45">
        <v>5.7419545715736459E-4</v>
      </c>
      <c r="O79" s="45">
        <v>0</v>
      </c>
      <c r="P79" s="45">
        <v>0</v>
      </c>
      <c r="Q79" s="45">
        <v>0</v>
      </c>
      <c r="R79" s="45">
        <v>2.7027113712339075E-2</v>
      </c>
      <c r="S79" s="45">
        <v>6.2455548988425355E-2</v>
      </c>
      <c r="T79" s="45">
        <v>0</v>
      </c>
      <c r="U79" s="45">
        <v>0.27091136744156291</v>
      </c>
      <c r="V79" s="45" t="s">
        <v>607</v>
      </c>
      <c r="W79" s="45" t="s">
        <v>607</v>
      </c>
      <c r="X79" s="45" t="s">
        <v>607</v>
      </c>
      <c r="Y79" s="45" t="s">
        <v>607</v>
      </c>
      <c r="Z79" s="45">
        <v>0</v>
      </c>
      <c r="AA79" s="45">
        <v>0</v>
      </c>
      <c r="AB79" s="45">
        <v>0</v>
      </c>
      <c r="AC79" s="45">
        <v>0</v>
      </c>
      <c r="AD79" s="45">
        <v>0</v>
      </c>
      <c r="AE79" s="45">
        <v>0</v>
      </c>
      <c r="AF79" s="45">
        <v>0</v>
      </c>
      <c r="AG79" s="45">
        <v>-1.3137623929241096</v>
      </c>
      <c r="AH79" s="45">
        <v>2.7027113712339075E-2</v>
      </c>
      <c r="AI79" s="45">
        <v>6.2455548988425355E-2</v>
      </c>
      <c r="AJ79" s="45">
        <v>0</v>
      </c>
      <c r="AK79" s="45">
        <v>-1.0428510254825467</v>
      </c>
      <c r="AL79" s="45">
        <v>-0.95336836278178216</v>
      </c>
      <c r="AM79" s="45">
        <v>1.1876650539925426</v>
      </c>
      <c r="AN79" s="45">
        <v>0.20436611785473116</v>
      </c>
      <c r="AO79" s="45">
        <v>0</v>
      </c>
      <c r="AP79" s="45">
        <v>0</v>
      </c>
      <c r="AQ79" s="45">
        <v>1.3920311718472738</v>
      </c>
      <c r="AR79" s="45">
        <v>2.7027113712339075E-2</v>
      </c>
      <c r="AS79" s="199">
        <v>51.5049881634882</v>
      </c>
      <c r="AT79" s="45">
        <v>1.1876650539925426</v>
      </c>
      <c r="AU79" s="45">
        <v>0.24190861310556133</v>
      </c>
      <c r="AV79" s="45">
        <v>0</v>
      </c>
      <c r="AW79" s="45">
        <v>0</v>
      </c>
      <c r="AX79" s="45">
        <v>1.4295736670981039</v>
      </c>
      <c r="AY79" s="45">
        <v>6.2455548988425355E-2</v>
      </c>
      <c r="AZ79" s="199">
        <v>22.889458026588496</v>
      </c>
      <c r="BA79" s="45">
        <v>1.1876650539925426</v>
      </c>
      <c r="BB79" s="45">
        <v>0.44627473096029247</v>
      </c>
      <c r="BC79" s="45">
        <v>0</v>
      </c>
      <c r="BD79" s="45">
        <v>0</v>
      </c>
      <c r="BE79" s="45">
        <v>1.633939784952835</v>
      </c>
      <c r="BF79" s="45">
        <v>8.9482662700764437E-2</v>
      </c>
      <c r="BG79" s="45">
        <v>-10.59517031821084</v>
      </c>
      <c r="BH79" s="199">
        <v>18.259847613350875</v>
      </c>
      <c r="BI79" s="45">
        <v>0.8025875529934432</v>
      </c>
      <c r="BJ79" s="45">
        <v>1.8546577620901361</v>
      </c>
      <c r="BK79" s="45">
        <v>0</v>
      </c>
      <c r="BL79" s="45">
        <v>-30.968133023269214</v>
      </c>
      <c r="BM79" s="45">
        <v>-28.310887708185632</v>
      </c>
      <c r="BN79" s="45">
        <v>1.1876650539925426</v>
      </c>
      <c r="BO79" s="45">
        <v>0</v>
      </c>
      <c r="BP79" s="45">
        <v>0.44627473096029247</v>
      </c>
      <c r="BQ79" s="45">
        <v>0</v>
      </c>
      <c r="BR79" s="45">
        <v>0</v>
      </c>
      <c r="BS79" s="45">
        <v>0</v>
      </c>
      <c r="BT79" s="45">
        <v>0</v>
      </c>
      <c r="BU79" s="45">
        <v>0</v>
      </c>
      <c r="BV79" s="45">
        <v>0</v>
      </c>
      <c r="BW79" s="45">
        <v>0</v>
      </c>
      <c r="BX79" s="45">
        <v>0.36039403014232735</v>
      </c>
      <c r="BY79" s="45"/>
      <c r="BZ79" s="45">
        <v>0</v>
      </c>
      <c r="CA79" s="45">
        <v>-1.3137623929241096</v>
      </c>
      <c r="CB79" s="45">
        <v>1.633939784952835</v>
      </c>
      <c r="CC79" s="45">
        <v>-0.95336836278178216</v>
      </c>
      <c r="CD79" s="199">
        <v>8.1791093396104095</v>
      </c>
      <c r="CE79" s="45">
        <v>-41.563303341480051</v>
      </c>
      <c r="CF79" s="45">
        <v>2.3539764790020557E-2</v>
      </c>
      <c r="CG79" s="45">
        <v>0</v>
      </c>
      <c r="CH79" s="45">
        <v>2.3539764790020557E-2</v>
      </c>
      <c r="CI79" s="45">
        <v>1.1769851211709426E-3</v>
      </c>
      <c r="CJ79" s="45">
        <v>0</v>
      </c>
      <c r="CK79" s="45">
        <v>1.1769851211709426E-3</v>
      </c>
      <c r="CL79" s="45"/>
      <c r="CM79" s="45">
        <v>0</v>
      </c>
      <c r="CN79" s="45"/>
      <c r="CO79" s="45">
        <v>0</v>
      </c>
      <c r="CP79" s="45">
        <v>0</v>
      </c>
      <c r="CQ79" s="45">
        <v>0</v>
      </c>
      <c r="CR79" s="45">
        <v>0</v>
      </c>
      <c r="CS79" s="45">
        <v>0</v>
      </c>
      <c r="CT79" s="45">
        <v>0</v>
      </c>
      <c r="CU79" s="45">
        <v>0</v>
      </c>
      <c r="CV79" s="45">
        <v>9999</v>
      </c>
      <c r="CW79" s="199">
        <v>9999</v>
      </c>
      <c r="CX79" s="24"/>
      <c r="CY79" s="24"/>
      <c r="CZ79" s="24"/>
      <c r="DA79" s="24"/>
      <c r="DB79" s="24"/>
      <c r="DC79" s="24"/>
      <c r="DD79" s="24"/>
      <c r="DE79" s="24"/>
      <c r="DF79" s="24"/>
      <c r="DG79" s="24"/>
      <c r="DH79" s="24"/>
      <c r="DI79" s="24"/>
      <c r="DJ79" s="24"/>
      <c r="DK79" s="24"/>
      <c r="DL79" s="24"/>
      <c r="DM79" s="24"/>
      <c r="DN79" s="24"/>
      <c r="DO79" s="24"/>
      <c r="DP79" s="24"/>
      <c r="DQ79" s="24"/>
      <c r="DR79" s="24"/>
      <c r="DS79" s="24"/>
      <c r="DT79" s="24"/>
      <c r="DU79" s="24"/>
      <c r="DV79" s="24"/>
      <c r="DW79" s="24"/>
      <c r="DX79" s="24"/>
      <c r="DY79" s="24"/>
      <c r="DZ79" s="24"/>
      <c r="EA79" s="24"/>
    </row>
    <row r="80" spans="1:131">
      <c r="A80" s="24" t="s">
        <v>417</v>
      </c>
      <c r="B80" s="24" t="s">
        <v>627</v>
      </c>
      <c r="C80" s="45">
        <v>6.6762790697674417</v>
      </c>
      <c r="D80" s="45">
        <v>1.7156302515732005</v>
      </c>
      <c r="E80" s="45">
        <v>0</v>
      </c>
      <c r="F80" s="45">
        <v>2.9394812076628273E-2</v>
      </c>
      <c r="G80" s="45">
        <v>0</v>
      </c>
      <c r="H80" s="45">
        <v>-2.9488192070380408</v>
      </c>
      <c r="I80" s="45" t="s">
        <v>368</v>
      </c>
      <c r="J80" s="45"/>
      <c r="K80" s="45"/>
      <c r="L80" s="45">
        <v>1.8393233905827586</v>
      </c>
      <c r="M80" s="45">
        <v>4.2932521119786187E-4</v>
      </c>
      <c r="N80" s="45">
        <v>4.2622653435156959E-4</v>
      </c>
      <c r="O80" s="45">
        <v>0</v>
      </c>
      <c r="P80" s="45">
        <v>0</v>
      </c>
      <c r="Q80" s="45">
        <v>0</v>
      </c>
      <c r="R80" s="45">
        <v>5.8617181987406551E-3</v>
      </c>
      <c r="S80" s="45">
        <v>1.3545539194984482E-2</v>
      </c>
      <c r="T80" s="45">
        <v>0</v>
      </c>
      <c r="U80" s="45">
        <v>5.8756036981223461E-2</v>
      </c>
      <c r="V80" s="45" t="s">
        <v>607</v>
      </c>
      <c r="W80" s="45" t="s">
        <v>607</v>
      </c>
      <c r="X80" s="45" t="s">
        <v>607</v>
      </c>
      <c r="Y80" s="45" t="s">
        <v>607</v>
      </c>
      <c r="Z80" s="45">
        <v>0</v>
      </c>
      <c r="AA80" s="45">
        <v>0</v>
      </c>
      <c r="AB80" s="45">
        <v>0</v>
      </c>
      <c r="AC80" s="45">
        <v>0</v>
      </c>
      <c r="AD80" s="45">
        <v>0</v>
      </c>
      <c r="AE80" s="45">
        <v>0</v>
      </c>
      <c r="AF80" s="45">
        <v>0</v>
      </c>
      <c r="AG80" s="45">
        <v>-2.9488192070380408</v>
      </c>
      <c r="AH80" s="45">
        <v>5.8617181987406551E-3</v>
      </c>
      <c r="AI80" s="45">
        <v>1.3545539194984482E-2</v>
      </c>
      <c r="AJ80" s="45">
        <v>0</v>
      </c>
      <c r="AK80" s="45">
        <v>-2.8900631700568171</v>
      </c>
      <c r="AL80" s="45">
        <v>-2.8706559126630924</v>
      </c>
      <c r="AM80" s="45">
        <v>0.88160634784502923</v>
      </c>
      <c r="AN80" s="45">
        <v>0.15170141293582903</v>
      </c>
      <c r="AO80" s="45">
        <v>0</v>
      </c>
      <c r="AP80" s="45">
        <v>0</v>
      </c>
      <c r="AQ80" s="45">
        <v>1.0333077607808583</v>
      </c>
      <c r="AR80" s="45">
        <v>5.8617181987406551E-3</v>
      </c>
      <c r="AS80" s="199">
        <v>176.28069547984353</v>
      </c>
      <c r="AT80" s="45">
        <v>0.88160634784502923</v>
      </c>
      <c r="AU80" s="45">
        <v>0.17956928866039473</v>
      </c>
      <c r="AV80" s="45">
        <v>0</v>
      </c>
      <c r="AW80" s="45">
        <v>0</v>
      </c>
      <c r="AX80" s="45">
        <v>1.0611756365054239</v>
      </c>
      <c r="AY80" s="45">
        <v>1.3545539194984482E-2</v>
      </c>
      <c r="AZ80" s="199">
        <v>78.341335935770374</v>
      </c>
      <c r="BA80" s="45">
        <v>0.88160634784502923</v>
      </c>
      <c r="BB80" s="45">
        <v>0.33127070159622374</v>
      </c>
      <c r="BC80" s="45">
        <v>0</v>
      </c>
      <c r="BD80" s="45">
        <v>0</v>
      </c>
      <c r="BE80" s="45">
        <v>1.2128770494412529</v>
      </c>
      <c r="BF80" s="45">
        <v>1.9407257393725137E-2</v>
      </c>
      <c r="BG80" s="45">
        <v>-12.4760323309236</v>
      </c>
      <c r="BH80" s="199">
        <v>62.496056234788078</v>
      </c>
      <c r="BI80" s="45">
        <v>0.23449681943089942</v>
      </c>
      <c r="BJ80" s="45">
        <v>0.5418864829399116</v>
      </c>
      <c r="BK80" s="45">
        <v>0</v>
      </c>
      <c r="BL80" s="45">
        <v>-115.61637703400807</v>
      </c>
      <c r="BM80" s="45">
        <v>-114.83999373163728</v>
      </c>
      <c r="BN80" s="45">
        <v>0.88160634784502923</v>
      </c>
      <c r="BO80" s="45">
        <v>0</v>
      </c>
      <c r="BP80" s="45">
        <v>0.33127070159622374</v>
      </c>
      <c r="BQ80" s="45">
        <v>0</v>
      </c>
      <c r="BR80" s="45">
        <v>0</v>
      </c>
      <c r="BS80" s="45">
        <v>0</v>
      </c>
      <c r="BT80" s="45">
        <v>0</v>
      </c>
      <c r="BU80" s="45">
        <v>0</v>
      </c>
      <c r="BV80" s="45">
        <v>0</v>
      </c>
      <c r="BW80" s="45">
        <v>0</v>
      </c>
      <c r="BX80" s="45">
        <v>7.8163294374948594E-2</v>
      </c>
      <c r="BY80" s="45"/>
      <c r="BZ80" s="45">
        <v>0</v>
      </c>
      <c r="CA80" s="45">
        <v>-2.9488192070380408</v>
      </c>
      <c r="CB80" s="45">
        <v>1.2128770494412531</v>
      </c>
      <c r="CC80" s="45">
        <v>-2.8706559126630924</v>
      </c>
      <c r="CD80" s="199">
        <v>53.243613767296907</v>
      </c>
      <c r="CE80" s="45">
        <v>-128.09240936493168</v>
      </c>
      <c r="CF80" s="45">
        <v>1.7473618505400069E-2</v>
      </c>
      <c r="CG80" s="45">
        <v>0</v>
      </c>
      <c r="CH80" s="45">
        <v>1.7473618505400069E-2</v>
      </c>
      <c r="CI80" s="45">
        <v>8.7367861052681044E-4</v>
      </c>
      <c r="CJ80" s="45">
        <v>0</v>
      </c>
      <c r="CK80" s="45">
        <v>8.7367861052681044E-4</v>
      </c>
      <c r="CL80" s="45"/>
      <c r="CM80" s="45">
        <v>0</v>
      </c>
      <c r="CN80" s="45"/>
      <c r="CO80" s="45">
        <v>0</v>
      </c>
      <c r="CP80" s="45">
        <v>0</v>
      </c>
      <c r="CQ80" s="45">
        <v>0</v>
      </c>
      <c r="CR80" s="45">
        <v>0</v>
      </c>
      <c r="CS80" s="45">
        <v>0</v>
      </c>
      <c r="CT80" s="45">
        <v>0</v>
      </c>
      <c r="CU80" s="45">
        <v>0</v>
      </c>
      <c r="CV80" s="45">
        <v>9999</v>
      </c>
      <c r="CW80" s="199">
        <v>9999</v>
      </c>
      <c r="CX80" s="24"/>
      <c r="CY80" s="24"/>
      <c r="CZ80" s="24"/>
      <c r="DA80" s="24"/>
      <c r="DB80" s="24"/>
      <c r="DC80" s="24"/>
      <c r="DD80" s="24"/>
      <c r="DE80" s="24"/>
      <c r="DF80" s="24"/>
      <c r="DG80" s="24"/>
      <c r="DH80" s="24"/>
      <c r="DI80" s="24"/>
      <c r="DJ80" s="24"/>
      <c r="DK80" s="24"/>
      <c r="DL80" s="24"/>
      <c r="DM80" s="24"/>
      <c r="DN80" s="24"/>
      <c r="DO80" s="24"/>
      <c r="DP80" s="24"/>
      <c r="DQ80" s="24"/>
      <c r="DR80" s="24"/>
      <c r="DS80" s="24"/>
      <c r="DT80" s="24"/>
      <c r="DU80" s="24"/>
      <c r="DV80" s="24"/>
      <c r="DW80" s="24"/>
      <c r="DX80" s="24"/>
      <c r="DY80" s="24"/>
      <c r="DZ80" s="24"/>
      <c r="EA80" s="24"/>
    </row>
    <row r="81" spans="1:131">
      <c r="A81" s="24" t="s">
        <v>419</v>
      </c>
      <c r="B81" s="24" t="s">
        <v>628</v>
      </c>
      <c r="C81" s="45">
        <v>13.953488372093023</v>
      </c>
      <c r="D81" s="45">
        <v>65.987461954092865</v>
      </c>
      <c r="E81" s="45">
        <v>0</v>
      </c>
      <c r="F81" s="45">
        <v>21.673265650078871</v>
      </c>
      <c r="G81" s="45">
        <v>0</v>
      </c>
      <c r="H81" s="45">
        <v>-5.6132962216598692</v>
      </c>
      <c r="I81" s="45" t="s">
        <v>368</v>
      </c>
      <c r="J81" s="45"/>
      <c r="K81" s="45"/>
      <c r="L81" s="45">
        <v>70.745011721527277</v>
      </c>
      <c r="M81" s="45">
        <v>1.6512929294568948E-2</v>
      </c>
      <c r="N81" s="45">
        <v>1.6393746376037847E-2</v>
      </c>
      <c r="O81" s="45">
        <v>0</v>
      </c>
      <c r="P81" s="45">
        <v>0</v>
      </c>
      <c r="Q81" s="45">
        <v>0</v>
      </c>
      <c r="R81" s="45">
        <v>4.321938692991993</v>
      </c>
      <c r="S81" s="45">
        <v>9.9873429563400968</v>
      </c>
      <c r="T81" s="45">
        <v>0</v>
      </c>
      <c r="U81" s="45">
        <v>16.211652326549871</v>
      </c>
      <c r="V81" s="45" t="s">
        <v>607</v>
      </c>
      <c r="W81" s="45" t="s">
        <v>607</v>
      </c>
      <c r="X81" s="45" t="s">
        <v>607</v>
      </c>
      <c r="Y81" s="45" t="s">
        <v>607</v>
      </c>
      <c r="Z81" s="45">
        <v>0</v>
      </c>
      <c r="AA81" s="45">
        <v>0</v>
      </c>
      <c r="AB81" s="45">
        <v>0</v>
      </c>
      <c r="AC81" s="45">
        <v>0</v>
      </c>
      <c r="AD81" s="45">
        <v>0</v>
      </c>
      <c r="AE81" s="45">
        <v>0</v>
      </c>
      <c r="AF81" s="45">
        <v>0</v>
      </c>
      <c r="AG81" s="45">
        <v>-5.6132962216598692</v>
      </c>
      <c r="AH81" s="45">
        <v>4.321938692991993</v>
      </c>
      <c r="AI81" s="45">
        <v>9.9873429563400968</v>
      </c>
      <c r="AJ81" s="45">
        <v>0</v>
      </c>
      <c r="AK81" s="45">
        <v>10.598356104890001</v>
      </c>
      <c r="AL81" s="45">
        <v>24.90763775422209</v>
      </c>
      <c r="AM81" s="45">
        <v>33.90880131867884</v>
      </c>
      <c r="AN81" s="45">
        <v>5.8348185486387933</v>
      </c>
      <c r="AO81" s="45">
        <v>0</v>
      </c>
      <c r="AP81" s="45">
        <v>0</v>
      </c>
      <c r="AQ81" s="45">
        <v>39.743619867317634</v>
      </c>
      <c r="AR81" s="45">
        <v>4.321938692991993</v>
      </c>
      <c r="AS81" s="199">
        <v>9.1957851997673554</v>
      </c>
      <c r="AT81" s="45">
        <v>33.90880131867884</v>
      </c>
      <c r="AU81" s="45">
        <v>6.9066872612765557</v>
      </c>
      <c r="AV81" s="45">
        <v>0</v>
      </c>
      <c r="AW81" s="45">
        <v>0</v>
      </c>
      <c r="AX81" s="45">
        <v>40.815488579955399</v>
      </c>
      <c r="AY81" s="45">
        <v>9.9873429563400968</v>
      </c>
      <c r="AZ81" s="199">
        <v>4.0867214391636759</v>
      </c>
      <c r="BA81" s="45">
        <v>33.90880131867884</v>
      </c>
      <c r="BB81" s="45">
        <v>12.741505809915349</v>
      </c>
      <c r="BC81" s="45">
        <v>0</v>
      </c>
      <c r="BD81" s="45">
        <v>0</v>
      </c>
      <c r="BE81" s="45">
        <v>46.650307128594193</v>
      </c>
      <c r="BF81" s="45">
        <v>14.309281649332089</v>
      </c>
      <c r="BG81" s="45">
        <v>1.6306406286468367</v>
      </c>
      <c r="BH81" s="199">
        <v>3.2601431904005942</v>
      </c>
      <c r="BI81" s="45">
        <v>4.495240103926748</v>
      </c>
      <c r="BJ81" s="45">
        <v>10.387816158014509</v>
      </c>
      <c r="BK81" s="45">
        <v>0</v>
      </c>
      <c r="BL81" s="45">
        <v>11.023329756076825</v>
      </c>
      <c r="BM81" s="45">
        <v>25.906386018018082</v>
      </c>
      <c r="BN81" s="45">
        <v>33.90880131867884</v>
      </c>
      <c r="BO81" s="45">
        <v>0</v>
      </c>
      <c r="BP81" s="45">
        <v>12.741505809915349</v>
      </c>
      <c r="BQ81" s="45">
        <v>0</v>
      </c>
      <c r="BR81" s="45">
        <v>0</v>
      </c>
      <c r="BS81" s="45">
        <v>0</v>
      </c>
      <c r="BT81" s="45">
        <v>0</v>
      </c>
      <c r="BU81" s="45">
        <v>0</v>
      </c>
      <c r="BV81" s="45">
        <v>0</v>
      </c>
      <c r="BW81" s="45">
        <v>0</v>
      </c>
      <c r="BX81" s="45">
        <v>30.52093397588196</v>
      </c>
      <c r="BY81" s="45"/>
      <c r="BZ81" s="45">
        <v>0</v>
      </c>
      <c r="CA81" s="45">
        <v>-5.6132962216598692</v>
      </c>
      <c r="CB81" s="45">
        <v>46.650307128594193</v>
      </c>
      <c r="CC81" s="45">
        <v>24.90763775422209</v>
      </c>
      <c r="CD81" s="199">
        <v>1.7123854529338269</v>
      </c>
      <c r="CE81" s="45">
        <v>12.653970384723657</v>
      </c>
      <c r="CF81" s="45">
        <v>0.67207939197161215</v>
      </c>
      <c r="CG81" s="45">
        <v>0</v>
      </c>
      <c r="CH81" s="45">
        <v>0.67207939197161215</v>
      </c>
      <c r="CI81" s="45">
        <v>3.3603880567725466E-2</v>
      </c>
      <c r="CJ81" s="45">
        <v>0</v>
      </c>
      <c r="CK81" s="45">
        <v>3.3603880567725466E-2</v>
      </c>
      <c r="CL81" s="45"/>
      <c r="CM81" s="45">
        <v>0</v>
      </c>
      <c r="CN81" s="45"/>
      <c r="CO81" s="45">
        <v>0</v>
      </c>
      <c r="CP81" s="45">
        <v>0</v>
      </c>
      <c r="CQ81" s="45">
        <v>0</v>
      </c>
      <c r="CR81" s="45">
        <v>0</v>
      </c>
      <c r="CS81" s="45">
        <v>0</v>
      </c>
      <c r="CT81" s="45">
        <v>0</v>
      </c>
      <c r="CU81" s="45">
        <v>0</v>
      </c>
      <c r="CV81" s="45">
        <v>9999</v>
      </c>
      <c r="CW81" s="199">
        <v>9999</v>
      </c>
      <c r="CX81" s="24"/>
      <c r="CY81" s="24"/>
      <c r="CZ81" s="24"/>
      <c r="DA81" s="24"/>
      <c r="DB81" s="24"/>
      <c r="DC81" s="24"/>
      <c r="DD81" s="24"/>
      <c r="DE81" s="24"/>
      <c r="DF81" s="24"/>
      <c r="DG81" s="24"/>
      <c r="DH81" s="24"/>
      <c r="DI81" s="24"/>
      <c r="DJ81" s="24"/>
      <c r="DK81" s="24"/>
      <c r="DL81" s="24"/>
      <c r="DM81" s="24"/>
      <c r="DN81" s="24"/>
      <c r="DO81" s="24"/>
      <c r="DP81" s="24"/>
      <c r="DQ81" s="24"/>
      <c r="DR81" s="24"/>
      <c r="DS81" s="24"/>
      <c r="DT81" s="24"/>
      <c r="DU81" s="24"/>
      <c r="DV81" s="24"/>
      <c r="DW81" s="24"/>
      <c r="DX81" s="24"/>
      <c r="DY81" s="24"/>
      <c r="DZ81" s="24"/>
      <c r="EA81" s="24"/>
    </row>
    <row r="82" spans="1:131">
      <c r="A82" s="24" t="s">
        <v>436</v>
      </c>
      <c r="B82" s="24" t="s">
        <v>629</v>
      </c>
      <c r="C82" s="45">
        <v>6.6762790697674417</v>
      </c>
      <c r="D82" s="45">
        <v>2.3112289292682102</v>
      </c>
      <c r="E82" s="45">
        <v>0</v>
      </c>
      <c r="F82" s="45">
        <v>1.0315522391340137</v>
      </c>
      <c r="G82" s="45">
        <v>0</v>
      </c>
      <c r="H82" s="45">
        <v>-1.3137623929241096</v>
      </c>
      <c r="I82" s="45" t="s">
        <v>368</v>
      </c>
      <c r="J82" s="45"/>
      <c r="K82" s="45"/>
      <c r="L82" s="45">
        <v>2.4778634129914572</v>
      </c>
      <c r="M82" s="45">
        <v>5.7836987152376843E-4</v>
      </c>
      <c r="N82" s="45">
        <v>5.7419545715736459E-4</v>
      </c>
      <c r="O82" s="45">
        <v>0</v>
      </c>
      <c r="P82" s="45">
        <v>0</v>
      </c>
      <c r="Q82" s="45">
        <v>0</v>
      </c>
      <c r="R82" s="45">
        <v>0.20570529647614957</v>
      </c>
      <c r="S82" s="45">
        <v>0.47535365255740558</v>
      </c>
      <c r="T82" s="45">
        <v>0</v>
      </c>
      <c r="U82" s="45">
        <v>2.0619258035268317</v>
      </c>
      <c r="V82" s="45" t="s">
        <v>607</v>
      </c>
      <c r="W82" s="45" t="s">
        <v>607</v>
      </c>
      <c r="X82" s="45" t="s">
        <v>607</v>
      </c>
      <c r="Y82" s="45" t="s">
        <v>607</v>
      </c>
      <c r="Z82" s="45">
        <v>0</v>
      </c>
      <c r="AA82" s="45">
        <v>0</v>
      </c>
      <c r="AB82" s="45">
        <v>0</v>
      </c>
      <c r="AC82" s="45">
        <v>0</v>
      </c>
      <c r="AD82" s="45">
        <v>0</v>
      </c>
      <c r="AE82" s="45">
        <v>0</v>
      </c>
      <c r="AF82" s="45">
        <v>0</v>
      </c>
      <c r="AG82" s="45">
        <v>-1.3137623929241096</v>
      </c>
      <c r="AH82" s="45">
        <v>0.20570529647614957</v>
      </c>
      <c r="AI82" s="45">
        <v>0.47535365255740558</v>
      </c>
      <c r="AJ82" s="45">
        <v>0</v>
      </c>
      <c r="AK82" s="45">
        <v>0.74816341060272218</v>
      </c>
      <c r="AL82" s="45">
        <v>1.4292223596362774</v>
      </c>
      <c r="AM82" s="45">
        <v>1.1876650539925426</v>
      </c>
      <c r="AN82" s="45">
        <v>0.20436611785473116</v>
      </c>
      <c r="AO82" s="45">
        <v>0</v>
      </c>
      <c r="AP82" s="45">
        <v>0</v>
      </c>
      <c r="AQ82" s="45">
        <v>1.3920311718472738</v>
      </c>
      <c r="AR82" s="45">
        <v>0.20570529647614957</v>
      </c>
      <c r="AS82" s="199">
        <v>6.7671139036941241</v>
      </c>
      <c r="AT82" s="45">
        <v>1.1876650539925426</v>
      </c>
      <c r="AU82" s="45">
        <v>0.24190861310556133</v>
      </c>
      <c r="AV82" s="45">
        <v>0</v>
      </c>
      <c r="AW82" s="45">
        <v>0</v>
      </c>
      <c r="AX82" s="45">
        <v>1.4295736670981039</v>
      </c>
      <c r="AY82" s="45">
        <v>0.47535365255740558</v>
      </c>
      <c r="AZ82" s="199">
        <v>3.0073896758907579</v>
      </c>
      <c r="BA82" s="45">
        <v>1.1876650539925426</v>
      </c>
      <c r="BB82" s="45">
        <v>0.44627473096029247</v>
      </c>
      <c r="BC82" s="45">
        <v>0</v>
      </c>
      <c r="BD82" s="45">
        <v>0</v>
      </c>
      <c r="BE82" s="45">
        <v>1.633939784952835</v>
      </c>
      <c r="BF82" s="45">
        <v>0.68105894903355513</v>
      </c>
      <c r="BG82" s="45">
        <v>6.9720686074913729</v>
      </c>
      <c r="BH82" s="199">
        <v>2.3991165335562346</v>
      </c>
      <c r="BI82" s="45">
        <v>6.108551297551605</v>
      </c>
      <c r="BJ82" s="45">
        <v>14.115932943234183</v>
      </c>
      <c r="BK82" s="45">
        <v>0</v>
      </c>
      <c r="BL82" s="45">
        <v>22.217194456866025</v>
      </c>
      <c r="BM82" s="45">
        <v>42.441678697651817</v>
      </c>
      <c r="BN82" s="45">
        <v>1.1876650539925426</v>
      </c>
      <c r="BO82" s="45">
        <v>0</v>
      </c>
      <c r="BP82" s="45">
        <v>0.44627473096029247</v>
      </c>
      <c r="BQ82" s="45">
        <v>0</v>
      </c>
      <c r="BR82" s="45">
        <v>0</v>
      </c>
      <c r="BS82" s="45">
        <v>0</v>
      </c>
      <c r="BT82" s="45">
        <v>0</v>
      </c>
      <c r="BU82" s="45">
        <v>0</v>
      </c>
      <c r="BV82" s="45">
        <v>0</v>
      </c>
      <c r="BW82" s="45">
        <v>0</v>
      </c>
      <c r="BX82" s="45">
        <v>2.7429847525603868</v>
      </c>
      <c r="BY82" s="45"/>
      <c r="BZ82" s="45">
        <v>0</v>
      </c>
      <c r="CA82" s="45">
        <v>-1.3137623929241096</v>
      </c>
      <c r="CB82" s="45">
        <v>1.633939784952835</v>
      </c>
      <c r="CC82" s="45">
        <v>1.4292223596362772</v>
      </c>
      <c r="CD82" s="199">
        <v>1.0746330890558062</v>
      </c>
      <c r="CE82" s="45">
        <v>29.189263064357394</v>
      </c>
      <c r="CF82" s="45">
        <v>2.3539764790020557E-2</v>
      </c>
      <c r="CG82" s="45">
        <v>0</v>
      </c>
      <c r="CH82" s="45">
        <v>2.3539764790020557E-2</v>
      </c>
      <c r="CI82" s="45">
        <v>1.1769851211709426E-3</v>
      </c>
      <c r="CJ82" s="45">
        <v>0</v>
      </c>
      <c r="CK82" s="45">
        <v>1.1769851211709426E-3</v>
      </c>
      <c r="CL82" s="45"/>
      <c r="CM82" s="45">
        <v>0</v>
      </c>
      <c r="CN82" s="45"/>
      <c r="CO82" s="45">
        <v>0</v>
      </c>
      <c r="CP82" s="45">
        <v>0</v>
      </c>
      <c r="CQ82" s="45">
        <v>0</v>
      </c>
      <c r="CR82" s="45">
        <v>0</v>
      </c>
      <c r="CS82" s="45">
        <v>0</v>
      </c>
      <c r="CT82" s="45">
        <v>0</v>
      </c>
      <c r="CU82" s="45">
        <v>0</v>
      </c>
      <c r="CV82" s="45">
        <v>9999</v>
      </c>
      <c r="CW82" s="199">
        <v>9999</v>
      </c>
      <c r="CX82" s="24"/>
      <c r="CY82" s="24"/>
      <c r="CZ82" s="24"/>
      <c r="DA82" s="24"/>
      <c r="DB82" s="24"/>
      <c r="DC82" s="24"/>
      <c r="DD82" s="24"/>
      <c r="DE82" s="24"/>
      <c r="DF82" s="24"/>
      <c r="DG82" s="24"/>
      <c r="DH82" s="24"/>
      <c r="DI82" s="24"/>
      <c r="DJ82" s="24"/>
      <c r="DK82" s="24"/>
      <c r="DL82" s="24"/>
      <c r="DM82" s="24"/>
      <c r="DN82" s="24"/>
      <c r="DO82" s="24"/>
      <c r="DP82" s="24"/>
      <c r="DQ82" s="24"/>
      <c r="DR82" s="24"/>
      <c r="DS82" s="24"/>
      <c r="DT82" s="24"/>
      <c r="DU82" s="24"/>
      <c r="DV82" s="24"/>
      <c r="DW82" s="24"/>
      <c r="DX82" s="24"/>
      <c r="DY82" s="24"/>
      <c r="DZ82" s="24"/>
      <c r="EA82" s="24"/>
    </row>
    <row r="83" spans="1:131">
      <c r="A83" s="24" t="s">
        <v>422</v>
      </c>
      <c r="B83" s="24" t="s">
        <v>630</v>
      </c>
      <c r="C83" s="45">
        <v>6.6762790697674417</v>
      </c>
      <c r="D83" s="45">
        <v>1.7156302515732005</v>
      </c>
      <c r="E83" s="45">
        <v>0</v>
      </c>
      <c r="F83" s="45">
        <v>0.18729926518091722</v>
      </c>
      <c r="G83" s="45">
        <v>0</v>
      </c>
      <c r="H83" s="45">
        <v>-2.9488192070380408</v>
      </c>
      <c r="I83" s="45" t="s">
        <v>368</v>
      </c>
      <c r="J83" s="45"/>
      <c r="K83" s="45"/>
      <c r="L83" s="45">
        <v>1.8393233905827586</v>
      </c>
      <c r="M83" s="45">
        <v>4.2932521119786187E-4</v>
      </c>
      <c r="N83" s="45">
        <v>4.2622653435156959E-4</v>
      </c>
      <c r="O83" s="45">
        <v>0</v>
      </c>
      <c r="P83" s="45">
        <v>0</v>
      </c>
      <c r="Q83" s="45">
        <v>0</v>
      </c>
      <c r="R83" s="45">
        <v>3.7349975514715673E-2</v>
      </c>
      <c r="S83" s="45">
        <v>8.6310112515300713E-2</v>
      </c>
      <c r="T83" s="45">
        <v>0</v>
      </c>
      <c r="U83" s="45">
        <v>0.37438451801758454</v>
      </c>
      <c r="V83" s="45" t="s">
        <v>607</v>
      </c>
      <c r="W83" s="45" t="s">
        <v>607</v>
      </c>
      <c r="X83" s="45" t="s">
        <v>607</v>
      </c>
      <c r="Y83" s="45" t="s">
        <v>607</v>
      </c>
      <c r="Z83" s="45">
        <v>0</v>
      </c>
      <c r="AA83" s="45">
        <v>0</v>
      </c>
      <c r="AB83" s="45">
        <v>0</v>
      </c>
      <c r="AC83" s="45">
        <v>0</v>
      </c>
      <c r="AD83" s="45">
        <v>0</v>
      </c>
      <c r="AE83" s="45">
        <v>0</v>
      </c>
      <c r="AF83" s="45">
        <v>0</v>
      </c>
      <c r="AG83" s="45">
        <v>-2.9488192070380408</v>
      </c>
      <c r="AH83" s="45">
        <v>3.7349975514715673E-2</v>
      </c>
      <c r="AI83" s="45">
        <v>8.6310112515300713E-2</v>
      </c>
      <c r="AJ83" s="45">
        <v>0</v>
      </c>
      <c r="AK83" s="45">
        <v>-2.5744346890204564</v>
      </c>
      <c r="AL83" s="45">
        <v>-2.4507746009904396</v>
      </c>
      <c r="AM83" s="45">
        <v>0.88160634784502923</v>
      </c>
      <c r="AN83" s="45">
        <v>0.15170141293582903</v>
      </c>
      <c r="AO83" s="45">
        <v>0</v>
      </c>
      <c r="AP83" s="45">
        <v>0</v>
      </c>
      <c r="AQ83" s="45">
        <v>1.0333077607808583</v>
      </c>
      <c r="AR83" s="45">
        <v>3.7349975514715673E-2</v>
      </c>
      <c r="AS83" s="199">
        <v>27.665553900396564</v>
      </c>
      <c r="AT83" s="45">
        <v>0.88160634784502923</v>
      </c>
      <c r="AU83" s="45">
        <v>0.17956928866039473</v>
      </c>
      <c r="AV83" s="45">
        <v>0</v>
      </c>
      <c r="AW83" s="45">
        <v>0</v>
      </c>
      <c r="AX83" s="45">
        <v>1.0611756365054239</v>
      </c>
      <c r="AY83" s="45">
        <v>8.6310112515300713E-2</v>
      </c>
      <c r="AZ83" s="199">
        <v>12.294916616141624</v>
      </c>
      <c r="BA83" s="45">
        <v>0.88160634784502923</v>
      </c>
      <c r="BB83" s="45">
        <v>0.33127070159622374</v>
      </c>
      <c r="BC83" s="45">
        <v>0</v>
      </c>
      <c r="BD83" s="45">
        <v>0</v>
      </c>
      <c r="BE83" s="45">
        <v>1.2128770494412529</v>
      </c>
      <c r="BF83" s="45">
        <v>0.12366008803001638</v>
      </c>
      <c r="BG83" s="45">
        <v>-8.3054194880662315</v>
      </c>
      <c r="BH83" s="199">
        <v>9.8081528871857806</v>
      </c>
      <c r="BI83" s="45">
        <v>1.4941780152284498</v>
      </c>
      <c r="BJ83" s="45">
        <v>3.4528181299997285</v>
      </c>
      <c r="BK83" s="45">
        <v>0</v>
      </c>
      <c r="BL83" s="45">
        <v>-102.98972518630687</v>
      </c>
      <c r="BM83" s="45">
        <v>-98.042729041078658</v>
      </c>
      <c r="BN83" s="45">
        <v>0.88160634784502923</v>
      </c>
      <c r="BO83" s="45">
        <v>0</v>
      </c>
      <c r="BP83" s="45">
        <v>0.33127070159622374</v>
      </c>
      <c r="BQ83" s="45">
        <v>0</v>
      </c>
      <c r="BR83" s="45">
        <v>0</v>
      </c>
      <c r="BS83" s="45">
        <v>0</v>
      </c>
      <c r="BT83" s="45">
        <v>0</v>
      </c>
      <c r="BU83" s="45">
        <v>0</v>
      </c>
      <c r="BV83" s="45">
        <v>0</v>
      </c>
      <c r="BW83" s="45">
        <v>0</v>
      </c>
      <c r="BX83" s="45">
        <v>0.49804460604760092</v>
      </c>
      <c r="BY83" s="45"/>
      <c r="BZ83" s="45">
        <v>0</v>
      </c>
      <c r="CA83" s="45">
        <v>-2.9488192070380408</v>
      </c>
      <c r="CB83" s="45">
        <v>1.2128770494412531</v>
      </c>
      <c r="CC83" s="45">
        <v>-2.4507746009904396</v>
      </c>
      <c r="CD83" s="199">
        <v>8.3560713356697551</v>
      </c>
      <c r="CE83" s="45">
        <v>-111.29514467437308</v>
      </c>
      <c r="CF83" s="45">
        <v>1.7473618505400069E-2</v>
      </c>
      <c r="CG83" s="45">
        <v>0</v>
      </c>
      <c r="CH83" s="45">
        <v>1.7473618505400069E-2</v>
      </c>
      <c r="CI83" s="45">
        <v>8.7367861052681044E-4</v>
      </c>
      <c r="CJ83" s="45">
        <v>0</v>
      </c>
      <c r="CK83" s="45">
        <v>8.7367861052681044E-4</v>
      </c>
      <c r="CL83" s="45"/>
      <c r="CM83" s="45">
        <v>0</v>
      </c>
      <c r="CN83" s="45"/>
      <c r="CO83" s="45">
        <v>0</v>
      </c>
      <c r="CP83" s="45">
        <v>0</v>
      </c>
      <c r="CQ83" s="45">
        <v>0</v>
      </c>
      <c r="CR83" s="45">
        <v>0</v>
      </c>
      <c r="CS83" s="45">
        <v>0</v>
      </c>
      <c r="CT83" s="45">
        <v>0</v>
      </c>
      <c r="CU83" s="45">
        <v>0</v>
      </c>
      <c r="CV83" s="45">
        <v>9999</v>
      </c>
      <c r="CW83" s="199">
        <v>9999</v>
      </c>
      <c r="CX83" s="24"/>
      <c r="CY83" s="24"/>
      <c r="CZ83" s="24"/>
      <c r="DA83" s="24"/>
      <c r="DB83" s="24"/>
      <c r="DC83" s="24"/>
      <c r="DD83" s="24"/>
      <c r="DE83" s="24"/>
      <c r="DF83" s="24"/>
      <c r="DG83" s="24"/>
      <c r="DH83" s="24"/>
      <c r="DI83" s="24"/>
      <c r="DJ83" s="24"/>
      <c r="DK83" s="24"/>
      <c r="DL83" s="24"/>
      <c r="DM83" s="24"/>
      <c r="DN83" s="24"/>
      <c r="DO83" s="24"/>
      <c r="DP83" s="24"/>
      <c r="DQ83" s="24"/>
      <c r="DR83" s="24"/>
      <c r="DS83" s="24"/>
      <c r="DT83" s="24"/>
      <c r="DU83" s="24"/>
      <c r="DV83" s="24"/>
      <c r="DW83" s="24"/>
      <c r="DX83" s="24"/>
      <c r="DY83" s="24"/>
      <c r="DZ83" s="24"/>
      <c r="EA83" s="24"/>
    </row>
    <row r="84" spans="1:131">
      <c r="A84" s="24"/>
      <c r="B84" s="24"/>
      <c r="C84" s="45"/>
      <c r="D84" s="45"/>
      <c r="E84" s="45"/>
      <c r="F84" s="45"/>
      <c r="G84" s="45"/>
      <c r="H84" s="45"/>
      <c r="I84" s="45"/>
      <c r="J84" s="45"/>
      <c r="K84" s="45"/>
      <c r="L84" s="45"/>
      <c r="M84" s="45"/>
      <c r="N84" s="45"/>
      <c r="O84" s="45"/>
      <c r="P84" s="45"/>
      <c r="Q84" s="45"/>
      <c r="R84" s="45"/>
      <c r="S84" s="45"/>
      <c r="T84" s="45"/>
      <c r="U84" s="45"/>
      <c r="V84" s="45"/>
      <c r="W84" s="45"/>
      <c r="X84" s="45"/>
      <c r="Y84" s="45"/>
      <c r="Z84" s="45"/>
      <c r="AA84" s="45"/>
      <c r="AB84" s="45"/>
      <c r="AC84" s="45"/>
      <c r="AD84" s="45"/>
      <c r="AE84" s="45"/>
      <c r="AF84" s="45"/>
      <c r="AG84" s="45"/>
      <c r="AH84" s="45"/>
      <c r="AI84" s="45"/>
      <c r="AJ84" s="45"/>
      <c r="AK84" s="45"/>
      <c r="AL84" s="45"/>
      <c r="AM84" s="45"/>
      <c r="AN84" s="45"/>
      <c r="AO84" s="45"/>
      <c r="AP84" s="45"/>
      <c r="AQ84" s="45"/>
      <c r="AR84" s="45"/>
      <c r="AS84" s="45"/>
      <c r="AT84" s="45"/>
      <c r="AU84" s="45"/>
      <c r="AV84" s="45"/>
      <c r="AW84" s="45"/>
      <c r="AX84" s="45"/>
      <c r="AY84" s="45"/>
      <c r="AZ84" s="45"/>
      <c r="BA84" s="45"/>
      <c r="BB84" s="45"/>
      <c r="BC84" s="45"/>
      <c r="BD84" s="45"/>
      <c r="BE84" s="45"/>
      <c r="BF84" s="45"/>
      <c r="BG84" s="45"/>
      <c r="BH84" s="45"/>
      <c r="BI84" s="45"/>
      <c r="BJ84" s="45"/>
      <c r="BK84" s="45"/>
      <c r="BL84" s="45"/>
      <c r="BM84" s="45"/>
      <c r="BN84" s="45"/>
      <c r="BO84" s="45"/>
      <c r="BP84" s="45"/>
      <c r="BQ84" s="45"/>
      <c r="BR84" s="45"/>
      <c r="BS84" s="45"/>
      <c r="BT84" s="45"/>
      <c r="BU84" s="45"/>
      <c r="BV84" s="45"/>
      <c r="BW84" s="45"/>
      <c r="BX84" s="45"/>
      <c r="BY84" s="45"/>
      <c r="BZ84" s="45"/>
      <c r="CA84" s="45"/>
      <c r="CB84" s="45"/>
      <c r="CC84" s="45"/>
      <c r="CD84" s="45"/>
      <c r="CE84" s="45"/>
      <c r="CF84" s="45"/>
      <c r="CG84" s="45"/>
      <c r="CH84" s="45"/>
      <c r="CI84" s="45"/>
      <c r="CJ84" s="45"/>
      <c r="CK84" s="45"/>
      <c r="CL84" s="45"/>
      <c r="CM84" s="45"/>
      <c r="CN84" s="45"/>
      <c r="CO84" s="45"/>
      <c r="CP84" s="45"/>
      <c r="CQ84" s="45"/>
      <c r="CR84" s="45"/>
      <c r="CS84" s="45"/>
      <c r="CT84" s="45"/>
      <c r="CU84" s="45"/>
      <c r="CV84" s="45"/>
      <c r="CW84" s="45"/>
      <c r="CX84" s="24"/>
      <c r="CY84" s="24"/>
      <c r="CZ84" s="24"/>
      <c r="DA84" s="24"/>
      <c r="DB84" s="24"/>
      <c r="DC84" s="24"/>
      <c r="DD84" s="24"/>
      <c r="DE84" s="24"/>
      <c r="DF84" s="24"/>
      <c r="DG84" s="24"/>
      <c r="DH84" s="24"/>
      <c r="DI84" s="24"/>
      <c r="DJ84" s="24"/>
      <c r="DK84" s="24"/>
      <c r="DL84" s="24"/>
      <c r="DM84" s="24"/>
      <c r="DN84" s="24"/>
      <c r="DO84" s="24"/>
      <c r="DP84" s="24"/>
      <c r="DQ84" s="24"/>
      <c r="DR84" s="24"/>
      <c r="DS84" s="24"/>
      <c r="DT84" s="24"/>
      <c r="DU84" s="24"/>
      <c r="DV84" s="24"/>
      <c r="DW84" s="24"/>
      <c r="DX84" s="24"/>
      <c r="DY84" s="24"/>
      <c r="DZ84" s="24"/>
      <c r="EA84" s="24"/>
    </row>
    <row r="85" spans="1:131">
      <c r="A85" s="24"/>
      <c r="B85" s="24"/>
      <c r="C85" s="45"/>
      <c r="D85" s="45"/>
      <c r="E85" s="45"/>
      <c r="F85" s="45"/>
      <c r="G85" s="45"/>
      <c r="H85" s="45"/>
      <c r="I85" s="45"/>
      <c r="J85" s="45"/>
      <c r="K85" s="45"/>
      <c r="L85" s="45"/>
      <c r="M85" s="45"/>
      <c r="N85" s="45"/>
      <c r="O85" s="45"/>
      <c r="P85" s="45"/>
      <c r="Q85" s="45"/>
      <c r="R85" s="45"/>
      <c r="S85" s="45"/>
      <c r="T85" s="45"/>
      <c r="U85" s="45"/>
      <c r="V85" s="45"/>
      <c r="W85" s="45"/>
      <c r="X85" s="45"/>
      <c r="Y85" s="45"/>
      <c r="Z85" s="45"/>
      <c r="AA85" s="45"/>
      <c r="AB85" s="45"/>
      <c r="AC85" s="45"/>
      <c r="AD85" s="45"/>
      <c r="AE85" s="45"/>
      <c r="AF85" s="45"/>
      <c r="AG85" s="45"/>
      <c r="AH85" s="45"/>
      <c r="AI85" s="45"/>
      <c r="AJ85" s="45"/>
      <c r="AK85" s="45"/>
      <c r="AL85" s="45"/>
      <c r="AM85" s="45"/>
      <c r="AN85" s="45"/>
      <c r="AO85" s="45"/>
      <c r="AP85" s="45"/>
      <c r="AQ85" s="45"/>
      <c r="AR85" s="45"/>
      <c r="AS85" s="45"/>
      <c r="AT85" s="45"/>
      <c r="AU85" s="45"/>
      <c r="AV85" s="45"/>
      <c r="AW85" s="45"/>
      <c r="AX85" s="45"/>
      <c r="AY85" s="45"/>
      <c r="AZ85" s="45"/>
      <c r="BA85" s="45"/>
      <c r="BB85" s="45"/>
      <c r="BC85" s="45"/>
      <c r="BD85" s="45"/>
      <c r="BE85" s="45"/>
      <c r="BF85" s="45"/>
      <c r="BG85" s="45"/>
      <c r="BH85" s="45"/>
      <c r="BI85" s="45"/>
      <c r="BJ85" s="45"/>
      <c r="BK85" s="45"/>
      <c r="BL85" s="45"/>
      <c r="BM85" s="45"/>
      <c r="BN85" s="45"/>
      <c r="BO85" s="45"/>
      <c r="BP85" s="45"/>
      <c r="BQ85" s="45"/>
      <c r="BR85" s="45"/>
      <c r="BS85" s="45"/>
      <c r="BT85" s="45"/>
      <c r="BU85" s="45"/>
      <c r="BV85" s="45"/>
      <c r="BW85" s="45"/>
      <c r="BX85" s="45"/>
      <c r="BY85" s="45"/>
      <c r="BZ85" s="45"/>
      <c r="CA85" s="45"/>
      <c r="CB85" s="45"/>
      <c r="CC85" s="45"/>
      <c r="CD85" s="45"/>
      <c r="CE85" s="45"/>
      <c r="CF85" s="45"/>
      <c r="CG85" s="45"/>
      <c r="CH85" s="45"/>
      <c r="CI85" s="45"/>
      <c r="CJ85" s="45"/>
      <c r="CK85" s="45"/>
      <c r="CL85" s="45"/>
      <c r="CM85" s="45"/>
      <c r="CN85" s="45"/>
      <c r="CO85" s="45"/>
      <c r="CP85" s="45"/>
      <c r="CQ85" s="45"/>
      <c r="CR85" s="45"/>
      <c r="CS85" s="45"/>
      <c r="CT85" s="45"/>
      <c r="CU85" s="45"/>
      <c r="CV85" s="45"/>
      <c r="CW85" s="45"/>
      <c r="CX85" s="24"/>
      <c r="CY85" s="24"/>
      <c r="CZ85" s="24"/>
      <c r="DA85" s="24"/>
      <c r="DB85" s="24"/>
      <c r="DC85" s="24"/>
      <c r="DD85" s="24"/>
      <c r="DE85" s="24"/>
      <c r="DF85" s="24"/>
      <c r="DG85" s="24"/>
      <c r="DH85" s="24"/>
      <c r="DI85" s="24"/>
      <c r="DJ85" s="24"/>
      <c r="DK85" s="24"/>
      <c r="DL85" s="24"/>
      <c r="DM85" s="24"/>
      <c r="DN85" s="24"/>
      <c r="DO85" s="24"/>
      <c r="DP85" s="24"/>
      <c r="DQ85" s="24"/>
      <c r="DR85" s="24"/>
      <c r="DS85" s="24"/>
      <c r="DT85" s="24"/>
      <c r="DU85" s="24"/>
      <c r="DV85" s="24"/>
      <c r="DW85" s="24"/>
      <c r="DX85" s="24"/>
      <c r="DY85" s="24"/>
      <c r="DZ85" s="24"/>
      <c r="EA85" s="24"/>
    </row>
    <row r="86" spans="1:131" ht="13.5" thickBot="1">
      <c r="A86" s="187" t="s">
        <v>631</v>
      </c>
      <c r="B86" s="188"/>
      <c r="C86" s="45"/>
      <c r="D86" s="45"/>
      <c r="E86" s="45"/>
      <c r="F86" s="45"/>
      <c r="G86" s="45"/>
      <c r="H86" s="45"/>
      <c r="I86" s="45"/>
      <c r="J86" s="45"/>
      <c r="K86" s="45"/>
      <c r="L86" s="45"/>
      <c r="M86" s="45"/>
      <c r="N86" s="45"/>
      <c r="O86" s="45"/>
      <c r="P86" s="45"/>
      <c r="Q86" s="45"/>
      <c r="R86" s="45"/>
      <c r="S86" s="45"/>
      <c r="T86" s="45"/>
      <c r="U86" s="45"/>
      <c r="V86" s="45"/>
      <c r="W86" s="45"/>
      <c r="X86" s="45"/>
      <c r="Y86" s="45"/>
      <c r="Z86" s="45"/>
      <c r="AA86" s="45"/>
      <c r="AB86" s="45"/>
      <c r="AC86" s="45"/>
      <c r="AD86" s="45"/>
      <c r="AE86" s="45"/>
      <c r="AF86" s="45"/>
      <c r="AG86" s="45"/>
      <c r="AH86" s="45"/>
      <c r="AI86" s="45"/>
      <c r="AJ86" s="45"/>
      <c r="AK86" s="45"/>
      <c r="AL86" s="45"/>
      <c r="AM86" s="45"/>
      <c r="AN86" s="45"/>
      <c r="AO86" s="45"/>
      <c r="AP86" s="45"/>
      <c r="AQ86" s="45"/>
      <c r="AR86" s="45"/>
      <c r="AS86" s="45"/>
      <c r="AT86" s="45"/>
      <c r="AU86" s="45"/>
      <c r="AV86" s="45"/>
      <c r="AW86" s="45"/>
      <c r="AX86" s="45"/>
      <c r="AY86" s="45"/>
      <c r="AZ86" s="45"/>
      <c r="BA86" s="45"/>
      <c r="BB86" s="45"/>
      <c r="BC86" s="45"/>
      <c r="BD86" s="45"/>
      <c r="BE86" s="45"/>
      <c r="BF86" s="45"/>
      <c r="BG86" s="45"/>
      <c r="BH86" s="45"/>
      <c r="BI86" s="45"/>
      <c r="BJ86" s="45"/>
      <c r="BK86" s="45"/>
      <c r="BL86" s="45"/>
      <c r="BM86" s="45"/>
      <c r="BN86" s="45"/>
      <c r="BO86" s="45"/>
      <c r="BP86" s="45"/>
      <c r="BQ86" s="45"/>
      <c r="BR86" s="45"/>
      <c r="BS86" s="45"/>
      <c r="BT86" s="45"/>
      <c r="BU86" s="45"/>
      <c r="BV86" s="45"/>
      <c r="BW86" s="45"/>
      <c r="BX86" s="45"/>
      <c r="BY86" s="45"/>
      <c r="BZ86" s="45"/>
      <c r="CA86" s="45"/>
      <c r="CB86" s="45"/>
      <c r="CC86" s="45"/>
      <c r="CD86" s="45"/>
      <c r="CE86" s="45"/>
      <c r="CF86" s="45"/>
      <c r="CG86" s="45"/>
      <c r="CH86" s="45"/>
      <c r="CI86" s="45"/>
      <c r="CJ86" s="45"/>
      <c r="CK86" s="45"/>
      <c r="CL86" s="45"/>
      <c r="CM86" s="45"/>
      <c r="CN86" s="45"/>
      <c r="CO86" s="45"/>
      <c r="CP86" s="45"/>
      <c r="CQ86" s="45"/>
      <c r="CR86" s="45"/>
      <c r="CS86" s="45"/>
      <c r="CT86" s="45"/>
      <c r="CU86" s="45"/>
      <c r="CV86" s="45"/>
      <c r="CW86" s="45"/>
      <c r="CX86" s="24"/>
      <c r="CY86" s="24"/>
      <c r="CZ86" s="24"/>
      <c r="DA86" s="24"/>
      <c r="DB86" s="24"/>
      <c r="DC86" s="24"/>
      <c r="DD86" s="24"/>
      <c r="DE86" s="24"/>
      <c r="DF86" s="24"/>
      <c r="DG86" s="24"/>
      <c r="DH86" s="24"/>
      <c r="DI86" s="24"/>
      <c r="DJ86" s="24"/>
      <c r="DK86" s="24"/>
      <c r="DL86" s="24"/>
      <c r="DM86" s="24"/>
      <c r="DN86" s="24"/>
      <c r="DO86" s="24"/>
      <c r="DP86" s="24"/>
      <c r="DQ86" s="24"/>
      <c r="DR86" s="24"/>
      <c r="DS86" s="24"/>
      <c r="DT86" s="24"/>
      <c r="DU86" s="24"/>
      <c r="DV86" s="24"/>
      <c r="DW86" s="24"/>
      <c r="DX86" s="24"/>
      <c r="DY86" s="24"/>
      <c r="DZ86" s="24"/>
      <c r="EA86" s="24"/>
    </row>
    <row r="87" spans="1:131" ht="26.25" thickBot="1">
      <c r="A87" s="213" t="s">
        <v>510</v>
      </c>
      <c r="B87" s="214"/>
      <c r="C87" s="215" t="s">
        <v>511</v>
      </c>
      <c r="D87" s="216"/>
      <c r="E87" s="216"/>
      <c r="F87" s="216"/>
      <c r="G87" s="216"/>
      <c r="H87" s="216"/>
      <c r="I87" s="216"/>
      <c r="J87" s="216"/>
      <c r="K87" s="217"/>
      <c r="L87" s="215" t="s">
        <v>512</v>
      </c>
      <c r="M87" s="216"/>
      <c r="N87" s="216"/>
      <c r="O87" s="216"/>
      <c r="P87" s="216"/>
      <c r="Q87" s="217"/>
      <c r="R87" s="215" t="s">
        <v>513</v>
      </c>
      <c r="S87" s="216"/>
      <c r="T87" s="216"/>
      <c r="U87" s="217"/>
      <c r="V87" s="215" t="s">
        <v>514</v>
      </c>
      <c r="W87" s="216"/>
      <c r="X87" s="216"/>
      <c r="Y87" s="217"/>
      <c r="Z87" s="215" t="s">
        <v>515</v>
      </c>
      <c r="AA87" s="216"/>
      <c r="AB87" s="216"/>
      <c r="AC87" s="217"/>
      <c r="AD87" s="215" t="s">
        <v>516</v>
      </c>
      <c r="AE87" s="216"/>
      <c r="AF87" s="216"/>
      <c r="AG87" s="217"/>
      <c r="AH87" s="215" t="s">
        <v>517</v>
      </c>
      <c r="AI87" s="216"/>
      <c r="AJ87" s="216"/>
      <c r="AK87" s="216"/>
      <c r="AL87" s="217"/>
      <c r="AM87" s="215" t="s">
        <v>518</v>
      </c>
      <c r="AN87" s="216"/>
      <c r="AO87" s="216"/>
      <c r="AP87" s="216"/>
      <c r="AQ87" s="216"/>
      <c r="AR87" s="216"/>
      <c r="AS87" s="217"/>
      <c r="AT87" s="215" t="s">
        <v>519</v>
      </c>
      <c r="AU87" s="216"/>
      <c r="AV87" s="216"/>
      <c r="AW87" s="216"/>
      <c r="AX87" s="216"/>
      <c r="AY87" s="216"/>
      <c r="AZ87" s="217"/>
      <c r="BA87" s="215" t="s">
        <v>520</v>
      </c>
      <c r="BB87" s="216"/>
      <c r="BC87" s="216"/>
      <c r="BD87" s="216"/>
      <c r="BE87" s="216"/>
      <c r="BF87" s="217"/>
      <c r="BG87" s="215" t="s">
        <v>521</v>
      </c>
      <c r="BH87" s="217"/>
      <c r="BI87" s="215" t="s">
        <v>522</v>
      </c>
      <c r="BJ87" s="216"/>
      <c r="BK87" s="216"/>
      <c r="BL87" s="216"/>
      <c r="BM87" s="217"/>
      <c r="BN87" s="215" t="s">
        <v>523</v>
      </c>
      <c r="BO87" s="216"/>
      <c r="BP87" s="216"/>
      <c r="BQ87" s="216"/>
      <c r="BR87" s="216"/>
      <c r="BS87" s="216"/>
      <c r="BT87" s="216"/>
      <c r="BU87" s="216"/>
      <c r="BV87" s="216"/>
      <c r="BW87" s="216"/>
      <c r="BX87" s="216"/>
      <c r="BY87" s="216"/>
      <c r="BZ87" s="216"/>
      <c r="CA87" s="216"/>
      <c r="CB87" s="216"/>
      <c r="CC87" s="217"/>
      <c r="CD87" s="215" t="s">
        <v>524</v>
      </c>
      <c r="CE87" s="217"/>
      <c r="CF87" s="215" t="s">
        <v>525</v>
      </c>
      <c r="CG87" s="216"/>
      <c r="CH87" s="216"/>
      <c r="CI87" s="216"/>
      <c r="CJ87" s="216"/>
      <c r="CK87" s="217"/>
      <c r="CL87" s="218"/>
      <c r="CM87" s="215" t="s">
        <v>19</v>
      </c>
      <c r="CN87" s="216"/>
      <c r="CO87" s="216"/>
      <c r="CP87" s="217"/>
      <c r="CQ87" s="215" t="s">
        <v>526</v>
      </c>
      <c r="CR87" s="216"/>
      <c r="CS87" s="216"/>
      <c r="CT87" s="216"/>
      <c r="CU87" s="217"/>
      <c r="CV87" s="215" t="s">
        <v>527</v>
      </c>
      <c r="CW87" s="217"/>
      <c r="CX87" s="24"/>
      <c r="CY87" s="24"/>
      <c r="CZ87" s="24"/>
      <c r="DA87" s="24"/>
      <c r="DB87" s="24"/>
      <c r="DC87" s="24"/>
      <c r="DD87" s="24"/>
      <c r="DE87" s="24"/>
      <c r="DF87" s="24"/>
      <c r="DG87" s="24"/>
      <c r="DH87" s="24"/>
      <c r="DI87" s="24"/>
      <c r="DJ87" s="24"/>
      <c r="DK87" s="24"/>
      <c r="DL87" s="24"/>
      <c r="DM87" s="24"/>
      <c r="DN87" s="24"/>
      <c r="DO87" s="24"/>
      <c r="DP87" s="24"/>
      <c r="DQ87" s="24"/>
      <c r="DR87" s="24"/>
      <c r="DS87" s="24"/>
      <c r="DT87" s="24"/>
      <c r="DU87" s="24"/>
      <c r="DV87" s="24"/>
      <c r="DW87" s="24"/>
      <c r="DX87" s="24"/>
      <c r="DY87" s="24"/>
      <c r="DZ87" s="24"/>
      <c r="EA87" s="24"/>
    </row>
    <row r="88" spans="1:131" ht="127.5">
      <c r="A88" s="195" t="s">
        <v>387</v>
      </c>
      <c r="B88" s="196" t="s">
        <v>388</v>
      </c>
      <c r="C88" s="197" t="s">
        <v>11</v>
      </c>
      <c r="D88" s="197" t="s">
        <v>528</v>
      </c>
      <c r="E88" s="197" t="s">
        <v>529</v>
      </c>
      <c r="F88" s="197" t="s">
        <v>530</v>
      </c>
      <c r="G88" s="197" t="s">
        <v>531</v>
      </c>
      <c r="H88" s="197" t="s">
        <v>532</v>
      </c>
      <c r="I88" s="197" t="s">
        <v>533</v>
      </c>
      <c r="J88" s="197" t="s">
        <v>534</v>
      </c>
      <c r="K88" s="197" t="s">
        <v>535</v>
      </c>
      <c r="L88" s="197" t="s">
        <v>536</v>
      </c>
      <c r="M88" s="197" t="s">
        <v>537</v>
      </c>
      <c r="N88" s="197" t="s">
        <v>538</v>
      </c>
      <c r="O88" s="197" t="s">
        <v>539</v>
      </c>
      <c r="P88" s="197" t="s">
        <v>540</v>
      </c>
      <c r="Q88" s="197" t="s">
        <v>541</v>
      </c>
      <c r="R88" s="197" t="s">
        <v>542</v>
      </c>
      <c r="S88" s="197" t="s">
        <v>543</v>
      </c>
      <c r="T88" s="197" t="s">
        <v>544</v>
      </c>
      <c r="U88" s="197" t="s">
        <v>451</v>
      </c>
      <c r="V88" s="197" t="s">
        <v>542</v>
      </c>
      <c r="W88" s="197" t="s">
        <v>543</v>
      </c>
      <c r="X88" s="197" t="s">
        <v>544</v>
      </c>
      <c r="Y88" s="197" t="s">
        <v>451</v>
      </c>
      <c r="Z88" s="197" t="s">
        <v>542</v>
      </c>
      <c r="AA88" s="197" t="s">
        <v>543</v>
      </c>
      <c r="AB88" s="197" t="s">
        <v>544</v>
      </c>
      <c r="AC88" s="197" t="s">
        <v>451</v>
      </c>
      <c r="AD88" s="197" t="s">
        <v>542</v>
      </c>
      <c r="AE88" s="197" t="s">
        <v>543</v>
      </c>
      <c r="AF88" s="197" t="s">
        <v>544</v>
      </c>
      <c r="AG88" s="197" t="s">
        <v>451</v>
      </c>
      <c r="AH88" s="197" t="s">
        <v>542</v>
      </c>
      <c r="AI88" s="197" t="s">
        <v>543</v>
      </c>
      <c r="AJ88" s="197" t="s">
        <v>544</v>
      </c>
      <c r="AK88" s="197" t="s">
        <v>451</v>
      </c>
      <c r="AL88" s="197" t="s">
        <v>545</v>
      </c>
      <c r="AM88" s="197" t="s">
        <v>546</v>
      </c>
      <c r="AN88" s="197" t="s">
        <v>547</v>
      </c>
      <c r="AO88" s="197" t="s">
        <v>548</v>
      </c>
      <c r="AP88" s="197" t="s">
        <v>549</v>
      </c>
      <c r="AQ88" s="197" t="s">
        <v>550</v>
      </c>
      <c r="AR88" s="197" t="s">
        <v>551</v>
      </c>
      <c r="AS88" s="197" t="s">
        <v>552</v>
      </c>
      <c r="AT88" s="197" t="s">
        <v>553</v>
      </c>
      <c r="AU88" s="197" t="s">
        <v>554</v>
      </c>
      <c r="AV88" s="197" t="s">
        <v>555</v>
      </c>
      <c r="AW88" s="197" t="s">
        <v>556</v>
      </c>
      <c r="AX88" s="197" t="s">
        <v>557</v>
      </c>
      <c r="AY88" s="197" t="s">
        <v>558</v>
      </c>
      <c r="AZ88" s="197" t="s">
        <v>559</v>
      </c>
      <c r="BA88" s="197" t="s">
        <v>560</v>
      </c>
      <c r="BB88" s="197" t="s">
        <v>561</v>
      </c>
      <c r="BC88" s="197" t="s">
        <v>562</v>
      </c>
      <c r="BD88" s="197" t="s">
        <v>563</v>
      </c>
      <c r="BE88" s="197" t="s">
        <v>564</v>
      </c>
      <c r="BF88" s="197" t="s">
        <v>565</v>
      </c>
      <c r="BG88" s="197" t="s">
        <v>566</v>
      </c>
      <c r="BH88" s="197" t="s">
        <v>567</v>
      </c>
      <c r="BI88" s="197" t="s">
        <v>568</v>
      </c>
      <c r="BJ88" s="197" t="s">
        <v>569</v>
      </c>
      <c r="BK88" s="197" t="s">
        <v>570</v>
      </c>
      <c r="BL88" s="197" t="s">
        <v>571</v>
      </c>
      <c r="BM88" s="197" t="s">
        <v>572</v>
      </c>
      <c r="BN88" s="197" t="s">
        <v>573</v>
      </c>
      <c r="BO88" s="197" t="s">
        <v>574</v>
      </c>
      <c r="BP88" s="197" t="s">
        <v>575</v>
      </c>
      <c r="BQ88" s="197" t="s">
        <v>576</v>
      </c>
      <c r="BR88" s="197" t="s">
        <v>577</v>
      </c>
      <c r="BS88" s="197" t="s">
        <v>578</v>
      </c>
      <c r="BT88" s="197" t="s">
        <v>579</v>
      </c>
      <c r="BU88" s="197" t="s">
        <v>580</v>
      </c>
      <c r="BV88" s="197" t="s">
        <v>581</v>
      </c>
      <c r="BW88" s="197" t="s">
        <v>582</v>
      </c>
      <c r="BX88" s="197" t="s">
        <v>583</v>
      </c>
      <c r="BY88" s="197" t="s">
        <v>584</v>
      </c>
      <c r="BZ88" s="197" t="s">
        <v>585</v>
      </c>
      <c r="CA88" s="197" t="s">
        <v>586</v>
      </c>
      <c r="CB88" s="197" t="s">
        <v>587</v>
      </c>
      <c r="CC88" s="197" t="s">
        <v>588</v>
      </c>
      <c r="CD88" s="197" t="s">
        <v>398</v>
      </c>
      <c r="CE88" s="197" t="s">
        <v>397</v>
      </c>
      <c r="CF88" s="197" t="s">
        <v>589</v>
      </c>
      <c r="CG88" s="197" t="s">
        <v>590</v>
      </c>
      <c r="CH88" s="197" t="s">
        <v>591</v>
      </c>
      <c r="CI88" s="197" t="s">
        <v>592</v>
      </c>
      <c r="CJ88" s="197" t="s">
        <v>593</v>
      </c>
      <c r="CK88" s="197" t="s">
        <v>594</v>
      </c>
      <c r="CL88" s="197"/>
      <c r="CM88" s="197" t="s">
        <v>595</v>
      </c>
      <c r="CN88" s="197" t="s">
        <v>596</v>
      </c>
      <c r="CO88" s="197" t="s">
        <v>597</v>
      </c>
      <c r="CP88" s="197" t="s">
        <v>598</v>
      </c>
      <c r="CQ88" s="197" t="s">
        <v>599</v>
      </c>
      <c r="CR88" s="197" t="s">
        <v>600</v>
      </c>
      <c r="CS88" s="197" t="s">
        <v>601</v>
      </c>
      <c r="CT88" s="197" t="s">
        <v>602</v>
      </c>
      <c r="CU88" s="197" t="s">
        <v>603</v>
      </c>
      <c r="CV88" s="197" t="s">
        <v>604</v>
      </c>
      <c r="CW88" s="197" t="s">
        <v>605</v>
      </c>
      <c r="CX88" s="24"/>
      <c r="CY88" s="24"/>
      <c r="CZ88" s="24"/>
      <c r="DA88" s="24"/>
      <c r="DB88" s="24"/>
      <c r="DC88" s="24"/>
      <c r="DD88" s="24"/>
      <c r="DE88" s="24"/>
      <c r="DF88" s="24"/>
      <c r="DG88" s="24"/>
      <c r="DH88" s="24"/>
      <c r="DI88" s="24"/>
      <c r="DJ88" s="24"/>
      <c r="DK88" s="24"/>
      <c r="DL88" s="24"/>
      <c r="DM88" s="24"/>
      <c r="DN88" s="24"/>
      <c r="DO88" s="24"/>
      <c r="DP88" s="24"/>
      <c r="DQ88" s="24"/>
      <c r="DR88" s="24"/>
      <c r="DS88" s="24"/>
      <c r="DT88" s="24"/>
      <c r="DU88" s="24"/>
      <c r="DV88" s="24"/>
      <c r="DW88" s="24"/>
      <c r="DX88" s="24"/>
      <c r="DY88" s="24"/>
      <c r="DZ88" s="24"/>
      <c r="EA88" s="24"/>
    </row>
    <row r="89" spans="1:131">
      <c r="A89" s="24" t="s">
        <v>414</v>
      </c>
      <c r="B89" s="24"/>
      <c r="C89" s="45">
        <v>16.279069767441861</v>
      </c>
      <c r="D89" s="45">
        <v>66.781973941888168</v>
      </c>
      <c r="E89" s="45">
        <v>0</v>
      </c>
      <c r="F89" s="45">
        <v>0.68761315445724391</v>
      </c>
      <c r="G89" s="45">
        <v>0</v>
      </c>
      <c r="H89" s="45">
        <v>-5.6132962216598692</v>
      </c>
      <c r="I89" s="45"/>
      <c r="J89" s="45"/>
      <c r="K89" s="45"/>
      <c r="L89" s="45">
        <v>71.596806262868725</v>
      </c>
      <c r="M89" s="45">
        <v>1.6711750705328442E-2</v>
      </c>
      <c r="N89" s="45">
        <v>1.6591132783014665E-2</v>
      </c>
      <c r="O89" s="45">
        <v>0</v>
      </c>
      <c r="P89" s="45">
        <v>0</v>
      </c>
      <c r="Q89" s="45">
        <v>0</v>
      </c>
      <c r="R89" s="45">
        <v>0.1371192484805919</v>
      </c>
      <c r="S89" s="45">
        <v>0.31686172751868419</v>
      </c>
      <c r="T89" s="45">
        <v>0</v>
      </c>
      <c r="U89" s="45">
        <v>0.40352381594189662</v>
      </c>
      <c r="V89" s="45">
        <v>4.1256789267434639E-2</v>
      </c>
      <c r="W89" s="45">
        <v>9.6265841624014151E-2</v>
      </c>
      <c r="X89" s="45">
        <v>0</v>
      </c>
      <c r="Y89" s="45">
        <v>0</v>
      </c>
      <c r="Z89" s="45">
        <v>0</v>
      </c>
      <c r="AA89" s="45">
        <v>0</v>
      </c>
      <c r="AB89" s="45">
        <v>0</v>
      </c>
      <c r="AC89" s="45">
        <v>0</v>
      </c>
      <c r="AD89" s="45">
        <v>0</v>
      </c>
      <c r="AE89" s="45">
        <v>0</v>
      </c>
      <c r="AF89" s="45">
        <v>0</v>
      </c>
      <c r="AG89" s="45">
        <v>-5.6132962216598692</v>
      </c>
      <c r="AH89" s="45">
        <v>0.17837603774802654</v>
      </c>
      <c r="AI89" s="45">
        <v>0.41312756914269833</v>
      </c>
      <c r="AJ89" s="45">
        <v>0</v>
      </c>
      <c r="AK89" s="45">
        <v>-5.2097724057179722</v>
      </c>
      <c r="AL89" s="45">
        <v>-4.6182687988272475</v>
      </c>
      <c r="AM89" s="45">
        <v>34.317075077687797</v>
      </c>
      <c r="AN89" s="45">
        <v>5.9050717929100927</v>
      </c>
      <c r="AO89" s="45">
        <v>0</v>
      </c>
      <c r="AP89" s="45">
        <v>0</v>
      </c>
      <c r="AQ89" s="45">
        <v>40.222146870597889</v>
      </c>
      <c r="AR89" s="45">
        <v>0.17837603774802654</v>
      </c>
      <c r="AS89" s="199">
        <v>225.49075188796138</v>
      </c>
      <c r="AT89" s="45">
        <v>34.317075077687797</v>
      </c>
      <c r="AU89" s="45">
        <v>6.9898461775696976</v>
      </c>
      <c r="AV89" s="45">
        <v>0</v>
      </c>
      <c r="AW89" s="45">
        <v>0</v>
      </c>
      <c r="AX89" s="45">
        <v>41.306921255257492</v>
      </c>
      <c r="AY89" s="45">
        <v>0.41312756914269833</v>
      </c>
      <c r="AZ89" s="199">
        <v>99.985874438192425</v>
      </c>
      <c r="BA89" s="45">
        <v>34.317075077687797</v>
      </c>
      <c r="BB89" s="45">
        <v>12.89491797047979</v>
      </c>
      <c r="BC89" s="45">
        <v>0</v>
      </c>
      <c r="BD89" s="45">
        <v>0</v>
      </c>
      <c r="BE89" s="45">
        <v>47.211993048167585</v>
      </c>
      <c r="BF89" s="45">
        <v>0.5915036068907249</v>
      </c>
      <c r="BG89" s="45">
        <v>-12.644513228249725</v>
      </c>
      <c r="BH89" s="199">
        <v>79.816914889733866</v>
      </c>
      <c r="BI89" s="45">
        <v>0.18332132059069672</v>
      </c>
      <c r="BJ89" s="45">
        <v>0.42458108445399489</v>
      </c>
      <c r="BK89" s="45">
        <v>0</v>
      </c>
      <c r="BL89" s="45">
        <v>-5.3542077145042768</v>
      </c>
      <c r="BM89" s="45">
        <v>-4.7463053094595855</v>
      </c>
      <c r="BN89" s="45">
        <v>34.317075077687797</v>
      </c>
      <c r="BO89" s="45">
        <v>0</v>
      </c>
      <c r="BP89" s="45">
        <v>12.89491797047979</v>
      </c>
      <c r="BQ89" s="45">
        <v>0</v>
      </c>
      <c r="BR89" s="45">
        <v>0</v>
      </c>
      <c r="BS89" s="45">
        <v>0</v>
      </c>
      <c r="BT89" s="45">
        <v>0</v>
      </c>
      <c r="BU89" s="45">
        <v>0</v>
      </c>
      <c r="BV89" s="45">
        <v>0</v>
      </c>
      <c r="BW89" s="45">
        <v>0</v>
      </c>
      <c r="BX89" s="45">
        <v>0.85750479194117268</v>
      </c>
      <c r="BY89" s="45">
        <v>0.13752263089144878</v>
      </c>
      <c r="BZ89" s="45">
        <v>0</v>
      </c>
      <c r="CA89" s="45">
        <v>-5.6132962216598692</v>
      </c>
      <c r="CB89" s="45">
        <v>47.211993048167585</v>
      </c>
      <c r="CC89" s="45">
        <v>-4.6182687988272475</v>
      </c>
      <c r="CD89" s="199">
        <v>53.089279810445447</v>
      </c>
      <c r="CE89" s="45">
        <v>-17.998720942754002</v>
      </c>
      <c r="CF89" s="45">
        <v>0.68017146155360431</v>
      </c>
      <c r="CG89" s="45">
        <v>0</v>
      </c>
      <c r="CH89" s="45">
        <v>0.68017146155360431</v>
      </c>
      <c r="CI89" s="45">
        <v>3.4008482974862655E-2</v>
      </c>
      <c r="CJ89" s="45">
        <v>0</v>
      </c>
      <c r="CK89" s="45">
        <v>3.4008482974862655E-2</v>
      </c>
      <c r="CL89" s="45"/>
      <c r="CM89" s="45">
        <v>0</v>
      </c>
      <c r="CN89" s="45"/>
      <c r="CO89" s="45">
        <v>0</v>
      </c>
      <c r="CP89" s="45">
        <v>0</v>
      </c>
      <c r="CQ89" s="45">
        <v>0</v>
      </c>
      <c r="CR89" s="45">
        <v>0</v>
      </c>
      <c r="CS89" s="45">
        <v>0</v>
      </c>
      <c r="CT89" s="45">
        <v>0</v>
      </c>
      <c r="CU89" s="45">
        <v>0</v>
      </c>
      <c r="CV89" s="45">
        <v>9999</v>
      </c>
      <c r="CW89" s="199">
        <v>9999</v>
      </c>
      <c r="CX89" s="24"/>
      <c r="CY89" s="24"/>
      <c r="CZ89" s="24"/>
      <c r="DA89" s="24"/>
      <c r="DB89" s="24"/>
      <c r="DC89" s="24"/>
      <c r="DD89" s="24"/>
      <c r="DE89" s="24"/>
      <c r="DF89" s="24"/>
      <c r="DG89" s="24"/>
      <c r="DH89" s="24"/>
      <c r="DI89" s="24"/>
      <c r="DJ89" s="24"/>
      <c r="DK89" s="24"/>
      <c r="DL89" s="24"/>
      <c r="DM89" s="24"/>
      <c r="DN89" s="24"/>
      <c r="DO89" s="24"/>
      <c r="DP89" s="24"/>
      <c r="DQ89" s="24"/>
      <c r="DR89" s="24"/>
      <c r="DS89" s="24"/>
      <c r="DT89" s="24"/>
      <c r="DU89" s="24"/>
      <c r="DV89" s="24"/>
      <c r="DW89" s="24"/>
      <c r="DX89" s="24"/>
      <c r="DY89" s="24"/>
      <c r="DZ89" s="24"/>
      <c r="EA89" s="24"/>
    </row>
    <row r="90" spans="1:131">
      <c r="A90" s="24" t="s">
        <v>416</v>
      </c>
      <c r="B90" s="24"/>
      <c r="C90" s="45">
        <v>6.6762790697674417</v>
      </c>
      <c r="D90" s="45">
        <v>1.7156302515732005</v>
      </c>
      <c r="E90" s="45">
        <v>0</v>
      </c>
      <c r="F90" s="45">
        <v>2.9394812076628273E-2</v>
      </c>
      <c r="G90" s="45">
        <v>0</v>
      </c>
      <c r="H90" s="45">
        <v>-2.9488192070380408</v>
      </c>
      <c r="I90" s="45"/>
      <c r="J90" s="45"/>
      <c r="K90" s="45"/>
      <c r="L90" s="45">
        <v>1.8393233905827586</v>
      </c>
      <c r="M90" s="45">
        <v>4.2932521119786187E-4</v>
      </c>
      <c r="N90" s="45">
        <v>4.2622653435156959E-4</v>
      </c>
      <c r="O90" s="45">
        <v>0</v>
      </c>
      <c r="P90" s="45">
        <v>0</v>
      </c>
      <c r="Q90" s="45">
        <v>0</v>
      </c>
      <c r="R90" s="45">
        <v>5.8617181987406551E-3</v>
      </c>
      <c r="S90" s="45">
        <v>1.3545539194984482E-2</v>
      </c>
      <c r="T90" s="45">
        <v>0</v>
      </c>
      <c r="U90" s="45">
        <v>5.8756036981223461E-2</v>
      </c>
      <c r="V90" s="45">
        <v>1.7636887245976963E-3</v>
      </c>
      <c r="W90" s="45">
        <v>4.1152736907279584E-3</v>
      </c>
      <c r="X90" s="45">
        <v>0</v>
      </c>
      <c r="Y90" s="45">
        <v>0</v>
      </c>
      <c r="Z90" s="45">
        <v>0</v>
      </c>
      <c r="AA90" s="45">
        <v>0</v>
      </c>
      <c r="AB90" s="45">
        <v>0</v>
      </c>
      <c r="AC90" s="45">
        <v>0</v>
      </c>
      <c r="AD90" s="45">
        <v>0</v>
      </c>
      <c r="AE90" s="45">
        <v>0</v>
      </c>
      <c r="AF90" s="45">
        <v>0</v>
      </c>
      <c r="AG90" s="45">
        <v>-2.9488192070380408</v>
      </c>
      <c r="AH90" s="45">
        <v>7.6254069233383515E-3</v>
      </c>
      <c r="AI90" s="45">
        <v>1.7660812885712439E-2</v>
      </c>
      <c r="AJ90" s="45">
        <v>0</v>
      </c>
      <c r="AK90" s="45">
        <v>-2.8900631700568171</v>
      </c>
      <c r="AL90" s="45">
        <v>-2.8647769502477667</v>
      </c>
      <c r="AM90" s="45">
        <v>0.88160634784502923</v>
      </c>
      <c r="AN90" s="45">
        <v>0.15170141293582903</v>
      </c>
      <c r="AO90" s="45">
        <v>0</v>
      </c>
      <c r="AP90" s="45">
        <v>0</v>
      </c>
      <c r="AQ90" s="45">
        <v>1.0333077607808583</v>
      </c>
      <c r="AR90" s="45">
        <v>7.6254069233383515E-3</v>
      </c>
      <c r="AS90" s="199">
        <v>135.50854022207162</v>
      </c>
      <c r="AT90" s="45">
        <v>0.88160634784502923</v>
      </c>
      <c r="AU90" s="45">
        <v>0.17956928866039473</v>
      </c>
      <c r="AV90" s="45">
        <v>0</v>
      </c>
      <c r="AW90" s="45">
        <v>0</v>
      </c>
      <c r="AX90" s="45">
        <v>1.0611756365054239</v>
      </c>
      <c r="AY90" s="45">
        <v>1.7660812885712439E-2</v>
      </c>
      <c r="AZ90" s="199">
        <v>60.086454874560886</v>
      </c>
      <c r="BA90" s="45">
        <v>0.88160634784502923</v>
      </c>
      <c r="BB90" s="45">
        <v>0.33127070159622374</v>
      </c>
      <c r="BC90" s="45">
        <v>0</v>
      </c>
      <c r="BD90" s="45">
        <v>0</v>
      </c>
      <c r="BE90" s="45">
        <v>1.2128770494412529</v>
      </c>
      <c r="BF90" s="45">
        <v>2.528621980905079E-2</v>
      </c>
      <c r="BG90" s="45">
        <v>-12.240845660188754</v>
      </c>
      <c r="BH90" s="199">
        <v>47.965930004575981</v>
      </c>
      <c r="BI90" s="45">
        <v>0.30505282065135281</v>
      </c>
      <c r="BJ90" s="45">
        <v>0.70651715245430269</v>
      </c>
      <c r="BK90" s="45">
        <v>0</v>
      </c>
      <c r="BL90" s="45">
        <v>-115.61637703400807</v>
      </c>
      <c r="BM90" s="45">
        <v>-114.60480706090244</v>
      </c>
      <c r="BN90" s="45">
        <v>0.88160634784502923</v>
      </c>
      <c r="BO90" s="45">
        <v>0</v>
      </c>
      <c r="BP90" s="45">
        <v>0.33127070159622374</v>
      </c>
      <c r="BQ90" s="45">
        <v>0</v>
      </c>
      <c r="BR90" s="45">
        <v>0</v>
      </c>
      <c r="BS90" s="45">
        <v>0</v>
      </c>
      <c r="BT90" s="45">
        <v>0</v>
      </c>
      <c r="BU90" s="45">
        <v>0</v>
      </c>
      <c r="BV90" s="45">
        <v>0</v>
      </c>
      <c r="BW90" s="45">
        <v>0</v>
      </c>
      <c r="BX90" s="45">
        <v>7.8163294374948594E-2</v>
      </c>
      <c r="BY90" s="45">
        <v>5.8789624153256547E-3</v>
      </c>
      <c r="BZ90" s="45">
        <v>0</v>
      </c>
      <c r="CA90" s="45">
        <v>-2.9488192070380408</v>
      </c>
      <c r="CB90" s="45">
        <v>1.2128770494412531</v>
      </c>
      <c r="CC90" s="45">
        <v>-2.8647769502477667</v>
      </c>
      <c r="CD90" s="199">
        <v>49.51909212605657</v>
      </c>
      <c r="CE90" s="45">
        <v>-127.85722269419684</v>
      </c>
      <c r="CF90" s="45">
        <v>1.7473618505400069E-2</v>
      </c>
      <c r="CG90" s="45">
        <v>0</v>
      </c>
      <c r="CH90" s="45">
        <v>1.7473618505400069E-2</v>
      </c>
      <c r="CI90" s="45">
        <v>8.7367861052681044E-4</v>
      </c>
      <c r="CJ90" s="45">
        <v>0</v>
      </c>
      <c r="CK90" s="45">
        <v>8.7367861052681044E-4</v>
      </c>
      <c r="CL90" s="45"/>
      <c r="CM90" s="45">
        <v>0</v>
      </c>
      <c r="CN90" s="45"/>
      <c r="CO90" s="45">
        <v>0</v>
      </c>
      <c r="CP90" s="45">
        <v>0</v>
      </c>
      <c r="CQ90" s="45">
        <v>0</v>
      </c>
      <c r="CR90" s="45">
        <v>0</v>
      </c>
      <c r="CS90" s="45">
        <v>0</v>
      </c>
      <c r="CT90" s="45">
        <v>0</v>
      </c>
      <c r="CU90" s="45">
        <v>0</v>
      </c>
      <c r="CV90" s="45">
        <v>9999</v>
      </c>
      <c r="CW90" s="199">
        <v>9999</v>
      </c>
      <c r="CX90" s="24"/>
      <c r="CY90" s="24"/>
      <c r="CZ90" s="24"/>
      <c r="DA90" s="24"/>
      <c r="DB90" s="24"/>
      <c r="DC90" s="24"/>
      <c r="DD90" s="24"/>
      <c r="DE90" s="24"/>
      <c r="DF90" s="24"/>
      <c r="DG90" s="24"/>
      <c r="DH90" s="24"/>
      <c r="DI90" s="24"/>
      <c r="DJ90" s="24"/>
      <c r="DK90" s="24"/>
      <c r="DL90" s="24"/>
      <c r="DM90" s="24"/>
      <c r="DN90" s="24"/>
      <c r="DO90" s="24"/>
      <c r="DP90" s="24"/>
      <c r="DQ90" s="24"/>
      <c r="DR90" s="24"/>
      <c r="DS90" s="24"/>
      <c r="DT90" s="24"/>
      <c r="DU90" s="24"/>
      <c r="DV90" s="24"/>
      <c r="DW90" s="24"/>
      <c r="DX90" s="24"/>
      <c r="DY90" s="24"/>
      <c r="DZ90" s="24"/>
      <c r="EA90" s="24"/>
    </row>
    <row r="91" spans="1:131">
      <c r="A91" s="24" t="s">
        <v>417</v>
      </c>
      <c r="B91" s="24"/>
      <c r="C91" s="45">
        <v>6.6762790697674417</v>
      </c>
      <c r="D91" s="45">
        <v>1.7156302515732005</v>
      </c>
      <c r="E91" s="45">
        <v>0</v>
      </c>
      <c r="F91" s="45">
        <v>2.9394812076628273E-2</v>
      </c>
      <c r="G91" s="45">
        <v>0</v>
      </c>
      <c r="H91" s="45">
        <v>-2.9488192070380408</v>
      </c>
      <c r="I91" s="45"/>
      <c r="J91" s="45"/>
      <c r="K91" s="45"/>
      <c r="L91" s="45">
        <v>1.8393233905827586</v>
      </c>
      <c r="M91" s="45">
        <v>4.2932521119786187E-4</v>
      </c>
      <c r="N91" s="45">
        <v>4.2622653435156959E-4</v>
      </c>
      <c r="O91" s="45">
        <v>0</v>
      </c>
      <c r="P91" s="45">
        <v>0</v>
      </c>
      <c r="Q91" s="45">
        <v>0</v>
      </c>
      <c r="R91" s="45">
        <v>5.8617181987406551E-3</v>
      </c>
      <c r="S91" s="45">
        <v>1.3545539194984482E-2</v>
      </c>
      <c r="T91" s="45">
        <v>0</v>
      </c>
      <c r="U91" s="45">
        <v>5.8756036981223461E-2</v>
      </c>
      <c r="V91" s="45">
        <v>1.7636887245976963E-3</v>
      </c>
      <c r="W91" s="45">
        <v>4.1152736907279584E-3</v>
      </c>
      <c r="X91" s="45">
        <v>0</v>
      </c>
      <c r="Y91" s="45">
        <v>0</v>
      </c>
      <c r="Z91" s="45">
        <v>0</v>
      </c>
      <c r="AA91" s="45">
        <v>0</v>
      </c>
      <c r="AB91" s="45">
        <v>0</v>
      </c>
      <c r="AC91" s="45">
        <v>0</v>
      </c>
      <c r="AD91" s="45">
        <v>0</v>
      </c>
      <c r="AE91" s="45">
        <v>0</v>
      </c>
      <c r="AF91" s="45">
        <v>0</v>
      </c>
      <c r="AG91" s="45">
        <v>-2.9488192070380408</v>
      </c>
      <c r="AH91" s="45">
        <v>7.6254069233383515E-3</v>
      </c>
      <c r="AI91" s="45">
        <v>1.7660812885712439E-2</v>
      </c>
      <c r="AJ91" s="45">
        <v>0</v>
      </c>
      <c r="AK91" s="45">
        <v>-2.8900631700568171</v>
      </c>
      <c r="AL91" s="45">
        <v>-2.8647769502477667</v>
      </c>
      <c r="AM91" s="45">
        <v>0.88160634784502923</v>
      </c>
      <c r="AN91" s="45">
        <v>0.15170141293582903</v>
      </c>
      <c r="AO91" s="45">
        <v>0</v>
      </c>
      <c r="AP91" s="45">
        <v>0</v>
      </c>
      <c r="AQ91" s="45">
        <v>1.0333077607808583</v>
      </c>
      <c r="AR91" s="45">
        <v>7.6254069233383515E-3</v>
      </c>
      <c r="AS91" s="199">
        <v>135.50854022207162</v>
      </c>
      <c r="AT91" s="45">
        <v>0.88160634784502923</v>
      </c>
      <c r="AU91" s="45">
        <v>0.17956928866039473</v>
      </c>
      <c r="AV91" s="45">
        <v>0</v>
      </c>
      <c r="AW91" s="45">
        <v>0</v>
      </c>
      <c r="AX91" s="45">
        <v>1.0611756365054239</v>
      </c>
      <c r="AY91" s="45">
        <v>1.7660812885712439E-2</v>
      </c>
      <c r="AZ91" s="199">
        <v>60.086454874560886</v>
      </c>
      <c r="BA91" s="45">
        <v>0.88160634784502923</v>
      </c>
      <c r="BB91" s="45">
        <v>0.33127070159622374</v>
      </c>
      <c r="BC91" s="45">
        <v>0</v>
      </c>
      <c r="BD91" s="45">
        <v>0</v>
      </c>
      <c r="BE91" s="45">
        <v>1.2128770494412529</v>
      </c>
      <c r="BF91" s="45">
        <v>2.528621980905079E-2</v>
      </c>
      <c r="BG91" s="45">
        <v>-12.240845660188754</v>
      </c>
      <c r="BH91" s="199">
        <v>47.965930004575981</v>
      </c>
      <c r="BI91" s="45">
        <v>0.30505282065135281</v>
      </c>
      <c r="BJ91" s="45">
        <v>0.70651715245430269</v>
      </c>
      <c r="BK91" s="45">
        <v>0</v>
      </c>
      <c r="BL91" s="45">
        <v>-115.61637703400807</v>
      </c>
      <c r="BM91" s="45">
        <v>-114.60480706090244</v>
      </c>
      <c r="BN91" s="45">
        <v>0.88160634784502923</v>
      </c>
      <c r="BO91" s="45">
        <v>0</v>
      </c>
      <c r="BP91" s="45">
        <v>0.33127070159622374</v>
      </c>
      <c r="BQ91" s="45">
        <v>0</v>
      </c>
      <c r="BR91" s="45">
        <v>0</v>
      </c>
      <c r="BS91" s="45">
        <v>0</v>
      </c>
      <c r="BT91" s="45">
        <v>0</v>
      </c>
      <c r="BU91" s="45">
        <v>0</v>
      </c>
      <c r="BV91" s="45">
        <v>0</v>
      </c>
      <c r="BW91" s="45">
        <v>0</v>
      </c>
      <c r="BX91" s="45">
        <v>7.8163294374948594E-2</v>
      </c>
      <c r="BY91" s="45">
        <v>5.8789624153256547E-3</v>
      </c>
      <c r="BZ91" s="45">
        <v>0</v>
      </c>
      <c r="CA91" s="45">
        <v>-2.9488192070380408</v>
      </c>
      <c r="CB91" s="45">
        <v>1.2128770494412531</v>
      </c>
      <c r="CC91" s="45">
        <v>-2.8647769502477667</v>
      </c>
      <c r="CD91" s="199">
        <v>49.51909212605657</v>
      </c>
      <c r="CE91" s="45">
        <v>-127.85722269419684</v>
      </c>
      <c r="CF91" s="45">
        <v>1.7473618505400069E-2</v>
      </c>
      <c r="CG91" s="45">
        <v>0</v>
      </c>
      <c r="CH91" s="45">
        <v>1.7473618505400069E-2</v>
      </c>
      <c r="CI91" s="45">
        <v>8.7367861052681044E-4</v>
      </c>
      <c r="CJ91" s="45">
        <v>0</v>
      </c>
      <c r="CK91" s="45">
        <v>8.7367861052681044E-4</v>
      </c>
      <c r="CL91" s="45"/>
      <c r="CM91" s="45">
        <v>0</v>
      </c>
      <c r="CN91" s="45"/>
      <c r="CO91" s="45">
        <v>0</v>
      </c>
      <c r="CP91" s="45">
        <v>0</v>
      </c>
      <c r="CQ91" s="45">
        <v>0</v>
      </c>
      <c r="CR91" s="45">
        <v>0</v>
      </c>
      <c r="CS91" s="45">
        <v>0</v>
      </c>
      <c r="CT91" s="45">
        <v>0</v>
      </c>
      <c r="CU91" s="45">
        <v>0</v>
      </c>
      <c r="CV91" s="45">
        <v>9999</v>
      </c>
      <c r="CW91" s="199">
        <v>9999</v>
      </c>
      <c r="CX91" s="24"/>
      <c r="CY91" s="24"/>
      <c r="CZ91" s="24"/>
      <c r="DA91" s="24"/>
      <c r="DB91" s="24"/>
      <c r="DC91" s="24"/>
      <c r="DD91" s="24"/>
      <c r="DE91" s="24"/>
      <c r="DF91" s="24"/>
      <c r="DG91" s="24"/>
      <c r="DH91" s="24"/>
      <c r="DI91" s="24"/>
      <c r="DJ91" s="24"/>
      <c r="DK91" s="24"/>
      <c r="DL91" s="24"/>
      <c r="DM91" s="24"/>
      <c r="DN91" s="24"/>
      <c r="DO91" s="24"/>
      <c r="DP91" s="24"/>
      <c r="DQ91" s="24"/>
      <c r="DR91" s="24"/>
      <c r="DS91" s="24"/>
      <c r="DT91" s="24"/>
      <c r="DU91" s="24"/>
      <c r="DV91" s="24"/>
      <c r="DW91" s="24"/>
      <c r="DX91" s="24"/>
      <c r="DY91" s="24"/>
      <c r="DZ91" s="24"/>
      <c r="EA91" s="24"/>
    </row>
    <row r="92" spans="1:131">
      <c r="A92" s="24" t="s">
        <v>415</v>
      </c>
      <c r="B92" s="24"/>
      <c r="C92" s="45">
        <v>16.279069767441861</v>
      </c>
      <c r="D92" s="45">
        <v>66.935750455655011</v>
      </c>
      <c r="E92" s="45">
        <v>0</v>
      </c>
      <c r="F92" s="45">
        <v>0.75267609869364605</v>
      </c>
      <c r="G92" s="45">
        <v>0</v>
      </c>
      <c r="H92" s="45">
        <v>-5.9700810224120291</v>
      </c>
      <c r="I92" s="45"/>
      <c r="J92" s="45"/>
      <c r="K92" s="45"/>
      <c r="L92" s="45">
        <v>71.761669722483219</v>
      </c>
      <c r="M92" s="45">
        <v>1.6750232268701249E-2</v>
      </c>
      <c r="N92" s="45">
        <v>1.6629336603719857E-2</v>
      </c>
      <c r="O92" s="45">
        <v>0</v>
      </c>
      <c r="P92" s="45">
        <v>0</v>
      </c>
      <c r="Q92" s="45">
        <v>0</v>
      </c>
      <c r="R92" s="45">
        <v>0.15009366870481242</v>
      </c>
      <c r="S92" s="45">
        <v>0.34684363925868145</v>
      </c>
      <c r="T92" s="45">
        <v>0</v>
      </c>
      <c r="U92" s="45">
        <v>0.44170581895405731</v>
      </c>
      <c r="V92" s="45">
        <v>4.516056592161876E-2</v>
      </c>
      <c r="W92" s="45">
        <v>0.10537465381711045</v>
      </c>
      <c r="X92" s="45">
        <v>0</v>
      </c>
      <c r="Y92" s="45">
        <v>0</v>
      </c>
      <c r="Z92" s="45">
        <v>0</v>
      </c>
      <c r="AA92" s="45">
        <v>0</v>
      </c>
      <c r="AB92" s="45">
        <v>0</v>
      </c>
      <c r="AC92" s="45">
        <v>0</v>
      </c>
      <c r="AD92" s="45">
        <v>0</v>
      </c>
      <c r="AE92" s="45">
        <v>0</v>
      </c>
      <c r="AF92" s="45">
        <v>0</v>
      </c>
      <c r="AG92" s="45">
        <v>-5.9700810224120291</v>
      </c>
      <c r="AH92" s="45">
        <v>0.19525423462643118</v>
      </c>
      <c r="AI92" s="45">
        <v>0.45221829307579187</v>
      </c>
      <c r="AJ92" s="45">
        <v>0</v>
      </c>
      <c r="AK92" s="45">
        <v>-5.5283752034579718</v>
      </c>
      <c r="AL92" s="45">
        <v>-4.880902675755749</v>
      </c>
      <c r="AM92" s="45">
        <v>34.396095805237941</v>
      </c>
      <c r="AN92" s="45">
        <v>5.9186691950271193</v>
      </c>
      <c r="AO92" s="45">
        <v>0</v>
      </c>
      <c r="AP92" s="45">
        <v>0</v>
      </c>
      <c r="AQ92" s="45">
        <v>40.314765000265062</v>
      </c>
      <c r="AR92" s="45">
        <v>0.19525423462643118</v>
      </c>
      <c r="AS92" s="199">
        <v>206.47319161808198</v>
      </c>
      <c r="AT92" s="45">
        <v>34.396095805237941</v>
      </c>
      <c r="AU92" s="45">
        <v>7.0059414516909495</v>
      </c>
      <c r="AV92" s="45">
        <v>0</v>
      </c>
      <c r="AW92" s="45">
        <v>0</v>
      </c>
      <c r="AX92" s="45">
        <v>41.402037256928892</v>
      </c>
      <c r="AY92" s="45">
        <v>0.45221829307579187</v>
      </c>
      <c r="AZ92" s="199">
        <v>91.553212001509863</v>
      </c>
      <c r="BA92" s="45">
        <v>34.396095805237941</v>
      </c>
      <c r="BB92" s="45">
        <v>12.924610646718069</v>
      </c>
      <c r="BC92" s="45">
        <v>0</v>
      </c>
      <c r="BD92" s="45">
        <v>0</v>
      </c>
      <c r="BE92" s="45">
        <v>47.320706451956013</v>
      </c>
      <c r="BF92" s="45">
        <v>0.64747252770222308</v>
      </c>
      <c r="BG92" s="45">
        <v>-12.588521355718759</v>
      </c>
      <c r="BH92" s="199">
        <v>73.085273007473646</v>
      </c>
      <c r="BI92" s="45">
        <v>0.20020643887538045</v>
      </c>
      <c r="BJ92" s="45">
        <v>0.46368783870028074</v>
      </c>
      <c r="BK92" s="45">
        <v>0</v>
      </c>
      <c r="BL92" s="45">
        <v>-5.6685905653666673</v>
      </c>
      <c r="BM92" s="45">
        <v>-5.0046962877910062</v>
      </c>
      <c r="BN92" s="45">
        <v>34.396095805237941</v>
      </c>
      <c r="BO92" s="45">
        <v>0</v>
      </c>
      <c r="BP92" s="45">
        <v>12.924610646718069</v>
      </c>
      <c r="BQ92" s="45">
        <v>0</v>
      </c>
      <c r="BR92" s="45">
        <v>0</v>
      </c>
      <c r="BS92" s="45">
        <v>0</v>
      </c>
      <c r="BT92" s="45">
        <v>0</v>
      </c>
      <c r="BU92" s="45">
        <v>0</v>
      </c>
      <c r="BV92" s="45">
        <v>0</v>
      </c>
      <c r="BW92" s="45">
        <v>0</v>
      </c>
      <c r="BX92" s="45">
        <v>0.93864312691755125</v>
      </c>
      <c r="BY92" s="45">
        <v>0.15053521973872921</v>
      </c>
      <c r="BZ92" s="45">
        <v>0</v>
      </c>
      <c r="CA92" s="45">
        <v>-5.9700810224120291</v>
      </c>
      <c r="CB92" s="45">
        <v>47.320706451956013</v>
      </c>
      <c r="CC92" s="45">
        <v>-4.880902675755749</v>
      </c>
      <c r="CD92" s="199">
        <v>48.927512778754668</v>
      </c>
      <c r="CE92" s="45">
        <v>-18.257111921085425</v>
      </c>
      <c r="CF92" s="45">
        <v>0.68173766856947449</v>
      </c>
      <c r="CG92" s="45">
        <v>0</v>
      </c>
      <c r="CH92" s="45">
        <v>0.68173766856947449</v>
      </c>
      <c r="CI92" s="45">
        <v>3.4086793118179526E-2</v>
      </c>
      <c r="CJ92" s="45">
        <v>0</v>
      </c>
      <c r="CK92" s="45">
        <v>3.4086793118179526E-2</v>
      </c>
      <c r="CL92" s="45"/>
      <c r="CM92" s="45">
        <v>0</v>
      </c>
      <c r="CN92" s="45"/>
      <c r="CO92" s="45">
        <v>0</v>
      </c>
      <c r="CP92" s="45">
        <v>0</v>
      </c>
      <c r="CQ92" s="45">
        <v>0</v>
      </c>
      <c r="CR92" s="45">
        <v>0</v>
      </c>
      <c r="CS92" s="45">
        <v>0</v>
      </c>
      <c r="CT92" s="45">
        <v>0</v>
      </c>
      <c r="CU92" s="45">
        <v>0</v>
      </c>
      <c r="CV92" s="45">
        <v>9999</v>
      </c>
      <c r="CW92" s="199">
        <v>9999</v>
      </c>
      <c r="CX92" s="24"/>
      <c r="CY92" s="24"/>
      <c r="CZ92" s="24"/>
      <c r="DA92" s="24"/>
      <c r="DB92" s="24"/>
      <c r="DC92" s="24"/>
      <c r="DD92" s="24"/>
      <c r="DE92" s="24"/>
      <c r="DF92" s="24"/>
      <c r="DG92" s="24"/>
      <c r="DH92" s="24"/>
      <c r="DI92" s="24"/>
      <c r="DJ92" s="24"/>
      <c r="DK92" s="24"/>
      <c r="DL92" s="24"/>
      <c r="DM92" s="24"/>
      <c r="DN92" s="24"/>
      <c r="DO92" s="24"/>
      <c r="DP92" s="24"/>
      <c r="DQ92" s="24"/>
      <c r="DR92" s="24"/>
      <c r="DS92" s="24"/>
      <c r="DT92" s="24"/>
      <c r="DU92" s="24"/>
      <c r="DV92" s="24"/>
      <c r="DW92" s="24"/>
      <c r="DX92" s="24"/>
      <c r="DY92" s="24"/>
      <c r="DZ92" s="24"/>
      <c r="EA92" s="24"/>
    </row>
    <row r="93" spans="1:131">
      <c r="A93" s="24" t="s">
        <v>418</v>
      </c>
      <c r="B93" s="24"/>
      <c r="C93" s="45">
        <v>16.279069767441861</v>
      </c>
      <c r="D93" s="45">
        <v>28.880984703126135</v>
      </c>
      <c r="E93" s="45">
        <v>0</v>
      </c>
      <c r="F93" s="45">
        <v>0.93212841418794667</v>
      </c>
      <c r="G93" s="45">
        <v>0</v>
      </c>
      <c r="H93" s="45">
        <v>-1.9132235365066426</v>
      </c>
      <c r="I93" s="45"/>
      <c r="J93" s="45"/>
      <c r="K93" s="45"/>
      <c r="L93" s="45">
        <v>30.963239695039977</v>
      </c>
      <c r="M93" s="45">
        <v>7.2272768831756675E-3</v>
      </c>
      <c r="N93" s="45">
        <v>7.1751136396588106E-3</v>
      </c>
      <c r="O93" s="45">
        <v>0</v>
      </c>
      <c r="P93" s="45">
        <v>0</v>
      </c>
      <c r="Q93" s="45">
        <v>0</v>
      </c>
      <c r="R93" s="45">
        <v>0.1858788576285223</v>
      </c>
      <c r="S93" s="45">
        <v>0.42953776796486476</v>
      </c>
      <c r="T93" s="45">
        <v>0</v>
      </c>
      <c r="U93" s="45">
        <v>0.54701689780482132</v>
      </c>
      <c r="V93" s="45">
        <v>5.5927704851276801E-2</v>
      </c>
      <c r="W93" s="45">
        <v>0.13049797798631255</v>
      </c>
      <c r="X93" s="45">
        <v>0</v>
      </c>
      <c r="Y93" s="45">
        <v>0</v>
      </c>
      <c r="Z93" s="45">
        <v>0</v>
      </c>
      <c r="AA93" s="45">
        <v>0</v>
      </c>
      <c r="AB93" s="45">
        <v>0</v>
      </c>
      <c r="AC93" s="45">
        <v>0</v>
      </c>
      <c r="AD93" s="45">
        <v>0</v>
      </c>
      <c r="AE93" s="45">
        <v>0</v>
      </c>
      <c r="AF93" s="45">
        <v>0</v>
      </c>
      <c r="AG93" s="45">
        <v>-1.9132235365066426</v>
      </c>
      <c r="AH93" s="45">
        <v>0.24180656247979909</v>
      </c>
      <c r="AI93" s="45">
        <v>0.56003574595117733</v>
      </c>
      <c r="AJ93" s="45">
        <v>0</v>
      </c>
      <c r="AK93" s="45">
        <v>-1.3662066387018212</v>
      </c>
      <c r="AL93" s="45">
        <v>-0.56436433027084487</v>
      </c>
      <c r="AM93" s="45">
        <v>14.840994685739142</v>
      </c>
      <c r="AN93" s="45">
        <v>2.5537473371227533</v>
      </c>
      <c r="AO93" s="45">
        <v>0</v>
      </c>
      <c r="AP93" s="45">
        <v>0</v>
      </c>
      <c r="AQ93" s="45">
        <v>17.394742022861895</v>
      </c>
      <c r="AR93" s="45">
        <v>0.24180656247979909</v>
      </c>
      <c r="AS93" s="199">
        <v>71.936600249693711</v>
      </c>
      <c r="AT93" s="45">
        <v>14.840994685739142</v>
      </c>
      <c r="AU93" s="45">
        <v>3.0228762136809548</v>
      </c>
      <c r="AV93" s="45">
        <v>0</v>
      </c>
      <c r="AW93" s="45">
        <v>0</v>
      </c>
      <c r="AX93" s="45">
        <v>17.863870899420096</v>
      </c>
      <c r="AY93" s="45">
        <v>0.56003574595117733</v>
      </c>
      <c r="AZ93" s="199">
        <v>31.897733365358125</v>
      </c>
      <c r="BA93" s="45">
        <v>14.840994685739142</v>
      </c>
      <c r="BB93" s="45">
        <v>5.5766235508037081</v>
      </c>
      <c r="BC93" s="45">
        <v>0</v>
      </c>
      <c r="BD93" s="45">
        <v>0</v>
      </c>
      <c r="BE93" s="45">
        <v>20.41761823654285</v>
      </c>
      <c r="BF93" s="45">
        <v>0.80184230843097637</v>
      </c>
      <c r="BG93" s="45">
        <v>-11.346899249253024</v>
      </c>
      <c r="BH93" s="199">
        <v>25.463383537962098</v>
      </c>
      <c r="BI93" s="45">
        <v>0.57463464041402512</v>
      </c>
      <c r="BJ93" s="45">
        <v>1.3308817436273681</v>
      </c>
      <c r="BK93" s="45">
        <v>0</v>
      </c>
      <c r="BL93" s="45">
        <v>-3.2466846743551927</v>
      </c>
      <c r="BM93" s="45">
        <v>-1.3411682903137996</v>
      </c>
      <c r="BN93" s="45">
        <v>14.840994685739142</v>
      </c>
      <c r="BO93" s="45">
        <v>0</v>
      </c>
      <c r="BP93" s="45">
        <v>5.5766235508037081</v>
      </c>
      <c r="BQ93" s="45">
        <v>0</v>
      </c>
      <c r="BR93" s="45">
        <v>0</v>
      </c>
      <c r="BS93" s="45">
        <v>0</v>
      </c>
      <c r="BT93" s="45">
        <v>0</v>
      </c>
      <c r="BU93" s="45">
        <v>0</v>
      </c>
      <c r="BV93" s="45">
        <v>0</v>
      </c>
      <c r="BW93" s="45">
        <v>0</v>
      </c>
      <c r="BX93" s="45">
        <v>1.1624335233982084</v>
      </c>
      <c r="BY93" s="45">
        <v>0.18642568283758934</v>
      </c>
      <c r="BZ93" s="45">
        <v>0</v>
      </c>
      <c r="CA93" s="45">
        <v>-1.9132235365066426</v>
      </c>
      <c r="CB93" s="45">
        <v>20.41761823654285</v>
      </c>
      <c r="CC93" s="45">
        <v>-0.56436433027084487</v>
      </c>
      <c r="CD93" s="199">
        <v>16.555354087226934</v>
      </c>
      <c r="CE93" s="45">
        <v>-14.593583923608218</v>
      </c>
      <c r="CF93" s="45">
        <v>0.29415155643237295</v>
      </c>
      <c r="CG93" s="45">
        <v>0</v>
      </c>
      <c r="CH93" s="45">
        <v>0.29415155643237295</v>
      </c>
      <c r="CI93" s="45">
        <v>1.4707538855143995E-2</v>
      </c>
      <c r="CJ93" s="45">
        <v>0</v>
      </c>
      <c r="CK93" s="45">
        <v>1.4707538855143995E-2</v>
      </c>
      <c r="CL93" s="45"/>
      <c r="CM93" s="45">
        <v>0</v>
      </c>
      <c r="CN93" s="45"/>
      <c r="CO93" s="45">
        <v>0</v>
      </c>
      <c r="CP93" s="45">
        <v>0</v>
      </c>
      <c r="CQ93" s="45">
        <v>0</v>
      </c>
      <c r="CR93" s="45">
        <v>0</v>
      </c>
      <c r="CS93" s="45">
        <v>0</v>
      </c>
      <c r="CT93" s="45">
        <v>0</v>
      </c>
      <c r="CU93" s="45">
        <v>0</v>
      </c>
      <c r="CV93" s="45">
        <v>9999</v>
      </c>
      <c r="CW93" s="199">
        <v>9999</v>
      </c>
      <c r="CX93" s="24"/>
      <c r="CY93" s="24"/>
      <c r="CZ93" s="24"/>
      <c r="DA93" s="24"/>
      <c r="DB93" s="24"/>
      <c r="DC93" s="24"/>
      <c r="DD93" s="24"/>
      <c r="DE93" s="24"/>
      <c r="DF93" s="24"/>
      <c r="DG93" s="24"/>
      <c r="DH93" s="24"/>
      <c r="DI93" s="24"/>
      <c r="DJ93" s="24"/>
      <c r="DK93" s="24"/>
      <c r="DL93" s="24"/>
      <c r="DM93" s="24"/>
      <c r="DN93" s="24"/>
      <c r="DO93" s="24"/>
      <c r="DP93" s="24"/>
      <c r="DQ93" s="24"/>
      <c r="DR93" s="24"/>
      <c r="DS93" s="24"/>
      <c r="DT93" s="24"/>
      <c r="DU93" s="24"/>
      <c r="DV93" s="24"/>
      <c r="DW93" s="24"/>
      <c r="DX93" s="24"/>
      <c r="DY93" s="24"/>
      <c r="DZ93" s="24"/>
      <c r="EA93" s="24"/>
    </row>
    <row r="94" spans="1:131">
      <c r="A94" s="24" t="s">
        <v>422</v>
      </c>
      <c r="B94" s="24"/>
      <c r="C94" s="45">
        <v>6.6762790697674417</v>
      </c>
      <c r="D94" s="45">
        <v>1.7156302515732005</v>
      </c>
      <c r="E94" s="45">
        <v>0</v>
      </c>
      <c r="F94" s="45">
        <v>0.18729926518091722</v>
      </c>
      <c r="G94" s="45">
        <v>0</v>
      </c>
      <c r="H94" s="45">
        <v>-2.9488192070380408</v>
      </c>
      <c r="I94" s="45"/>
      <c r="J94" s="45"/>
      <c r="K94" s="45"/>
      <c r="L94" s="45">
        <v>1.8393233905827586</v>
      </c>
      <c r="M94" s="45">
        <v>4.2932521119786187E-4</v>
      </c>
      <c r="N94" s="45">
        <v>4.2622653435156959E-4</v>
      </c>
      <c r="O94" s="45">
        <v>0</v>
      </c>
      <c r="P94" s="45">
        <v>0</v>
      </c>
      <c r="Q94" s="45">
        <v>0</v>
      </c>
      <c r="R94" s="45">
        <v>3.7349975514715673E-2</v>
      </c>
      <c r="S94" s="45">
        <v>8.6310112515300713E-2</v>
      </c>
      <c r="T94" s="45">
        <v>0</v>
      </c>
      <c r="U94" s="45">
        <v>0.37438451801758454</v>
      </c>
      <c r="V94" s="45">
        <v>1.1237955910855033E-2</v>
      </c>
      <c r="W94" s="45">
        <v>2.6221897125328412E-2</v>
      </c>
      <c r="X94" s="45">
        <v>0</v>
      </c>
      <c r="Y94" s="45">
        <v>0</v>
      </c>
      <c r="Z94" s="45">
        <v>0</v>
      </c>
      <c r="AA94" s="45">
        <v>0</v>
      </c>
      <c r="AB94" s="45">
        <v>0</v>
      </c>
      <c r="AC94" s="45">
        <v>0</v>
      </c>
      <c r="AD94" s="45">
        <v>0</v>
      </c>
      <c r="AE94" s="45">
        <v>0</v>
      </c>
      <c r="AF94" s="45">
        <v>0</v>
      </c>
      <c r="AG94" s="45">
        <v>-2.9488192070380408</v>
      </c>
      <c r="AH94" s="45">
        <v>4.8587931425570705E-2</v>
      </c>
      <c r="AI94" s="45">
        <v>0.11253200964062912</v>
      </c>
      <c r="AJ94" s="45">
        <v>0</v>
      </c>
      <c r="AK94" s="45">
        <v>-2.5744346890204564</v>
      </c>
      <c r="AL94" s="45">
        <v>-2.4133147479542565</v>
      </c>
      <c r="AM94" s="45">
        <v>0.88160634784502923</v>
      </c>
      <c r="AN94" s="45">
        <v>0.15170141293582903</v>
      </c>
      <c r="AO94" s="45">
        <v>0</v>
      </c>
      <c r="AP94" s="45">
        <v>0</v>
      </c>
      <c r="AQ94" s="45">
        <v>1.0333077607808583</v>
      </c>
      <c r="AR94" s="45">
        <v>4.8587931425570705E-2</v>
      </c>
      <c r="AS94" s="199">
        <v>21.26675761786089</v>
      </c>
      <c r="AT94" s="45">
        <v>0.88160634784502923</v>
      </c>
      <c r="AU94" s="45">
        <v>0.17956928866039473</v>
      </c>
      <c r="AV94" s="45">
        <v>0</v>
      </c>
      <c r="AW94" s="45">
        <v>0</v>
      </c>
      <c r="AX94" s="45">
        <v>1.0611756365054239</v>
      </c>
      <c r="AY94" s="45">
        <v>0.11253200964062912</v>
      </c>
      <c r="AZ94" s="199">
        <v>9.4299892083531383</v>
      </c>
      <c r="BA94" s="45">
        <v>0.88160634784502923</v>
      </c>
      <c r="BB94" s="45">
        <v>0.33127070159622374</v>
      </c>
      <c r="BC94" s="45">
        <v>0</v>
      </c>
      <c r="BD94" s="45">
        <v>0</v>
      </c>
      <c r="BE94" s="45">
        <v>1.2128770494412529</v>
      </c>
      <c r="BF94" s="45">
        <v>0.16111994106619981</v>
      </c>
      <c r="BG94" s="45">
        <v>-6.806845845406106</v>
      </c>
      <c r="BH94" s="199">
        <v>7.5277898031437003</v>
      </c>
      <c r="BI94" s="45">
        <v>1.9437501080264876</v>
      </c>
      <c r="BJ94" s="45">
        <v>4.5018196798618169</v>
      </c>
      <c r="BK94" s="45">
        <v>0</v>
      </c>
      <c r="BL94" s="45">
        <v>-102.98972518630687</v>
      </c>
      <c r="BM94" s="45">
        <v>-96.544155398418539</v>
      </c>
      <c r="BN94" s="45">
        <v>0.88160634784502923</v>
      </c>
      <c r="BO94" s="45">
        <v>0</v>
      </c>
      <c r="BP94" s="45">
        <v>0.33127070159622374</v>
      </c>
      <c r="BQ94" s="45">
        <v>0</v>
      </c>
      <c r="BR94" s="45">
        <v>0</v>
      </c>
      <c r="BS94" s="45">
        <v>0</v>
      </c>
      <c r="BT94" s="45">
        <v>0</v>
      </c>
      <c r="BU94" s="45">
        <v>0</v>
      </c>
      <c r="BV94" s="45">
        <v>0</v>
      </c>
      <c r="BW94" s="45">
        <v>0</v>
      </c>
      <c r="BX94" s="45">
        <v>0.49804460604760092</v>
      </c>
      <c r="BY94" s="45">
        <v>3.7459853036183446E-2</v>
      </c>
      <c r="BZ94" s="45">
        <v>0</v>
      </c>
      <c r="CA94" s="45">
        <v>-2.9488192070380408</v>
      </c>
      <c r="CB94" s="45">
        <v>1.2128770494412531</v>
      </c>
      <c r="CC94" s="45">
        <v>-2.413314747954256</v>
      </c>
      <c r="CD94" s="199">
        <v>7.7715436088052439</v>
      </c>
      <c r="CE94" s="45">
        <v>-109.79657103171296</v>
      </c>
      <c r="CF94" s="45">
        <v>1.7473618505400069E-2</v>
      </c>
      <c r="CG94" s="45">
        <v>0</v>
      </c>
      <c r="CH94" s="45">
        <v>1.7473618505400069E-2</v>
      </c>
      <c r="CI94" s="45">
        <v>8.7367861052681044E-4</v>
      </c>
      <c r="CJ94" s="45">
        <v>0</v>
      </c>
      <c r="CK94" s="45">
        <v>8.7367861052681044E-4</v>
      </c>
      <c r="CL94" s="45"/>
      <c r="CM94" s="45">
        <v>0</v>
      </c>
      <c r="CN94" s="45"/>
      <c r="CO94" s="45">
        <v>0</v>
      </c>
      <c r="CP94" s="45">
        <v>0</v>
      </c>
      <c r="CQ94" s="45">
        <v>0</v>
      </c>
      <c r="CR94" s="45">
        <v>0</v>
      </c>
      <c r="CS94" s="45">
        <v>0</v>
      </c>
      <c r="CT94" s="45">
        <v>0</v>
      </c>
      <c r="CU94" s="45">
        <v>0</v>
      </c>
      <c r="CV94" s="45">
        <v>9999</v>
      </c>
      <c r="CW94" s="199">
        <v>9999</v>
      </c>
      <c r="CX94" s="24"/>
      <c r="CY94" s="24"/>
      <c r="CZ94" s="24"/>
      <c r="DA94" s="24"/>
      <c r="DB94" s="24"/>
      <c r="DC94" s="24"/>
      <c r="DD94" s="24"/>
      <c r="DE94" s="24"/>
      <c r="DF94" s="24"/>
      <c r="DG94" s="24"/>
      <c r="DH94" s="24"/>
      <c r="DI94" s="24"/>
      <c r="DJ94" s="24"/>
      <c r="DK94" s="24"/>
      <c r="DL94" s="24"/>
      <c r="DM94" s="24"/>
      <c r="DN94" s="24"/>
      <c r="DO94" s="24"/>
      <c r="DP94" s="24"/>
      <c r="DQ94" s="24"/>
      <c r="DR94" s="24"/>
      <c r="DS94" s="24"/>
      <c r="DT94" s="24"/>
      <c r="DU94" s="24"/>
      <c r="DV94" s="24"/>
      <c r="DW94" s="24"/>
      <c r="DX94" s="24"/>
      <c r="DY94" s="24"/>
      <c r="DZ94" s="24"/>
      <c r="EA94" s="24"/>
    </row>
    <row r="95" spans="1:131">
      <c r="A95" s="24" t="s">
        <v>420</v>
      </c>
      <c r="B95" s="24"/>
      <c r="C95" s="45">
        <v>6.6762790697674417</v>
      </c>
      <c r="D95" s="45">
        <v>2.3112289292682102</v>
      </c>
      <c r="E95" s="45">
        <v>0</v>
      </c>
      <c r="F95" s="45">
        <v>0.13553311531055059</v>
      </c>
      <c r="G95" s="45">
        <v>0</v>
      </c>
      <c r="H95" s="45">
        <v>-1.3137623929241096</v>
      </c>
      <c r="I95" s="45"/>
      <c r="J95" s="45"/>
      <c r="K95" s="45"/>
      <c r="L95" s="45">
        <v>2.4778634129914572</v>
      </c>
      <c r="M95" s="45">
        <v>5.7836987152376843E-4</v>
      </c>
      <c r="N95" s="45">
        <v>5.7419545715736459E-4</v>
      </c>
      <c r="O95" s="45">
        <v>0</v>
      </c>
      <c r="P95" s="45">
        <v>0</v>
      </c>
      <c r="Q95" s="45">
        <v>0</v>
      </c>
      <c r="R95" s="45">
        <v>2.7027113712339075E-2</v>
      </c>
      <c r="S95" s="45">
        <v>6.2455548988425355E-2</v>
      </c>
      <c r="T95" s="45">
        <v>0</v>
      </c>
      <c r="U95" s="45">
        <v>0.27091136744156291</v>
      </c>
      <c r="V95" s="45">
        <v>8.131986918633035E-3</v>
      </c>
      <c r="W95" s="45">
        <v>1.8974636143477084E-2</v>
      </c>
      <c r="X95" s="45">
        <v>0</v>
      </c>
      <c r="Y95" s="45">
        <v>0</v>
      </c>
      <c r="Z95" s="45">
        <v>0</v>
      </c>
      <c r="AA95" s="45">
        <v>0</v>
      </c>
      <c r="AB95" s="45">
        <v>0</v>
      </c>
      <c r="AC95" s="45">
        <v>0</v>
      </c>
      <c r="AD95" s="45">
        <v>0</v>
      </c>
      <c r="AE95" s="45">
        <v>0</v>
      </c>
      <c r="AF95" s="45">
        <v>0</v>
      </c>
      <c r="AG95" s="45">
        <v>-1.3137623929241096</v>
      </c>
      <c r="AH95" s="45">
        <v>3.5159100630972107E-2</v>
      </c>
      <c r="AI95" s="45">
        <v>8.1430185131902436E-2</v>
      </c>
      <c r="AJ95" s="45">
        <v>0</v>
      </c>
      <c r="AK95" s="45">
        <v>-1.0428510254825467</v>
      </c>
      <c r="AL95" s="45">
        <v>-0.92626173971967207</v>
      </c>
      <c r="AM95" s="45">
        <v>1.1876650539925426</v>
      </c>
      <c r="AN95" s="45">
        <v>0.20436611785473116</v>
      </c>
      <c r="AO95" s="45">
        <v>0</v>
      </c>
      <c r="AP95" s="45">
        <v>0</v>
      </c>
      <c r="AQ95" s="45">
        <v>1.3920311718472738</v>
      </c>
      <c r="AR95" s="45">
        <v>3.5159100630972107E-2</v>
      </c>
      <c r="AS95" s="199">
        <v>39.59234300268237</v>
      </c>
      <c r="AT95" s="45">
        <v>1.1876650539925426</v>
      </c>
      <c r="AU95" s="45">
        <v>0.24190861310556133</v>
      </c>
      <c r="AV95" s="45">
        <v>0</v>
      </c>
      <c r="AW95" s="45">
        <v>0</v>
      </c>
      <c r="AX95" s="45">
        <v>1.4295736670981039</v>
      </c>
      <c r="AY95" s="45">
        <v>8.1430185131902436E-2</v>
      </c>
      <c r="AZ95" s="199">
        <v>17.555819930686003</v>
      </c>
      <c r="BA95" s="45">
        <v>1.1876650539925426</v>
      </c>
      <c r="BB95" s="45">
        <v>0.44627473096029247</v>
      </c>
      <c r="BC95" s="45">
        <v>0</v>
      </c>
      <c r="BD95" s="45">
        <v>0</v>
      </c>
      <c r="BE95" s="45">
        <v>1.633939784952835</v>
      </c>
      <c r="BF95" s="45">
        <v>0.11658928576287456</v>
      </c>
      <c r="BG95" s="45">
        <v>-9.7902216838547282</v>
      </c>
      <c r="BH95" s="199">
        <v>14.014493478208864</v>
      </c>
      <c r="BI95" s="45">
        <v>1.0440721433002755</v>
      </c>
      <c r="BJ95" s="45">
        <v>2.4181218061394119</v>
      </c>
      <c r="BK95" s="45">
        <v>0</v>
      </c>
      <c r="BL95" s="45">
        <v>-30.968133023269214</v>
      </c>
      <c r="BM95" s="45">
        <v>-27.505939073829527</v>
      </c>
      <c r="BN95" s="45">
        <v>1.1876650539925426</v>
      </c>
      <c r="BO95" s="45">
        <v>0</v>
      </c>
      <c r="BP95" s="45">
        <v>0.44627473096029247</v>
      </c>
      <c r="BQ95" s="45">
        <v>0</v>
      </c>
      <c r="BR95" s="45">
        <v>0</v>
      </c>
      <c r="BS95" s="45">
        <v>0</v>
      </c>
      <c r="BT95" s="45">
        <v>0</v>
      </c>
      <c r="BU95" s="45">
        <v>0</v>
      </c>
      <c r="BV95" s="45">
        <v>0</v>
      </c>
      <c r="BW95" s="45">
        <v>0</v>
      </c>
      <c r="BX95" s="45">
        <v>0.36039403014232735</v>
      </c>
      <c r="BY95" s="45">
        <v>2.7106623062110119E-2</v>
      </c>
      <c r="BZ95" s="45">
        <v>0</v>
      </c>
      <c r="CA95" s="45">
        <v>-1.3137623929241096</v>
      </c>
      <c r="CB95" s="45">
        <v>1.633939784952835</v>
      </c>
      <c r="CC95" s="45">
        <v>-0.92626173971967207</v>
      </c>
      <c r="CD95" s="199">
        <v>7.6069605392943602</v>
      </c>
      <c r="CE95" s="45">
        <v>-40.758354707123942</v>
      </c>
      <c r="CF95" s="45">
        <v>2.3539764790020557E-2</v>
      </c>
      <c r="CG95" s="45">
        <v>0</v>
      </c>
      <c r="CH95" s="45">
        <v>2.3539764790020557E-2</v>
      </c>
      <c r="CI95" s="45">
        <v>1.1769851211709426E-3</v>
      </c>
      <c r="CJ95" s="45">
        <v>0</v>
      </c>
      <c r="CK95" s="45">
        <v>1.1769851211709426E-3</v>
      </c>
      <c r="CL95" s="45"/>
      <c r="CM95" s="45">
        <v>0</v>
      </c>
      <c r="CN95" s="45"/>
      <c r="CO95" s="45">
        <v>0</v>
      </c>
      <c r="CP95" s="45">
        <v>0</v>
      </c>
      <c r="CQ95" s="45">
        <v>0</v>
      </c>
      <c r="CR95" s="45">
        <v>0</v>
      </c>
      <c r="CS95" s="45">
        <v>0</v>
      </c>
      <c r="CT95" s="45">
        <v>0</v>
      </c>
      <c r="CU95" s="45">
        <v>0</v>
      </c>
      <c r="CV95" s="45">
        <v>9999</v>
      </c>
      <c r="CW95" s="199">
        <v>9999</v>
      </c>
      <c r="CX95" s="24"/>
      <c r="CY95" s="24"/>
      <c r="CZ95" s="24"/>
      <c r="DA95" s="24"/>
      <c r="DB95" s="24"/>
      <c r="DC95" s="24"/>
      <c r="DD95" s="24"/>
      <c r="DE95" s="24"/>
      <c r="DF95" s="24"/>
      <c r="DG95" s="24"/>
      <c r="DH95" s="24"/>
      <c r="DI95" s="24"/>
      <c r="DJ95" s="24"/>
      <c r="DK95" s="24"/>
      <c r="DL95" s="24"/>
      <c r="DM95" s="24"/>
      <c r="DN95" s="24"/>
      <c r="DO95" s="24"/>
      <c r="DP95" s="24"/>
      <c r="DQ95" s="24"/>
      <c r="DR95" s="24"/>
      <c r="DS95" s="24"/>
      <c r="DT95" s="24"/>
      <c r="DU95" s="24"/>
      <c r="DV95" s="24"/>
      <c r="DW95" s="24"/>
      <c r="DX95" s="24"/>
      <c r="DY95" s="24"/>
      <c r="DZ95" s="24"/>
      <c r="EA95" s="24"/>
    </row>
    <row r="96" spans="1:131">
      <c r="A96" s="24" t="s">
        <v>421</v>
      </c>
      <c r="B96" s="24"/>
      <c r="C96" s="45">
        <v>6.6762790697674417</v>
      </c>
      <c r="D96" s="45">
        <v>2.3112289292682102</v>
      </c>
      <c r="E96" s="45">
        <v>0</v>
      </c>
      <c r="F96" s="45">
        <v>0.13553311531055059</v>
      </c>
      <c r="G96" s="45">
        <v>0</v>
      </c>
      <c r="H96" s="45">
        <v>-1.3137623929241096</v>
      </c>
      <c r="I96" s="45"/>
      <c r="J96" s="45"/>
      <c r="K96" s="45"/>
      <c r="L96" s="45">
        <v>2.4778634129914572</v>
      </c>
      <c r="M96" s="45">
        <v>5.7836987152376843E-4</v>
      </c>
      <c r="N96" s="45">
        <v>5.7419545715736459E-4</v>
      </c>
      <c r="O96" s="45">
        <v>0</v>
      </c>
      <c r="P96" s="45">
        <v>0</v>
      </c>
      <c r="Q96" s="45">
        <v>0</v>
      </c>
      <c r="R96" s="45">
        <v>2.7027113712339075E-2</v>
      </c>
      <c r="S96" s="45">
        <v>6.2455548988425355E-2</v>
      </c>
      <c r="T96" s="45">
        <v>0</v>
      </c>
      <c r="U96" s="45">
        <v>0.27091136744156291</v>
      </c>
      <c r="V96" s="45">
        <v>8.131986918633035E-3</v>
      </c>
      <c r="W96" s="45">
        <v>1.8974636143477084E-2</v>
      </c>
      <c r="X96" s="45">
        <v>0</v>
      </c>
      <c r="Y96" s="45">
        <v>0</v>
      </c>
      <c r="Z96" s="45">
        <v>0</v>
      </c>
      <c r="AA96" s="45">
        <v>0</v>
      </c>
      <c r="AB96" s="45">
        <v>0</v>
      </c>
      <c r="AC96" s="45">
        <v>0</v>
      </c>
      <c r="AD96" s="45">
        <v>0</v>
      </c>
      <c r="AE96" s="45">
        <v>0</v>
      </c>
      <c r="AF96" s="45">
        <v>0</v>
      </c>
      <c r="AG96" s="45">
        <v>-1.3137623929241096</v>
      </c>
      <c r="AH96" s="45">
        <v>3.5159100630972107E-2</v>
      </c>
      <c r="AI96" s="45">
        <v>8.1430185131902436E-2</v>
      </c>
      <c r="AJ96" s="45">
        <v>0</v>
      </c>
      <c r="AK96" s="45">
        <v>-1.0428510254825467</v>
      </c>
      <c r="AL96" s="45">
        <v>-0.92626173971967207</v>
      </c>
      <c r="AM96" s="45">
        <v>1.1876650539925426</v>
      </c>
      <c r="AN96" s="45">
        <v>0.20436611785473116</v>
      </c>
      <c r="AO96" s="45">
        <v>0</v>
      </c>
      <c r="AP96" s="45">
        <v>0</v>
      </c>
      <c r="AQ96" s="45">
        <v>1.3920311718472738</v>
      </c>
      <c r="AR96" s="45">
        <v>3.5159100630972107E-2</v>
      </c>
      <c r="AS96" s="199">
        <v>39.59234300268237</v>
      </c>
      <c r="AT96" s="45">
        <v>1.1876650539925426</v>
      </c>
      <c r="AU96" s="45">
        <v>0.24190861310556133</v>
      </c>
      <c r="AV96" s="45">
        <v>0</v>
      </c>
      <c r="AW96" s="45">
        <v>0</v>
      </c>
      <c r="AX96" s="45">
        <v>1.4295736670981039</v>
      </c>
      <c r="AY96" s="45">
        <v>8.1430185131902436E-2</v>
      </c>
      <c r="AZ96" s="199">
        <v>17.555819930686003</v>
      </c>
      <c r="BA96" s="45">
        <v>1.1876650539925426</v>
      </c>
      <c r="BB96" s="45">
        <v>0.44627473096029247</v>
      </c>
      <c r="BC96" s="45">
        <v>0</v>
      </c>
      <c r="BD96" s="45">
        <v>0</v>
      </c>
      <c r="BE96" s="45">
        <v>1.633939784952835</v>
      </c>
      <c r="BF96" s="45">
        <v>0.11658928576287456</v>
      </c>
      <c r="BG96" s="45">
        <v>-9.7902216838547282</v>
      </c>
      <c r="BH96" s="199">
        <v>14.014493478208864</v>
      </c>
      <c r="BI96" s="45">
        <v>1.0440721433002755</v>
      </c>
      <c r="BJ96" s="45">
        <v>2.4181218061394119</v>
      </c>
      <c r="BK96" s="45">
        <v>0</v>
      </c>
      <c r="BL96" s="45">
        <v>-30.968133023269214</v>
      </c>
      <c r="BM96" s="45">
        <v>-27.505939073829527</v>
      </c>
      <c r="BN96" s="45">
        <v>1.1876650539925426</v>
      </c>
      <c r="BO96" s="45">
        <v>0</v>
      </c>
      <c r="BP96" s="45">
        <v>0.44627473096029247</v>
      </c>
      <c r="BQ96" s="45">
        <v>0</v>
      </c>
      <c r="BR96" s="45">
        <v>0</v>
      </c>
      <c r="BS96" s="45">
        <v>0</v>
      </c>
      <c r="BT96" s="45">
        <v>0</v>
      </c>
      <c r="BU96" s="45">
        <v>0</v>
      </c>
      <c r="BV96" s="45">
        <v>0</v>
      </c>
      <c r="BW96" s="45">
        <v>0</v>
      </c>
      <c r="BX96" s="45">
        <v>0.36039403014232735</v>
      </c>
      <c r="BY96" s="45">
        <v>2.7106623062110119E-2</v>
      </c>
      <c r="BZ96" s="45">
        <v>0</v>
      </c>
      <c r="CA96" s="45">
        <v>-1.3137623929241096</v>
      </c>
      <c r="CB96" s="45">
        <v>1.633939784952835</v>
      </c>
      <c r="CC96" s="45">
        <v>-0.92626173971967207</v>
      </c>
      <c r="CD96" s="199">
        <v>7.6069605392943602</v>
      </c>
      <c r="CE96" s="45">
        <v>-40.758354707123942</v>
      </c>
      <c r="CF96" s="45">
        <v>2.3539764790020557E-2</v>
      </c>
      <c r="CG96" s="45">
        <v>0</v>
      </c>
      <c r="CH96" s="45">
        <v>2.3539764790020557E-2</v>
      </c>
      <c r="CI96" s="45">
        <v>1.1769851211709426E-3</v>
      </c>
      <c r="CJ96" s="45">
        <v>0</v>
      </c>
      <c r="CK96" s="45">
        <v>1.1769851211709426E-3</v>
      </c>
      <c r="CL96" s="45"/>
      <c r="CM96" s="45">
        <v>0</v>
      </c>
      <c r="CN96" s="45"/>
      <c r="CO96" s="45">
        <v>0</v>
      </c>
      <c r="CP96" s="45">
        <v>0</v>
      </c>
      <c r="CQ96" s="45">
        <v>0</v>
      </c>
      <c r="CR96" s="45">
        <v>0</v>
      </c>
      <c r="CS96" s="45">
        <v>0</v>
      </c>
      <c r="CT96" s="45">
        <v>0</v>
      </c>
      <c r="CU96" s="45">
        <v>0</v>
      </c>
      <c r="CV96" s="45">
        <v>9999</v>
      </c>
      <c r="CW96" s="199">
        <v>9999</v>
      </c>
      <c r="CX96" s="24"/>
      <c r="CY96" s="24"/>
      <c r="CZ96" s="24"/>
      <c r="DA96" s="24"/>
      <c r="DB96" s="24"/>
      <c r="DC96" s="24"/>
      <c r="DD96" s="24"/>
      <c r="DE96" s="24"/>
      <c r="DF96" s="24"/>
      <c r="DG96" s="24"/>
      <c r="DH96" s="24"/>
      <c r="DI96" s="24"/>
      <c r="DJ96" s="24"/>
      <c r="DK96" s="24"/>
      <c r="DL96" s="24"/>
      <c r="DM96" s="24"/>
      <c r="DN96" s="24"/>
      <c r="DO96" s="24"/>
      <c r="DP96" s="24"/>
      <c r="DQ96" s="24"/>
      <c r="DR96" s="24"/>
      <c r="DS96" s="24"/>
      <c r="DT96" s="24"/>
      <c r="DU96" s="24"/>
      <c r="DV96" s="24"/>
      <c r="DW96" s="24"/>
      <c r="DX96" s="24"/>
      <c r="DY96" s="24"/>
      <c r="DZ96" s="24"/>
      <c r="EA96" s="24"/>
    </row>
    <row r="97" spans="1:131">
      <c r="A97" s="24" t="s">
        <v>423</v>
      </c>
      <c r="B97" s="24"/>
      <c r="C97" s="45">
        <v>11.627906976744185</v>
      </c>
      <c r="D97" s="45">
        <v>51.403081848075573</v>
      </c>
      <c r="E97" s="45">
        <v>0</v>
      </c>
      <c r="F97" s="45">
        <v>5.3072521232113603</v>
      </c>
      <c r="G97" s="45">
        <v>0</v>
      </c>
      <c r="H97" s="45">
        <v>-2.3589192204985965</v>
      </c>
      <c r="I97" s="45"/>
      <c r="J97" s="45"/>
      <c r="K97" s="45"/>
      <c r="L97" s="45">
        <v>55.109130131336691</v>
      </c>
      <c r="M97" s="45">
        <v>1.2863283886728799E-2</v>
      </c>
      <c r="N97" s="45">
        <v>1.2770442472091442E-2</v>
      </c>
      <c r="O97" s="45">
        <v>0</v>
      </c>
      <c r="P97" s="45">
        <v>0</v>
      </c>
      <c r="Q97" s="45">
        <v>0</v>
      </c>
      <c r="R97" s="45">
        <v>1.0583369703073617</v>
      </c>
      <c r="S97" s="45">
        <v>2.4456557662358143</v>
      </c>
      <c r="T97" s="45">
        <v>0</v>
      </c>
      <c r="U97" s="45">
        <v>5.1771962875886182</v>
      </c>
      <c r="V97" s="45">
        <v>0.31843512739268165</v>
      </c>
      <c r="W97" s="45">
        <v>0.74301529724959048</v>
      </c>
      <c r="X97" s="45">
        <v>0</v>
      </c>
      <c r="Y97" s="45">
        <v>0</v>
      </c>
      <c r="Z97" s="45">
        <v>0</v>
      </c>
      <c r="AA97" s="45">
        <v>0</v>
      </c>
      <c r="AB97" s="45">
        <v>0</v>
      </c>
      <c r="AC97" s="45">
        <v>0</v>
      </c>
      <c r="AD97" s="45">
        <v>0</v>
      </c>
      <c r="AE97" s="45">
        <v>0</v>
      </c>
      <c r="AF97" s="45">
        <v>0</v>
      </c>
      <c r="AG97" s="45">
        <v>-2.3589192204985965</v>
      </c>
      <c r="AH97" s="45">
        <v>1.3767720977000435</v>
      </c>
      <c r="AI97" s="45">
        <v>3.1886710634854047</v>
      </c>
      <c r="AJ97" s="45">
        <v>0</v>
      </c>
      <c r="AK97" s="45">
        <v>2.8182770670900217</v>
      </c>
      <c r="AL97" s="45">
        <v>7.383720228275469</v>
      </c>
      <c r="AM97" s="45">
        <v>26.414364758668693</v>
      </c>
      <c r="AN97" s="45">
        <v>4.5452218731038272</v>
      </c>
      <c r="AO97" s="45">
        <v>0</v>
      </c>
      <c r="AP97" s="45">
        <v>0</v>
      </c>
      <c r="AQ97" s="45">
        <v>30.95958663177252</v>
      </c>
      <c r="AR97" s="45">
        <v>1.3767720977000435</v>
      </c>
      <c r="AS97" s="199">
        <v>22.487081691655309</v>
      </c>
      <c r="AT97" s="45">
        <v>26.414364758668693</v>
      </c>
      <c r="AU97" s="45">
        <v>5.3801889037261148</v>
      </c>
      <c r="AV97" s="45">
        <v>0</v>
      </c>
      <c r="AW97" s="45">
        <v>0</v>
      </c>
      <c r="AX97" s="45">
        <v>31.794553662394808</v>
      </c>
      <c r="AY97" s="45">
        <v>3.1886710634854047</v>
      </c>
      <c r="AZ97" s="199">
        <v>9.9710986267870148</v>
      </c>
      <c r="BA97" s="45">
        <v>26.414364758668693</v>
      </c>
      <c r="BB97" s="45">
        <v>9.925410776829942</v>
      </c>
      <c r="BC97" s="45">
        <v>0</v>
      </c>
      <c r="BD97" s="45">
        <v>0</v>
      </c>
      <c r="BE97" s="45">
        <v>36.339775535498632</v>
      </c>
      <c r="BF97" s="45">
        <v>4.5654431611854482</v>
      </c>
      <c r="BG97" s="45">
        <v>-7.1566326291843181</v>
      </c>
      <c r="BH97" s="199">
        <v>7.95974766358996</v>
      </c>
      <c r="BI97" s="45">
        <v>1.838267098590656</v>
      </c>
      <c r="BJ97" s="45">
        <v>4.2575159055194378</v>
      </c>
      <c r="BK97" s="45">
        <v>0</v>
      </c>
      <c r="BL97" s="45">
        <v>3.7629655741853099</v>
      </c>
      <c r="BM97" s="45">
        <v>9.8587485782954012</v>
      </c>
      <c r="BN97" s="45">
        <v>26.414364758668693</v>
      </c>
      <c r="BO97" s="45">
        <v>0</v>
      </c>
      <c r="BP97" s="45">
        <v>9.925410776829942</v>
      </c>
      <c r="BQ97" s="45">
        <v>0</v>
      </c>
      <c r="BR97" s="45">
        <v>0</v>
      </c>
      <c r="BS97" s="45">
        <v>0</v>
      </c>
      <c r="BT97" s="45">
        <v>0</v>
      </c>
      <c r="BU97" s="45">
        <v>0</v>
      </c>
      <c r="BV97" s="45">
        <v>0</v>
      </c>
      <c r="BW97" s="45">
        <v>0</v>
      </c>
      <c r="BX97" s="45">
        <v>8.6811890241317933</v>
      </c>
      <c r="BY97" s="45">
        <v>1.061450424642272</v>
      </c>
      <c r="BZ97" s="45">
        <v>0</v>
      </c>
      <c r="CA97" s="45">
        <v>-2.3589192204985965</v>
      </c>
      <c r="CB97" s="45">
        <v>36.339775535498632</v>
      </c>
      <c r="CC97" s="45">
        <v>7.383720228275469</v>
      </c>
      <c r="CD97" s="199">
        <v>3.9720955455112072</v>
      </c>
      <c r="CE97" s="45">
        <v>-3.3936670549990122</v>
      </c>
      <c r="CF97" s="45">
        <v>0.52353812331736238</v>
      </c>
      <c r="CG97" s="45">
        <v>0</v>
      </c>
      <c r="CH97" s="45">
        <v>0.52353812331736238</v>
      </c>
      <c r="CI97" s="45">
        <v>2.6176836812384929E-2</v>
      </c>
      <c r="CJ97" s="45">
        <v>0</v>
      </c>
      <c r="CK97" s="45">
        <v>2.6176836812384929E-2</v>
      </c>
      <c r="CL97" s="45"/>
      <c r="CM97" s="45">
        <v>0</v>
      </c>
      <c r="CN97" s="45"/>
      <c r="CO97" s="45">
        <v>0</v>
      </c>
      <c r="CP97" s="45">
        <v>0</v>
      </c>
      <c r="CQ97" s="45">
        <v>0</v>
      </c>
      <c r="CR97" s="45">
        <v>0</v>
      </c>
      <c r="CS97" s="45">
        <v>0</v>
      </c>
      <c r="CT97" s="45">
        <v>0</v>
      </c>
      <c r="CU97" s="45">
        <v>0</v>
      </c>
      <c r="CV97" s="45">
        <v>9999</v>
      </c>
      <c r="CW97" s="199">
        <v>9999</v>
      </c>
      <c r="CX97" s="24"/>
      <c r="CY97" s="24"/>
      <c r="CZ97" s="24"/>
      <c r="DA97" s="24"/>
      <c r="DB97" s="24"/>
      <c r="DC97" s="24"/>
      <c r="DD97" s="24"/>
      <c r="DE97" s="24"/>
      <c r="DF97" s="24"/>
      <c r="DG97" s="24"/>
      <c r="DH97" s="24"/>
      <c r="DI97" s="24"/>
      <c r="DJ97" s="24"/>
      <c r="DK97" s="24"/>
      <c r="DL97" s="24"/>
      <c r="DM97" s="24"/>
      <c r="DN97" s="24"/>
      <c r="DO97" s="24"/>
      <c r="DP97" s="24"/>
      <c r="DQ97" s="24"/>
      <c r="DR97" s="24"/>
      <c r="DS97" s="24"/>
      <c r="DT97" s="24"/>
      <c r="DU97" s="24"/>
      <c r="DV97" s="24"/>
      <c r="DW97" s="24"/>
      <c r="DX97" s="24"/>
      <c r="DY97" s="24"/>
      <c r="DZ97" s="24"/>
      <c r="EA97" s="24"/>
    </row>
    <row r="98" spans="1:131">
      <c r="A98" s="24" t="s">
        <v>413</v>
      </c>
      <c r="B98" s="24"/>
      <c r="C98" s="45">
        <v>11.627906976744185</v>
      </c>
      <c r="D98" s="45">
        <v>130.19651169604927</v>
      </c>
      <c r="E98" s="45">
        <v>0</v>
      </c>
      <c r="F98" s="45">
        <v>14.537319798098604</v>
      </c>
      <c r="G98" s="45">
        <v>0</v>
      </c>
      <c r="H98" s="45">
        <v>-5.5848064724719757</v>
      </c>
      <c r="I98" s="45"/>
      <c r="J98" s="45"/>
      <c r="K98" s="45"/>
      <c r="L98" s="45">
        <v>139.58339165168746</v>
      </c>
      <c r="M98" s="45">
        <v>3.2580822604331608E-2</v>
      </c>
      <c r="N98" s="45">
        <v>3.2345668837434206E-2</v>
      </c>
      <c r="O98" s="45">
        <v>0</v>
      </c>
      <c r="P98" s="45">
        <v>0</v>
      </c>
      <c r="Q98" s="45">
        <v>0</v>
      </c>
      <c r="R98" s="45">
        <v>2.8989357645589631</v>
      </c>
      <c r="S98" s="45">
        <v>6.6989996262549925</v>
      </c>
      <c r="T98" s="45">
        <v>0</v>
      </c>
      <c r="U98" s="45">
        <v>14.181078332616323</v>
      </c>
      <c r="V98" s="45">
        <v>0.87223918788591626</v>
      </c>
      <c r="W98" s="45">
        <v>2.0352247717338048</v>
      </c>
      <c r="X98" s="45">
        <v>0</v>
      </c>
      <c r="Y98" s="45">
        <v>0</v>
      </c>
      <c r="Z98" s="45">
        <v>0</v>
      </c>
      <c r="AA98" s="45">
        <v>0</v>
      </c>
      <c r="AB98" s="45">
        <v>0</v>
      </c>
      <c r="AC98" s="45">
        <v>0</v>
      </c>
      <c r="AD98" s="45">
        <v>0</v>
      </c>
      <c r="AE98" s="45">
        <v>0</v>
      </c>
      <c r="AF98" s="45">
        <v>0</v>
      </c>
      <c r="AG98" s="45">
        <v>-5.5848064724719757</v>
      </c>
      <c r="AH98" s="45">
        <v>3.7711749524448792</v>
      </c>
      <c r="AI98" s="45">
        <v>8.7342243979887968</v>
      </c>
      <c r="AJ98" s="45">
        <v>0</v>
      </c>
      <c r="AK98" s="45">
        <v>8.5962718601443484</v>
      </c>
      <c r="AL98" s="45">
        <v>21.101671210578022</v>
      </c>
      <c r="AM98" s="45">
        <v>66.903734690655924</v>
      </c>
      <c r="AN98" s="45">
        <v>11.512384306289528</v>
      </c>
      <c r="AO98" s="45">
        <v>0</v>
      </c>
      <c r="AP98" s="45">
        <v>0</v>
      </c>
      <c r="AQ98" s="45">
        <v>78.416118996945457</v>
      </c>
      <c r="AR98" s="45">
        <v>3.7711749524448792</v>
      </c>
      <c r="AS98" s="199">
        <v>20.793551077790156</v>
      </c>
      <c r="AT98" s="45">
        <v>66.903734690655924</v>
      </c>
      <c r="AU98" s="45">
        <v>13.62723405575645</v>
      </c>
      <c r="AV98" s="45">
        <v>0</v>
      </c>
      <c r="AW98" s="45">
        <v>0</v>
      </c>
      <c r="AX98" s="45">
        <v>80.53096874641237</v>
      </c>
      <c r="AY98" s="45">
        <v>8.7342243979887968</v>
      </c>
      <c r="AZ98" s="199">
        <v>9.2201625555848992</v>
      </c>
      <c r="BA98" s="45">
        <v>66.903734690655924</v>
      </c>
      <c r="BB98" s="45">
        <v>25.139618362045979</v>
      </c>
      <c r="BC98" s="45">
        <v>0</v>
      </c>
      <c r="BD98" s="45">
        <v>0</v>
      </c>
      <c r="BE98" s="45">
        <v>92.043353052701903</v>
      </c>
      <c r="BF98" s="45">
        <v>12.505399350433676</v>
      </c>
      <c r="BG98" s="45">
        <v>-6.6601616274627435</v>
      </c>
      <c r="BH98" s="199">
        <v>7.3602889818556596</v>
      </c>
      <c r="BI98" s="45">
        <v>1.9879847488504783</v>
      </c>
      <c r="BJ98" s="45">
        <v>4.6042692569811958</v>
      </c>
      <c r="BK98" s="45">
        <v>0</v>
      </c>
      <c r="BL98" s="45">
        <v>4.5315472155065128</v>
      </c>
      <c r="BM98" s="45">
        <v>11.123801221338184</v>
      </c>
      <c r="BN98" s="45">
        <v>66.903734690655924</v>
      </c>
      <c r="BO98" s="45">
        <v>0</v>
      </c>
      <c r="BP98" s="45">
        <v>25.139618362045979</v>
      </c>
      <c r="BQ98" s="45">
        <v>0</v>
      </c>
      <c r="BR98" s="45">
        <v>0</v>
      </c>
      <c r="BS98" s="45">
        <v>0</v>
      </c>
      <c r="BT98" s="45">
        <v>0</v>
      </c>
      <c r="BU98" s="45">
        <v>0</v>
      </c>
      <c r="BV98" s="45">
        <v>0</v>
      </c>
      <c r="BW98" s="45">
        <v>0</v>
      </c>
      <c r="BX98" s="45">
        <v>23.779013723430278</v>
      </c>
      <c r="BY98" s="45">
        <v>2.9074639596197209</v>
      </c>
      <c r="BZ98" s="45">
        <v>0</v>
      </c>
      <c r="CA98" s="45">
        <v>-5.5848064724719757</v>
      </c>
      <c r="CB98" s="45">
        <v>92.043353052701903</v>
      </c>
      <c r="CC98" s="45">
        <v>21.101671210578026</v>
      </c>
      <c r="CD98" s="199">
        <v>3.6583381548019998</v>
      </c>
      <c r="CE98" s="45">
        <v>-2.1286144119562276</v>
      </c>
      <c r="CF98" s="45">
        <v>1.3260457339362539</v>
      </c>
      <c r="CG98" s="45">
        <v>0</v>
      </c>
      <c r="CH98" s="45">
        <v>1.3260457339362539</v>
      </c>
      <c r="CI98" s="45">
        <v>6.6302111034551553E-2</v>
      </c>
      <c r="CJ98" s="45">
        <v>0</v>
      </c>
      <c r="CK98" s="45">
        <v>6.6302111034551553E-2</v>
      </c>
      <c r="CL98" s="45"/>
      <c r="CM98" s="45">
        <v>0</v>
      </c>
      <c r="CN98" s="45"/>
      <c r="CO98" s="45">
        <v>0</v>
      </c>
      <c r="CP98" s="45">
        <v>0</v>
      </c>
      <c r="CQ98" s="45">
        <v>0</v>
      </c>
      <c r="CR98" s="45">
        <v>0</v>
      </c>
      <c r="CS98" s="45">
        <v>0</v>
      </c>
      <c r="CT98" s="45">
        <v>0</v>
      </c>
      <c r="CU98" s="45">
        <v>0</v>
      </c>
      <c r="CV98" s="45">
        <v>9999</v>
      </c>
      <c r="CW98" s="199">
        <v>9999</v>
      </c>
      <c r="CX98" s="24"/>
      <c r="CY98" s="24"/>
      <c r="CZ98" s="24"/>
      <c r="DA98" s="24"/>
      <c r="DB98" s="24"/>
      <c r="DC98" s="24"/>
      <c r="DD98" s="24"/>
      <c r="DE98" s="24"/>
      <c r="DF98" s="24"/>
      <c r="DG98" s="24"/>
      <c r="DH98" s="24"/>
      <c r="DI98" s="24"/>
      <c r="DJ98" s="24"/>
      <c r="DK98" s="24"/>
      <c r="DL98" s="24"/>
      <c r="DM98" s="24"/>
      <c r="DN98" s="24"/>
      <c r="DO98" s="24"/>
      <c r="DP98" s="24"/>
      <c r="DQ98" s="24"/>
      <c r="DR98" s="24"/>
      <c r="DS98" s="24"/>
      <c r="DT98" s="24"/>
      <c r="DU98" s="24"/>
      <c r="DV98" s="24"/>
      <c r="DW98" s="24"/>
      <c r="DX98" s="24"/>
      <c r="DY98" s="24"/>
      <c r="DZ98" s="24"/>
      <c r="EA98" s="24"/>
    </row>
    <row r="99" spans="1:131">
      <c r="A99" s="24" t="s">
        <v>425</v>
      </c>
      <c r="B99" s="24"/>
      <c r="C99" s="45">
        <v>16.279069767441861</v>
      </c>
      <c r="D99" s="45">
        <v>28.880984703126135</v>
      </c>
      <c r="E99" s="45">
        <v>0</v>
      </c>
      <c r="F99" s="45">
        <v>5.9720678877064044</v>
      </c>
      <c r="G99" s="45">
        <v>0</v>
      </c>
      <c r="H99" s="45">
        <v>-1.9132235365066426</v>
      </c>
      <c r="I99" s="45"/>
      <c r="J99" s="45"/>
      <c r="K99" s="45"/>
      <c r="L99" s="45">
        <v>30.963239695039977</v>
      </c>
      <c r="M99" s="45">
        <v>7.2272768831756675E-3</v>
      </c>
      <c r="N99" s="45">
        <v>7.1751136396588106E-3</v>
      </c>
      <c r="O99" s="45">
        <v>0</v>
      </c>
      <c r="P99" s="45">
        <v>0</v>
      </c>
      <c r="Q99" s="45">
        <v>0</v>
      </c>
      <c r="R99" s="45">
        <v>1.1909101146905077</v>
      </c>
      <c r="S99" s="45">
        <v>2.7520121386438308</v>
      </c>
      <c r="T99" s="45">
        <v>0</v>
      </c>
      <c r="U99" s="45">
        <v>3.5046909842984943</v>
      </c>
      <c r="V99" s="45">
        <v>0.35832407326238425</v>
      </c>
      <c r="W99" s="45">
        <v>0.83608950427889661</v>
      </c>
      <c r="X99" s="45">
        <v>0</v>
      </c>
      <c r="Y99" s="45">
        <v>0</v>
      </c>
      <c r="Z99" s="45">
        <v>0</v>
      </c>
      <c r="AA99" s="45">
        <v>0</v>
      </c>
      <c r="AB99" s="45">
        <v>0</v>
      </c>
      <c r="AC99" s="45">
        <v>0</v>
      </c>
      <c r="AD99" s="45">
        <v>0</v>
      </c>
      <c r="AE99" s="45">
        <v>0</v>
      </c>
      <c r="AF99" s="45">
        <v>0</v>
      </c>
      <c r="AG99" s="45">
        <v>-1.9132235365066426</v>
      </c>
      <c r="AH99" s="45">
        <v>1.5492341879528919</v>
      </c>
      <c r="AI99" s="45">
        <v>3.5881016429227275</v>
      </c>
      <c r="AJ99" s="45">
        <v>0</v>
      </c>
      <c r="AK99" s="45">
        <v>1.5914674477918518</v>
      </c>
      <c r="AL99" s="45">
        <v>6.7288032786674714</v>
      </c>
      <c r="AM99" s="45">
        <v>14.840994685739142</v>
      </c>
      <c r="AN99" s="45">
        <v>2.5537473371227533</v>
      </c>
      <c r="AO99" s="45">
        <v>0</v>
      </c>
      <c r="AP99" s="45">
        <v>0</v>
      </c>
      <c r="AQ99" s="45">
        <v>17.394742022861895</v>
      </c>
      <c r="AR99" s="45">
        <v>1.5492341879528919</v>
      </c>
      <c r="AS99" s="199">
        <v>11.227961632996717</v>
      </c>
      <c r="AT99" s="45">
        <v>14.840994685739142</v>
      </c>
      <c r="AU99" s="45">
        <v>3.0228762136809548</v>
      </c>
      <c r="AV99" s="45">
        <v>0</v>
      </c>
      <c r="AW99" s="45">
        <v>0</v>
      </c>
      <c r="AX99" s="45">
        <v>17.863870899420096</v>
      </c>
      <c r="AY99" s="45">
        <v>3.5881016429227275</v>
      </c>
      <c r="AZ99" s="199">
        <v>4.9786412641501663</v>
      </c>
      <c r="BA99" s="45">
        <v>14.840994685739142</v>
      </c>
      <c r="BB99" s="45">
        <v>5.5766235508037081</v>
      </c>
      <c r="BC99" s="45">
        <v>0</v>
      </c>
      <c r="BD99" s="45">
        <v>0</v>
      </c>
      <c r="BE99" s="45">
        <v>20.41761823654285</v>
      </c>
      <c r="BF99" s="45">
        <v>5.1373358308756192</v>
      </c>
      <c r="BG99" s="45">
        <v>-1.0439333754652038</v>
      </c>
      <c r="BH99" s="199">
        <v>3.974359261045783</v>
      </c>
      <c r="BI99" s="45">
        <v>3.6816355246181409</v>
      </c>
      <c r="BJ99" s="45">
        <v>8.5268467332110749</v>
      </c>
      <c r="BK99" s="45">
        <v>0</v>
      </c>
      <c r="BL99" s="45">
        <v>3.7819996083394014</v>
      </c>
      <c r="BM99" s="45">
        <v>15.990481866168617</v>
      </c>
      <c r="BN99" s="45">
        <v>14.840994685739142</v>
      </c>
      <c r="BO99" s="45">
        <v>0</v>
      </c>
      <c r="BP99" s="45">
        <v>5.5766235508037081</v>
      </c>
      <c r="BQ99" s="45">
        <v>0</v>
      </c>
      <c r="BR99" s="45">
        <v>0</v>
      </c>
      <c r="BS99" s="45">
        <v>0</v>
      </c>
      <c r="BT99" s="45">
        <v>0</v>
      </c>
      <c r="BU99" s="45">
        <v>0</v>
      </c>
      <c r="BV99" s="45">
        <v>0</v>
      </c>
      <c r="BW99" s="45">
        <v>0</v>
      </c>
      <c r="BX99" s="45">
        <v>7.447613237632833</v>
      </c>
      <c r="BY99" s="45">
        <v>1.194413577541281</v>
      </c>
      <c r="BZ99" s="45">
        <v>0</v>
      </c>
      <c r="CA99" s="45">
        <v>-1.9132235365066426</v>
      </c>
      <c r="CB99" s="45">
        <v>20.41761823654285</v>
      </c>
      <c r="CC99" s="45">
        <v>6.7288032786674723</v>
      </c>
      <c r="CD99" s="199">
        <v>2.5839820045269772</v>
      </c>
      <c r="CE99" s="45">
        <v>2.7380662328742003</v>
      </c>
      <c r="CF99" s="45">
        <v>0.29415155643237295</v>
      </c>
      <c r="CG99" s="45">
        <v>0</v>
      </c>
      <c r="CH99" s="45">
        <v>0.29415155643237295</v>
      </c>
      <c r="CI99" s="45">
        <v>1.4707538855143995E-2</v>
      </c>
      <c r="CJ99" s="45">
        <v>0</v>
      </c>
      <c r="CK99" s="45">
        <v>1.4707538855143995E-2</v>
      </c>
      <c r="CL99" s="45"/>
      <c r="CM99" s="45">
        <v>0</v>
      </c>
      <c r="CN99" s="45"/>
      <c r="CO99" s="45">
        <v>0</v>
      </c>
      <c r="CP99" s="45">
        <v>0</v>
      </c>
      <c r="CQ99" s="45">
        <v>0</v>
      </c>
      <c r="CR99" s="45">
        <v>0</v>
      </c>
      <c r="CS99" s="45">
        <v>0</v>
      </c>
      <c r="CT99" s="45">
        <v>0</v>
      </c>
      <c r="CU99" s="45">
        <v>0</v>
      </c>
      <c r="CV99" s="45">
        <v>9999</v>
      </c>
      <c r="CW99" s="199">
        <v>9999</v>
      </c>
      <c r="CX99" s="24"/>
      <c r="CY99" s="24"/>
      <c r="CZ99" s="24"/>
      <c r="DA99" s="24"/>
      <c r="DB99" s="24"/>
      <c r="DC99" s="24"/>
      <c r="DD99" s="24"/>
      <c r="DE99" s="24"/>
      <c r="DF99" s="24"/>
      <c r="DG99" s="24"/>
      <c r="DH99" s="24"/>
      <c r="DI99" s="24"/>
      <c r="DJ99" s="24"/>
      <c r="DK99" s="24"/>
      <c r="DL99" s="24"/>
      <c r="DM99" s="24"/>
      <c r="DN99" s="24"/>
      <c r="DO99" s="24"/>
      <c r="DP99" s="24"/>
      <c r="DQ99" s="24"/>
      <c r="DR99" s="24"/>
      <c r="DS99" s="24"/>
      <c r="DT99" s="24"/>
      <c r="DU99" s="24"/>
      <c r="DV99" s="24"/>
      <c r="DW99" s="24"/>
      <c r="DX99" s="24"/>
      <c r="DY99" s="24"/>
      <c r="DZ99" s="24"/>
      <c r="EA99" s="24"/>
    </row>
    <row r="100" spans="1:131">
      <c r="A100" s="24" t="s">
        <v>424</v>
      </c>
      <c r="B100" s="24"/>
      <c r="C100" s="45">
        <v>11.627906976744187</v>
      </c>
      <c r="D100" s="45">
        <v>6.2518603404583653</v>
      </c>
      <c r="E100" s="45">
        <v>0</v>
      </c>
      <c r="F100" s="45">
        <v>1.0527185054529571</v>
      </c>
      <c r="G100" s="45">
        <v>0</v>
      </c>
      <c r="H100" s="45">
        <v>-0.12603545489407003</v>
      </c>
      <c r="I100" s="45"/>
      <c r="J100" s="45"/>
      <c r="K100" s="45"/>
      <c r="L100" s="45">
        <v>6.702605615817987</v>
      </c>
      <c r="M100" s="45">
        <v>1.5644870207817637E-3</v>
      </c>
      <c r="N100" s="45">
        <v>1.5531952550499185E-3</v>
      </c>
      <c r="O100" s="45">
        <v>0</v>
      </c>
      <c r="P100" s="45">
        <v>0</v>
      </c>
      <c r="Q100" s="45">
        <v>0</v>
      </c>
      <c r="R100" s="45">
        <v>0.20992613272976152</v>
      </c>
      <c r="S100" s="45">
        <v>0.48510736315393255</v>
      </c>
      <c r="T100" s="45">
        <v>0</v>
      </c>
      <c r="U100" s="45">
        <v>1.0269213166773528</v>
      </c>
      <c r="V100" s="45">
        <v>6.3163110327177432E-2</v>
      </c>
      <c r="W100" s="45">
        <v>0.147380590763414</v>
      </c>
      <c r="X100" s="45">
        <v>0</v>
      </c>
      <c r="Y100" s="45">
        <v>0</v>
      </c>
      <c r="Z100" s="45">
        <v>0</v>
      </c>
      <c r="AA100" s="45">
        <v>0</v>
      </c>
      <c r="AB100" s="45">
        <v>0</v>
      </c>
      <c r="AC100" s="45">
        <v>0</v>
      </c>
      <c r="AD100" s="45">
        <v>0</v>
      </c>
      <c r="AE100" s="45">
        <v>0</v>
      </c>
      <c r="AF100" s="45">
        <v>0</v>
      </c>
      <c r="AG100" s="45">
        <v>-0.12603545489407003</v>
      </c>
      <c r="AH100" s="45">
        <v>0.27308924305693894</v>
      </c>
      <c r="AI100" s="45">
        <v>0.63248795391734658</v>
      </c>
      <c r="AJ100" s="45">
        <v>0</v>
      </c>
      <c r="AK100" s="45">
        <v>0.90088586178328267</v>
      </c>
      <c r="AL100" s="45">
        <v>1.8064630587575683</v>
      </c>
      <c r="AM100" s="45">
        <v>3.212626821504565</v>
      </c>
      <c r="AN100" s="45">
        <v>0.55280911854715076</v>
      </c>
      <c r="AO100" s="45">
        <v>0</v>
      </c>
      <c r="AP100" s="45">
        <v>0</v>
      </c>
      <c r="AQ100" s="45">
        <v>3.7654359400517157</v>
      </c>
      <c r="AR100" s="45">
        <v>0.27308924305693894</v>
      </c>
      <c r="AS100" s="199">
        <v>13.788298278986495</v>
      </c>
      <c r="AT100" s="45">
        <v>3.212626821504565</v>
      </c>
      <c r="AU100" s="45">
        <v>0.6543613422010951</v>
      </c>
      <c r="AV100" s="45">
        <v>0</v>
      </c>
      <c r="AW100" s="45">
        <v>0</v>
      </c>
      <c r="AX100" s="45">
        <v>3.8669881637056602</v>
      </c>
      <c r="AY100" s="45">
        <v>0.63248795391734658</v>
      </c>
      <c r="AZ100" s="199">
        <v>6.1139317195770619</v>
      </c>
      <c r="BA100" s="45">
        <v>3.212626821504565</v>
      </c>
      <c r="BB100" s="45">
        <v>1.2071704607482459</v>
      </c>
      <c r="BC100" s="45">
        <v>0</v>
      </c>
      <c r="BD100" s="45">
        <v>0</v>
      </c>
      <c r="BE100" s="45">
        <v>4.4197972822528113</v>
      </c>
      <c r="BF100" s="45">
        <v>0.90557719697428563</v>
      </c>
      <c r="BG100" s="45">
        <v>-3.3109154122748685</v>
      </c>
      <c r="BH100" s="199">
        <v>4.8806410950057462</v>
      </c>
      <c r="BI100" s="45">
        <v>2.9979959513995058</v>
      </c>
      <c r="BJ100" s="45">
        <v>6.9435042696200471</v>
      </c>
      <c r="BK100" s="45">
        <v>0</v>
      </c>
      <c r="BL100" s="45">
        <v>9.8899983612178026</v>
      </c>
      <c r="BM100" s="45">
        <v>19.831498582237359</v>
      </c>
      <c r="BN100" s="45">
        <v>3.212626821504565</v>
      </c>
      <c r="BO100" s="45">
        <v>0</v>
      </c>
      <c r="BP100" s="45">
        <v>1.2071704607482459</v>
      </c>
      <c r="BQ100" s="45">
        <v>0</v>
      </c>
      <c r="BR100" s="45">
        <v>0</v>
      </c>
      <c r="BS100" s="45">
        <v>0</v>
      </c>
      <c r="BT100" s="45">
        <v>0</v>
      </c>
      <c r="BU100" s="45">
        <v>0</v>
      </c>
      <c r="BV100" s="45">
        <v>0</v>
      </c>
      <c r="BW100" s="45">
        <v>0</v>
      </c>
      <c r="BX100" s="45">
        <v>1.7219548125610469</v>
      </c>
      <c r="BY100" s="45">
        <v>0.21054370109059142</v>
      </c>
      <c r="BZ100" s="45">
        <v>0</v>
      </c>
      <c r="CA100" s="45">
        <v>-0.12603545489407003</v>
      </c>
      <c r="CB100" s="45">
        <v>4.4197972822528104</v>
      </c>
      <c r="CC100" s="45">
        <v>1.8064630587575683</v>
      </c>
      <c r="CD100" s="199">
        <v>2.3523085296231874</v>
      </c>
      <c r="CE100" s="45">
        <v>6.5790829489429443</v>
      </c>
      <c r="CF100" s="45">
        <v>6.3674922051553298E-2</v>
      </c>
      <c r="CG100" s="45">
        <v>0</v>
      </c>
      <c r="CH100" s="45">
        <v>6.3674922051553298E-2</v>
      </c>
      <c r="CI100" s="45">
        <v>3.1837376675135452E-3</v>
      </c>
      <c r="CJ100" s="45">
        <v>0</v>
      </c>
      <c r="CK100" s="45">
        <v>3.1837376675135452E-3</v>
      </c>
      <c r="CL100" s="45"/>
      <c r="CM100" s="45">
        <v>0</v>
      </c>
      <c r="CN100" s="45"/>
      <c r="CO100" s="45">
        <v>0</v>
      </c>
      <c r="CP100" s="45">
        <v>0</v>
      </c>
      <c r="CQ100" s="45">
        <v>0</v>
      </c>
      <c r="CR100" s="45">
        <v>0</v>
      </c>
      <c r="CS100" s="45">
        <v>0</v>
      </c>
      <c r="CT100" s="45">
        <v>0</v>
      </c>
      <c r="CU100" s="45">
        <v>0</v>
      </c>
      <c r="CV100" s="45">
        <v>9999</v>
      </c>
      <c r="CW100" s="199">
        <v>9999</v>
      </c>
      <c r="CX100" s="24"/>
      <c r="CY100" s="24"/>
      <c r="CZ100" s="24"/>
      <c r="DA100" s="24"/>
      <c r="DB100" s="24"/>
      <c r="DC100" s="24"/>
      <c r="DD100" s="24"/>
      <c r="DE100" s="24"/>
      <c r="DF100" s="24"/>
      <c r="DG100" s="24"/>
      <c r="DH100" s="24"/>
      <c r="DI100" s="24"/>
      <c r="DJ100" s="24"/>
      <c r="DK100" s="24"/>
      <c r="DL100" s="24"/>
      <c r="DM100" s="24"/>
      <c r="DN100" s="24"/>
      <c r="DO100" s="24"/>
      <c r="DP100" s="24"/>
      <c r="DQ100" s="24"/>
      <c r="DR100" s="24"/>
      <c r="DS100" s="24"/>
      <c r="DT100" s="24"/>
      <c r="DU100" s="24"/>
      <c r="DV100" s="24"/>
      <c r="DW100" s="24"/>
      <c r="DX100" s="24"/>
      <c r="DY100" s="24"/>
      <c r="DZ100" s="24"/>
      <c r="EA100" s="24"/>
    </row>
    <row r="101" spans="1:131">
      <c r="A101" s="24" t="s">
        <v>426</v>
      </c>
      <c r="B101" s="24"/>
      <c r="C101" s="45">
        <v>16.279069767441861</v>
      </c>
      <c r="D101" s="45">
        <v>28.880984703126135</v>
      </c>
      <c r="E101" s="45">
        <v>0</v>
      </c>
      <c r="F101" s="45">
        <v>6.677762119662626</v>
      </c>
      <c r="G101" s="45">
        <v>0</v>
      </c>
      <c r="H101" s="45">
        <v>-1.9132235365066426</v>
      </c>
      <c r="I101" s="45"/>
      <c r="J101" s="45"/>
      <c r="K101" s="45"/>
      <c r="L101" s="45">
        <v>30.963239695039977</v>
      </c>
      <c r="M101" s="45">
        <v>7.2272768831756675E-3</v>
      </c>
      <c r="N101" s="45">
        <v>7.1751136396588106E-3</v>
      </c>
      <c r="O101" s="45">
        <v>0</v>
      </c>
      <c r="P101" s="45">
        <v>0</v>
      </c>
      <c r="Q101" s="45">
        <v>0</v>
      </c>
      <c r="R101" s="45">
        <v>1.3316349715605087</v>
      </c>
      <c r="S101" s="45">
        <v>3.0772058787404997</v>
      </c>
      <c r="T101" s="45">
        <v>0</v>
      </c>
      <c r="U101" s="45">
        <v>3.9188256289329972</v>
      </c>
      <c r="V101" s="45">
        <v>0.40066572717975757</v>
      </c>
      <c r="W101" s="45">
        <v>0.93488669675276759</v>
      </c>
      <c r="X101" s="45">
        <v>0</v>
      </c>
      <c r="Y101" s="45">
        <v>0</v>
      </c>
      <c r="Z101" s="45">
        <v>0</v>
      </c>
      <c r="AA101" s="45">
        <v>0</v>
      </c>
      <c r="AB101" s="45">
        <v>0</v>
      </c>
      <c r="AC101" s="45">
        <v>0</v>
      </c>
      <c r="AD101" s="45">
        <v>0</v>
      </c>
      <c r="AE101" s="45">
        <v>0</v>
      </c>
      <c r="AF101" s="45">
        <v>0</v>
      </c>
      <c r="AG101" s="45">
        <v>-1.9132235365066426</v>
      </c>
      <c r="AH101" s="45">
        <v>1.7323006987402663</v>
      </c>
      <c r="AI101" s="45">
        <v>4.0120925754932673</v>
      </c>
      <c r="AJ101" s="45">
        <v>0</v>
      </c>
      <c r="AK101" s="45">
        <v>2.0056020924263547</v>
      </c>
      <c r="AL101" s="45">
        <v>7.7499953666598866</v>
      </c>
      <c r="AM101" s="45">
        <v>14.840994685739142</v>
      </c>
      <c r="AN101" s="45">
        <v>2.5537473371227533</v>
      </c>
      <c r="AO101" s="45">
        <v>0</v>
      </c>
      <c r="AP101" s="45">
        <v>0</v>
      </c>
      <c r="AQ101" s="45">
        <v>17.394742022861895</v>
      </c>
      <c r="AR101" s="45">
        <v>1.7323006987402663</v>
      </c>
      <c r="AS101" s="199">
        <v>10.041410267577332</v>
      </c>
      <c r="AT101" s="45">
        <v>14.840994685739142</v>
      </c>
      <c r="AU101" s="45">
        <v>3.0228762136809548</v>
      </c>
      <c r="AV101" s="45">
        <v>0</v>
      </c>
      <c r="AW101" s="45">
        <v>0</v>
      </c>
      <c r="AX101" s="45">
        <v>17.863870899420096</v>
      </c>
      <c r="AY101" s="45">
        <v>4.0120925754932673</v>
      </c>
      <c r="AZ101" s="199">
        <v>4.4525071551280995</v>
      </c>
      <c r="BA101" s="45">
        <v>14.840994685739142</v>
      </c>
      <c r="BB101" s="45">
        <v>5.5766235508037081</v>
      </c>
      <c r="BC101" s="45">
        <v>0</v>
      </c>
      <c r="BD101" s="45">
        <v>0</v>
      </c>
      <c r="BE101" s="45">
        <v>20.41761823654285</v>
      </c>
      <c r="BF101" s="45">
        <v>5.7443932742335333</v>
      </c>
      <c r="BG101" s="45">
        <v>0.39869180433642087</v>
      </c>
      <c r="BH101" s="199">
        <v>3.5543559192101357</v>
      </c>
      <c r="BI101" s="45">
        <v>4.1166789639662404</v>
      </c>
      <c r="BJ101" s="45">
        <v>9.5344284736645974</v>
      </c>
      <c r="BK101" s="45">
        <v>0</v>
      </c>
      <c r="BL101" s="45">
        <v>4.7661586409232193</v>
      </c>
      <c r="BM101" s="45">
        <v>18.417266078554054</v>
      </c>
      <c r="BN101" s="45">
        <v>14.840994685739142</v>
      </c>
      <c r="BO101" s="45">
        <v>0</v>
      </c>
      <c r="BP101" s="45">
        <v>5.5766235508037081</v>
      </c>
      <c r="BQ101" s="45">
        <v>0</v>
      </c>
      <c r="BR101" s="45">
        <v>0</v>
      </c>
      <c r="BS101" s="45">
        <v>0</v>
      </c>
      <c r="BT101" s="45">
        <v>0</v>
      </c>
      <c r="BU101" s="45">
        <v>0</v>
      </c>
      <c r="BV101" s="45">
        <v>0</v>
      </c>
      <c r="BW101" s="45">
        <v>0</v>
      </c>
      <c r="BX101" s="45">
        <v>8.3276664792340043</v>
      </c>
      <c r="BY101" s="45">
        <v>1.3355524239325254</v>
      </c>
      <c r="BZ101" s="45">
        <v>0</v>
      </c>
      <c r="CA101" s="45">
        <v>-1.9132235365066426</v>
      </c>
      <c r="CB101" s="45">
        <v>20.41761823654285</v>
      </c>
      <c r="CC101" s="45">
        <v>7.7499953666598875</v>
      </c>
      <c r="CD101" s="199">
        <v>2.3109113015883271</v>
      </c>
      <c r="CE101" s="45">
        <v>5.1648504452596393</v>
      </c>
      <c r="CF101" s="45">
        <v>0.29415155643237295</v>
      </c>
      <c r="CG101" s="45">
        <v>0</v>
      </c>
      <c r="CH101" s="45">
        <v>0.29415155643237295</v>
      </c>
      <c r="CI101" s="45">
        <v>1.4707538855143995E-2</v>
      </c>
      <c r="CJ101" s="45">
        <v>0</v>
      </c>
      <c r="CK101" s="45">
        <v>1.4707538855143995E-2</v>
      </c>
      <c r="CL101" s="45"/>
      <c r="CM101" s="45">
        <v>0</v>
      </c>
      <c r="CN101" s="45"/>
      <c r="CO101" s="45">
        <v>0</v>
      </c>
      <c r="CP101" s="45">
        <v>0</v>
      </c>
      <c r="CQ101" s="45">
        <v>0</v>
      </c>
      <c r="CR101" s="45">
        <v>0</v>
      </c>
      <c r="CS101" s="45">
        <v>0</v>
      </c>
      <c r="CT101" s="45">
        <v>0</v>
      </c>
      <c r="CU101" s="45">
        <v>0</v>
      </c>
      <c r="CV101" s="45">
        <v>9999</v>
      </c>
      <c r="CW101" s="199">
        <v>9999</v>
      </c>
      <c r="CX101" s="24"/>
      <c r="CY101" s="24"/>
      <c r="CZ101" s="24"/>
      <c r="DA101" s="24"/>
      <c r="DB101" s="24"/>
      <c r="DC101" s="24"/>
      <c r="DD101" s="24"/>
      <c r="DE101" s="24"/>
      <c r="DF101" s="24"/>
      <c r="DG101" s="24"/>
      <c r="DH101" s="24"/>
      <c r="DI101" s="24"/>
      <c r="DJ101" s="24"/>
      <c r="DK101" s="24"/>
      <c r="DL101" s="24"/>
      <c r="DM101" s="24"/>
      <c r="DN101" s="24"/>
      <c r="DO101" s="24"/>
      <c r="DP101" s="24"/>
      <c r="DQ101" s="24"/>
      <c r="DR101" s="24"/>
      <c r="DS101" s="24"/>
      <c r="DT101" s="24"/>
      <c r="DU101" s="24"/>
      <c r="DV101" s="24"/>
      <c r="DW101" s="24"/>
      <c r="DX101" s="24"/>
      <c r="DY101" s="24"/>
      <c r="DZ101" s="24"/>
      <c r="EA101" s="24"/>
    </row>
    <row r="102" spans="1:131">
      <c r="A102" s="24" t="s">
        <v>428</v>
      </c>
      <c r="B102" s="24"/>
      <c r="C102" s="45">
        <v>13.953488372093023</v>
      </c>
      <c r="D102" s="45">
        <v>65.987461954092865</v>
      </c>
      <c r="E102" s="45">
        <v>0</v>
      </c>
      <c r="F102" s="45">
        <v>15.900946569337281</v>
      </c>
      <c r="G102" s="45">
        <v>0</v>
      </c>
      <c r="H102" s="45">
        <v>-5.6132962216598692</v>
      </c>
      <c r="I102" s="45"/>
      <c r="J102" s="45"/>
      <c r="K102" s="45"/>
      <c r="L102" s="45">
        <v>70.745011721527277</v>
      </c>
      <c r="M102" s="45">
        <v>1.6512929294568948E-2</v>
      </c>
      <c r="N102" s="45">
        <v>1.6393746376037847E-2</v>
      </c>
      <c r="O102" s="45">
        <v>0</v>
      </c>
      <c r="P102" s="45">
        <v>0</v>
      </c>
      <c r="Q102" s="45">
        <v>0</v>
      </c>
      <c r="R102" s="45">
        <v>3.170861158755141</v>
      </c>
      <c r="S102" s="45">
        <v>7.3273778526233757</v>
      </c>
      <c r="T102" s="45">
        <v>0</v>
      </c>
      <c r="U102" s="45">
        <v>11.893944438603963</v>
      </c>
      <c r="V102" s="45">
        <v>0.95405679416023681</v>
      </c>
      <c r="W102" s="45">
        <v>2.2261325197072193</v>
      </c>
      <c r="X102" s="45">
        <v>0</v>
      </c>
      <c r="Y102" s="45">
        <v>0</v>
      </c>
      <c r="Z102" s="45">
        <v>0</v>
      </c>
      <c r="AA102" s="45">
        <v>0</v>
      </c>
      <c r="AB102" s="45">
        <v>0</v>
      </c>
      <c r="AC102" s="45">
        <v>0</v>
      </c>
      <c r="AD102" s="45">
        <v>0</v>
      </c>
      <c r="AE102" s="45">
        <v>0</v>
      </c>
      <c r="AF102" s="45">
        <v>0</v>
      </c>
      <c r="AG102" s="45">
        <v>-5.6132962216598692</v>
      </c>
      <c r="AH102" s="45">
        <v>4.1249179529153777</v>
      </c>
      <c r="AI102" s="45">
        <v>9.5535103723305959</v>
      </c>
      <c r="AJ102" s="45">
        <v>0</v>
      </c>
      <c r="AK102" s="45">
        <v>6.280648216944094</v>
      </c>
      <c r="AL102" s="45">
        <v>19.959076542190065</v>
      </c>
      <c r="AM102" s="45">
        <v>33.90880131867884</v>
      </c>
      <c r="AN102" s="45">
        <v>5.8348185486387933</v>
      </c>
      <c r="AO102" s="45">
        <v>0</v>
      </c>
      <c r="AP102" s="45">
        <v>0</v>
      </c>
      <c r="AQ102" s="45">
        <v>39.743619867317634</v>
      </c>
      <c r="AR102" s="45">
        <v>4.1249179529153777</v>
      </c>
      <c r="AS102" s="199">
        <v>9.6350085798016778</v>
      </c>
      <c r="AT102" s="45">
        <v>33.90880131867884</v>
      </c>
      <c r="AU102" s="45">
        <v>6.9066872612765557</v>
      </c>
      <c r="AV102" s="45">
        <v>0</v>
      </c>
      <c r="AW102" s="45">
        <v>0</v>
      </c>
      <c r="AX102" s="45">
        <v>40.815488579955399</v>
      </c>
      <c r="AY102" s="45">
        <v>9.5535103723305959</v>
      </c>
      <c r="AZ102" s="199">
        <v>4.2723027441481065</v>
      </c>
      <c r="BA102" s="45">
        <v>33.90880131867884</v>
      </c>
      <c r="BB102" s="45">
        <v>12.741505809915349</v>
      </c>
      <c r="BC102" s="45">
        <v>0</v>
      </c>
      <c r="BD102" s="45">
        <v>0</v>
      </c>
      <c r="BE102" s="45">
        <v>46.650307128594193</v>
      </c>
      <c r="BF102" s="45">
        <v>13.678428325245971</v>
      </c>
      <c r="BG102" s="45">
        <v>0.9744913022517826</v>
      </c>
      <c r="BH102" s="199">
        <v>3.410501997696092</v>
      </c>
      <c r="BI102" s="45">
        <v>4.2903192119358886</v>
      </c>
      <c r="BJ102" s="45">
        <v>9.9365877236103177</v>
      </c>
      <c r="BK102" s="45">
        <v>0</v>
      </c>
      <c r="BL102" s="45">
        <v>6.5324901043235188</v>
      </c>
      <c r="BM102" s="45">
        <v>20.759397039869722</v>
      </c>
      <c r="BN102" s="45">
        <v>33.90880131867884</v>
      </c>
      <c r="BO102" s="45">
        <v>0</v>
      </c>
      <c r="BP102" s="45">
        <v>12.741505809915349</v>
      </c>
      <c r="BQ102" s="45">
        <v>0</v>
      </c>
      <c r="BR102" s="45">
        <v>0</v>
      </c>
      <c r="BS102" s="45">
        <v>0</v>
      </c>
      <c r="BT102" s="45">
        <v>0</v>
      </c>
      <c r="BU102" s="45">
        <v>0</v>
      </c>
      <c r="BV102" s="45">
        <v>0</v>
      </c>
      <c r="BW102" s="45">
        <v>0</v>
      </c>
      <c r="BX102" s="45">
        <v>22.392183449982479</v>
      </c>
      <c r="BY102" s="45">
        <v>3.1801893138674564</v>
      </c>
      <c r="BZ102" s="45">
        <v>0</v>
      </c>
      <c r="CA102" s="45">
        <v>-5.6132962216598692</v>
      </c>
      <c r="CB102" s="45">
        <v>46.650307128594193</v>
      </c>
      <c r="CC102" s="45">
        <v>19.959076542190065</v>
      </c>
      <c r="CD102" s="199">
        <v>2.0437526010154148</v>
      </c>
      <c r="CE102" s="45">
        <v>7.5069814065752967</v>
      </c>
      <c r="CF102" s="45">
        <v>0.67207939197161215</v>
      </c>
      <c r="CG102" s="45">
        <v>0</v>
      </c>
      <c r="CH102" s="45">
        <v>0.67207939197161215</v>
      </c>
      <c r="CI102" s="45">
        <v>3.3603880567725466E-2</v>
      </c>
      <c r="CJ102" s="45">
        <v>0</v>
      </c>
      <c r="CK102" s="45">
        <v>3.3603880567725466E-2</v>
      </c>
      <c r="CL102" s="45"/>
      <c r="CM102" s="45">
        <v>0</v>
      </c>
      <c r="CN102" s="45"/>
      <c r="CO102" s="45">
        <v>0</v>
      </c>
      <c r="CP102" s="45">
        <v>0</v>
      </c>
      <c r="CQ102" s="45">
        <v>0</v>
      </c>
      <c r="CR102" s="45">
        <v>0</v>
      </c>
      <c r="CS102" s="45">
        <v>0</v>
      </c>
      <c r="CT102" s="45">
        <v>0</v>
      </c>
      <c r="CU102" s="45">
        <v>0</v>
      </c>
      <c r="CV102" s="45">
        <v>9999</v>
      </c>
      <c r="CW102" s="199">
        <v>9999</v>
      </c>
      <c r="CX102" s="24"/>
      <c r="CY102" s="24"/>
      <c r="CZ102" s="24"/>
      <c r="DA102" s="24"/>
      <c r="DB102" s="24"/>
      <c r="DC102" s="24"/>
      <c r="DD102" s="24"/>
      <c r="DE102" s="24"/>
      <c r="DF102" s="24"/>
      <c r="DG102" s="24"/>
      <c r="DH102" s="24"/>
      <c r="DI102" s="24"/>
      <c r="DJ102" s="24"/>
      <c r="DK102" s="24"/>
      <c r="DL102" s="24"/>
      <c r="DM102" s="24"/>
      <c r="DN102" s="24"/>
      <c r="DO102" s="24"/>
      <c r="DP102" s="24"/>
      <c r="DQ102" s="24"/>
      <c r="DR102" s="24"/>
      <c r="DS102" s="24"/>
      <c r="DT102" s="24"/>
      <c r="DU102" s="24"/>
      <c r="DV102" s="24"/>
      <c r="DW102" s="24"/>
      <c r="DX102" s="24"/>
      <c r="DY102" s="24"/>
      <c r="DZ102" s="24"/>
      <c r="EA102" s="24"/>
    </row>
    <row r="103" spans="1:131">
      <c r="A103" s="24" t="s">
        <v>430</v>
      </c>
      <c r="B103" s="24"/>
      <c r="C103" s="45">
        <v>16.279069767441861</v>
      </c>
      <c r="D103" s="45">
        <v>66.935750455655011</v>
      </c>
      <c r="E103" s="45">
        <v>0</v>
      </c>
      <c r="F103" s="45">
        <v>19.271398161973615</v>
      </c>
      <c r="G103" s="45">
        <v>0</v>
      </c>
      <c r="H103" s="45">
        <v>-5.9700810224120291</v>
      </c>
      <c r="I103" s="45"/>
      <c r="J103" s="45"/>
      <c r="K103" s="45"/>
      <c r="L103" s="45">
        <v>71.761669722483219</v>
      </c>
      <c r="M103" s="45">
        <v>1.6750232268701249E-2</v>
      </c>
      <c r="N103" s="45">
        <v>1.6629336603719857E-2</v>
      </c>
      <c r="O103" s="45">
        <v>0</v>
      </c>
      <c r="P103" s="45">
        <v>0</v>
      </c>
      <c r="Q103" s="45">
        <v>0</v>
      </c>
      <c r="R103" s="45">
        <v>3.8429742305117474</v>
      </c>
      <c r="S103" s="45">
        <v>8.8805289336317532</v>
      </c>
      <c r="T103" s="45">
        <v>0</v>
      </c>
      <c r="U103" s="45">
        <v>11.309364974254271</v>
      </c>
      <c r="V103" s="45">
        <v>1.1562838897184169</v>
      </c>
      <c r="W103" s="45">
        <v>2.6979957426763059</v>
      </c>
      <c r="X103" s="45">
        <v>0</v>
      </c>
      <c r="Y103" s="45">
        <v>0</v>
      </c>
      <c r="Z103" s="45">
        <v>0</v>
      </c>
      <c r="AA103" s="45">
        <v>0</v>
      </c>
      <c r="AB103" s="45">
        <v>0</v>
      </c>
      <c r="AC103" s="45">
        <v>0</v>
      </c>
      <c r="AD103" s="45">
        <v>0</v>
      </c>
      <c r="AE103" s="45">
        <v>0</v>
      </c>
      <c r="AF103" s="45">
        <v>0</v>
      </c>
      <c r="AG103" s="45">
        <v>-5.9700810224120291</v>
      </c>
      <c r="AH103" s="45">
        <v>4.9992581202301647</v>
      </c>
      <c r="AI103" s="45">
        <v>11.57852467630806</v>
      </c>
      <c r="AJ103" s="45">
        <v>0</v>
      </c>
      <c r="AK103" s="45">
        <v>5.3392839518422415</v>
      </c>
      <c r="AL103" s="45">
        <v>21.917066748380467</v>
      </c>
      <c r="AM103" s="45">
        <v>34.396095805237941</v>
      </c>
      <c r="AN103" s="45">
        <v>5.9186691950271193</v>
      </c>
      <c r="AO103" s="45">
        <v>0</v>
      </c>
      <c r="AP103" s="45">
        <v>0</v>
      </c>
      <c r="AQ103" s="45">
        <v>40.314765000265062</v>
      </c>
      <c r="AR103" s="45">
        <v>4.9992581202301647</v>
      </c>
      <c r="AS103" s="199">
        <v>8.064149525931855</v>
      </c>
      <c r="AT103" s="45">
        <v>34.396095805237941</v>
      </c>
      <c r="AU103" s="45">
        <v>7.0059414516909495</v>
      </c>
      <c r="AV103" s="45">
        <v>0</v>
      </c>
      <c r="AW103" s="45">
        <v>0</v>
      </c>
      <c r="AX103" s="45">
        <v>41.402037256928892</v>
      </c>
      <c r="AY103" s="45">
        <v>11.57852467630806</v>
      </c>
      <c r="AZ103" s="199">
        <v>3.575761024342385</v>
      </c>
      <c r="BA103" s="45">
        <v>34.396095805237941</v>
      </c>
      <c r="BB103" s="45">
        <v>12.924610646718069</v>
      </c>
      <c r="BC103" s="45">
        <v>0</v>
      </c>
      <c r="BD103" s="45">
        <v>0</v>
      </c>
      <c r="BE103" s="45">
        <v>47.320706451956013</v>
      </c>
      <c r="BF103" s="45">
        <v>16.577782796538223</v>
      </c>
      <c r="BG103" s="45">
        <v>3.7458270142695458</v>
      </c>
      <c r="BH103" s="199">
        <v>2.8544653427259004</v>
      </c>
      <c r="BI103" s="45">
        <v>5.1260535638832287</v>
      </c>
      <c r="BJ103" s="45">
        <v>11.872189083680738</v>
      </c>
      <c r="BK103" s="45">
        <v>0</v>
      </c>
      <c r="BL103" s="45">
        <v>5.4747034203277689</v>
      </c>
      <c r="BM103" s="45">
        <v>22.472946067891737</v>
      </c>
      <c r="BN103" s="45">
        <v>34.396095805237941</v>
      </c>
      <c r="BO103" s="45">
        <v>0</v>
      </c>
      <c r="BP103" s="45">
        <v>12.924610646718069</v>
      </c>
      <c r="BQ103" s="45">
        <v>0</v>
      </c>
      <c r="BR103" s="45">
        <v>0</v>
      </c>
      <c r="BS103" s="45">
        <v>0</v>
      </c>
      <c r="BT103" s="45">
        <v>0</v>
      </c>
      <c r="BU103" s="45">
        <v>0</v>
      </c>
      <c r="BV103" s="45">
        <v>0</v>
      </c>
      <c r="BW103" s="45">
        <v>0</v>
      </c>
      <c r="BX103" s="45">
        <v>24.032868138397774</v>
      </c>
      <c r="BY103" s="45">
        <v>3.8542796323947233</v>
      </c>
      <c r="BZ103" s="45">
        <v>0</v>
      </c>
      <c r="CA103" s="45">
        <v>-5.9700810224120291</v>
      </c>
      <c r="CB103" s="45">
        <v>47.320706451956013</v>
      </c>
      <c r="CC103" s="45">
        <v>21.917066748380471</v>
      </c>
      <c r="CD103" s="199">
        <v>1.9109443501490662</v>
      </c>
      <c r="CE103" s="45">
        <v>9.22053043459732</v>
      </c>
      <c r="CF103" s="45">
        <v>0.68173766856947449</v>
      </c>
      <c r="CG103" s="45">
        <v>0</v>
      </c>
      <c r="CH103" s="45">
        <v>0.68173766856947449</v>
      </c>
      <c r="CI103" s="45">
        <v>3.4086793118179526E-2</v>
      </c>
      <c r="CJ103" s="45">
        <v>0</v>
      </c>
      <c r="CK103" s="45">
        <v>3.4086793118179526E-2</v>
      </c>
      <c r="CL103" s="45"/>
      <c r="CM103" s="45">
        <v>0</v>
      </c>
      <c r="CN103" s="45"/>
      <c r="CO103" s="45">
        <v>0</v>
      </c>
      <c r="CP103" s="45">
        <v>0</v>
      </c>
      <c r="CQ103" s="45">
        <v>0</v>
      </c>
      <c r="CR103" s="45">
        <v>0</v>
      </c>
      <c r="CS103" s="45">
        <v>0</v>
      </c>
      <c r="CT103" s="45">
        <v>0</v>
      </c>
      <c r="CU103" s="45">
        <v>0</v>
      </c>
      <c r="CV103" s="45">
        <v>9999</v>
      </c>
      <c r="CW103" s="199">
        <v>9999</v>
      </c>
      <c r="CX103" s="24"/>
      <c r="CY103" s="24"/>
      <c r="CZ103" s="24"/>
      <c r="DA103" s="24"/>
      <c r="DB103" s="24"/>
      <c r="DC103" s="24"/>
      <c r="DD103" s="24"/>
      <c r="DE103" s="24"/>
      <c r="DF103" s="24"/>
      <c r="DG103" s="24"/>
      <c r="DH103" s="24"/>
      <c r="DI103" s="24"/>
      <c r="DJ103" s="24"/>
      <c r="DK103" s="24"/>
      <c r="DL103" s="24"/>
      <c r="DM103" s="24"/>
      <c r="DN103" s="24"/>
      <c r="DO103" s="24"/>
      <c r="DP103" s="24"/>
      <c r="DQ103" s="24"/>
      <c r="DR103" s="24"/>
      <c r="DS103" s="24"/>
      <c r="DT103" s="24"/>
      <c r="DU103" s="24"/>
      <c r="DV103" s="24"/>
      <c r="DW103" s="24"/>
      <c r="DX103" s="24"/>
      <c r="DY103" s="24"/>
      <c r="DZ103" s="24"/>
      <c r="EA103" s="24"/>
    </row>
    <row r="104" spans="1:131">
      <c r="A104" s="24" t="s">
        <v>429</v>
      </c>
      <c r="B104" s="24"/>
      <c r="C104" s="45">
        <v>11.627906976744185</v>
      </c>
      <c r="D104" s="45">
        <v>51.403081848075573</v>
      </c>
      <c r="E104" s="45">
        <v>0</v>
      </c>
      <c r="F104" s="45">
        <v>13.388193469372712</v>
      </c>
      <c r="G104" s="45">
        <v>0</v>
      </c>
      <c r="H104" s="45">
        <v>-2.3589192204985965</v>
      </c>
      <c r="I104" s="45"/>
      <c r="J104" s="45"/>
      <c r="K104" s="45"/>
      <c r="L104" s="45">
        <v>55.109130131336691</v>
      </c>
      <c r="M104" s="45">
        <v>1.2863283886728799E-2</v>
      </c>
      <c r="N104" s="45">
        <v>1.2770442472091442E-2</v>
      </c>
      <c r="O104" s="45">
        <v>0</v>
      </c>
      <c r="P104" s="45">
        <v>0</v>
      </c>
      <c r="Q104" s="45">
        <v>0</v>
      </c>
      <c r="R104" s="45">
        <v>2.6697846240044618</v>
      </c>
      <c r="S104" s="45">
        <v>6.1694661941252695</v>
      </c>
      <c r="T104" s="45">
        <v>0</v>
      </c>
      <c r="U104" s="45">
        <v>13.060111695845695</v>
      </c>
      <c r="V104" s="45">
        <v>0.80329160816236278</v>
      </c>
      <c r="W104" s="45">
        <v>1.8743470857121798</v>
      </c>
      <c r="X104" s="45">
        <v>0</v>
      </c>
      <c r="Y104" s="45">
        <v>0</v>
      </c>
      <c r="Z104" s="45">
        <v>0</v>
      </c>
      <c r="AA104" s="45">
        <v>0</v>
      </c>
      <c r="AB104" s="45">
        <v>0</v>
      </c>
      <c r="AC104" s="45">
        <v>0</v>
      </c>
      <c r="AD104" s="45">
        <v>0</v>
      </c>
      <c r="AE104" s="45">
        <v>0</v>
      </c>
      <c r="AF104" s="45">
        <v>0</v>
      </c>
      <c r="AG104" s="45">
        <v>-2.3589192204985965</v>
      </c>
      <c r="AH104" s="45">
        <v>3.4730762321668247</v>
      </c>
      <c r="AI104" s="45">
        <v>8.0438132798374493</v>
      </c>
      <c r="AJ104" s="45">
        <v>0</v>
      </c>
      <c r="AK104" s="45">
        <v>10.701192475347099</v>
      </c>
      <c r="AL104" s="45">
        <v>22.218081987351372</v>
      </c>
      <c r="AM104" s="45">
        <v>26.414364758668693</v>
      </c>
      <c r="AN104" s="45">
        <v>4.5452218731038272</v>
      </c>
      <c r="AO104" s="45">
        <v>0</v>
      </c>
      <c r="AP104" s="45">
        <v>0</v>
      </c>
      <c r="AQ104" s="45">
        <v>30.95958663177252</v>
      </c>
      <c r="AR104" s="45">
        <v>3.4730762321668247</v>
      </c>
      <c r="AS104" s="199">
        <v>8.9141684668571415</v>
      </c>
      <c r="AT104" s="45">
        <v>26.414364758668693</v>
      </c>
      <c r="AU104" s="45">
        <v>5.3801889037261148</v>
      </c>
      <c r="AV104" s="45">
        <v>0</v>
      </c>
      <c r="AW104" s="45">
        <v>0</v>
      </c>
      <c r="AX104" s="45">
        <v>31.794553662394808</v>
      </c>
      <c r="AY104" s="45">
        <v>8.0438132798374493</v>
      </c>
      <c r="AZ104" s="199">
        <v>3.9526717685119261</v>
      </c>
      <c r="BA104" s="45">
        <v>26.414364758668693</v>
      </c>
      <c r="BB104" s="45">
        <v>9.925410776829942</v>
      </c>
      <c r="BC104" s="45">
        <v>0</v>
      </c>
      <c r="BD104" s="45">
        <v>0</v>
      </c>
      <c r="BE104" s="45">
        <v>36.339775535498632</v>
      </c>
      <c r="BF104" s="45">
        <v>11.516889512004273</v>
      </c>
      <c r="BG104" s="45">
        <v>2.1249435559196241</v>
      </c>
      <c r="BH104" s="199">
        <v>3.1553463717456864</v>
      </c>
      <c r="BI104" s="45">
        <v>4.6372538920239297</v>
      </c>
      <c r="BJ104" s="45">
        <v>10.740105297190109</v>
      </c>
      <c r="BK104" s="45">
        <v>0</v>
      </c>
      <c r="BL104" s="45">
        <v>14.288239917106688</v>
      </c>
      <c r="BM104" s="45">
        <v>29.665599106320727</v>
      </c>
      <c r="BN104" s="45">
        <v>26.414364758668693</v>
      </c>
      <c r="BO104" s="45">
        <v>0</v>
      </c>
      <c r="BP104" s="45">
        <v>9.925410776829942</v>
      </c>
      <c r="BQ104" s="45">
        <v>0</v>
      </c>
      <c r="BR104" s="45">
        <v>0</v>
      </c>
      <c r="BS104" s="45">
        <v>0</v>
      </c>
      <c r="BT104" s="45">
        <v>0</v>
      </c>
      <c r="BU104" s="45">
        <v>0</v>
      </c>
      <c r="BV104" s="45">
        <v>0</v>
      </c>
      <c r="BW104" s="45">
        <v>0</v>
      </c>
      <c r="BX104" s="45">
        <v>21.899362513975426</v>
      </c>
      <c r="BY104" s="45">
        <v>2.6776386938745427</v>
      </c>
      <c r="BZ104" s="45">
        <v>0</v>
      </c>
      <c r="CA104" s="45">
        <v>-2.3589192204985965</v>
      </c>
      <c r="CB104" s="45">
        <v>36.339775535498632</v>
      </c>
      <c r="CC104" s="45">
        <v>22.218081987351372</v>
      </c>
      <c r="CD104" s="199">
        <v>1.5745897731264606</v>
      </c>
      <c r="CE104" s="45">
        <v>16.413183473026312</v>
      </c>
      <c r="CF104" s="45">
        <v>0.52353812331736238</v>
      </c>
      <c r="CG104" s="45">
        <v>0</v>
      </c>
      <c r="CH104" s="45">
        <v>0.52353812331736238</v>
      </c>
      <c r="CI104" s="45">
        <v>2.6176836812384929E-2</v>
      </c>
      <c r="CJ104" s="45">
        <v>0</v>
      </c>
      <c r="CK104" s="45">
        <v>2.6176836812384929E-2</v>
      </c>
      <c r="CL104" s="45"/>
      <c r="CM104" s="45">
        <v>0</v>
      </c>
      <c r="CN104" s="45"/>
      <c r="CO104" s="45">
        <v>0</v>
      </c>
      <c r="CP104" s="45">
        <v>0</v>
      </c>
      <c r="CQ104" s="45">
        <v>0</v>
      </c>
      <c r="CR104" s="45">
        <v>0</v>
      </c>
      <c r="CS104" s="45">
        <v>0</v>
      </c>
      <c r="CT104" s="45">
        <v>0</v>
      </c>
      <c r="CU104" s="45">
        <v>0</v>
      </c>
      <c r="CV104" s="45">
        <v>9999</v>
      </c>
      <c r="CW104" s="199">
        <v>9999</v>
      </c>
      <c r="CX104" s="24"/>
      <c r="CY104" s="24"/>
      <c r="CZ104" s="24"/>
      <c r="DA104" s="24"/>
      <c r="DB104" s="24"/>
      <c r="DC104" s="24"/>
      <c r="DD104" s="24"/>
      <c r="DE104" s="24"/>
      <c r="DF104" s="24"/>
      <c r="DG104" s="24"/>
      <c r="DH104" s="24"/>
      <c r="DI104" s="24"/>
      <c r="DJ104" s="24"/>
      <c r="DK104" s="24"/>
      <c r="DL104" s="24"/>
      <c r="DM104" s="24"/>
      <c r="DN104" s="24"/>
      <c r="DO104" s="24"/>
      <c r="DP104" s="24"/>
      <c r="DQ104" s="24"/>
      <c r="DR104" s="24"/>
      <c r="DS104" s="24"/>
      <c r="DT104" s="24"/>
      <c r="DU104" s="24"/>
      <c r="DV104" s="24"/>
      <c r="DW104" s="24"/>
      <c r="DX104" s="24"/>
      <c r="DY104" s="24"/>
      <c r="DZ104" s="24"/>
      <c r="EA104" s="24"/>
    </row>
    <row r="105" spans="1:131">
      <c r="A105" s="24" t="s">
        <v>435</v>
      </c>
      <c r="B105" s="24"/>
      <c r="C105" s="45">
        <v>16.279069767441861</v>
      </c>
      <c r="D105" s="45">
        <v>66.935750455655011</v>
      </c>
      <c r="E105" s="45">
        <v>0</v>
      </c>
      <c r="F105" s="45">
        <v>23.583436394929375</v>
      </c>
      <c r="G105" s="45">
        <v>0</v>
      </c>
      <c r="H105" s="45">
        <v>-5.9700810224120291</v>
      </c>
      <c r="I105" s="45"/>
      <c r="J105" s="45"/>
      <c r="K105" s="45"/>
      <c r="L105" s="45">
        <v>71.761669722483219</v>
      </c>
      <c r="M105" s="45">
        <v>1.6750232268701249E-2</v>
      </c>
      <c r="N105" s="45">
        <v>1.6629336603719857E-2</v>
      </c>
      <c r="O105" s="45">
        <v>0</v>
      </c>
      <c r="P105" s="45">
        <v>0</v>
      </c>
      <c r="Q105" s="45">
        <v>0</v>
      </c>
      <c r="R105" s="45">
        <v>4.7028522565352278</v>
      </c>
      <c r="S105" s="45">
        <v>10.867576265062548</v>
      </c>
      <c r="T105" s="45">
        <v>0</v>
      </c>
      <c r="U105" s="45">
        <v>13.839872296533628</v>
      </c>
      <c r="V105" s="45">
        <v>1.4150061836957626</v>
      </c>
      <c r="W105" s="45">
        <v>3.3016810952901126</v>
      </c>
      <c r="X105" s="45">
        <v>0</v>
      </c>
      <c r="Y105" s="45">
        <v>0</v>
      </c>
      <c r="Z105" s="45">
        <v>0</v>
      </c>
      <c r="AA105" s="45">
        <v>0</v>
      </c>
      <c r="AB105" s="45">
        <v>0</v>
      </c>
      <c r="AC105" s="45">
        <v>0</v>
      </c>
      <c r="AD105" s="45">
        <v>0</v>
      </c>
      <c r="AE105" s="45">
        <v>0</v>
      </c>
      <c r="AF105" s="45">
        <v>0</v>
      </c>
      <c r="AG105" s="45">
        <v>-5.9700810224120291</v>
      </c>
      <c r="AH105" s="45">
        <v>6.1178584402309903</v>
      </c>
      <c r="AI105" s="45">
        <v>14.16925736035266</v>
      </c>
      <c r="AJ105" s="45">
        <v>0</v>
      </c>
      <c r="AK105" s="45">
        <v>7.8697912741215985</v>
      </c>
      <c r="AL105" s="45">
        <v>28.156907074705252</v>
      </c>
      <c r="AM105" s="45">
        <v>34.396095805237941</v>
      </c>
      <c r="AN105" s="45">
        <v>5.9186691950271193</v>
      </c>
      <c r="AO105" s="45">
        <v>0</v>
      </c>
      <c r="AP105" s="45">
        <v>0</v>
      </c>
      <c r="AQ105" s="45">
        <v>40.314765000265062</v>
      </c>
      <c r="AR105" s="45">
        <v>6.1178584402309903</v>
      </c>
      <c r="AS105" s="199">
        <v>6.5896858180234243</v>
      </c>
      <c r="AT105" s="45">
        <v>34.396095805237941</v>
      </c>
      <c r="AU105" s="45">
        <v>7.0059414516909495</v>
      </c>
      <c r="AV105" s="45">
        <v>0</v>
      </c>
      <c r="AW105" s="45">
        <v>0</v>
      </c>
      <c r="AX105" s="45">
        <v>41.402037256928892</v>
      </c>
      <c r="AY105" s="45">
        <v>14.16925736035266</v>
      </c>
      <c r="AZ105" s="199">
        <v>2.9219624009919483</v>
      </c>
      <c r="BA105" s="45">
        <v>34.396095805237941</v>
      </c>
      <c r="BB105" s="45">
        <v>12.924610646718069</v>
      </c>
      <c r="BC105" s="45">
        <v>0</v>
      </c>
      <c r="BD105" s="45">
        <v>0</v>
      </c>
      <c r="BE105" s="45">
        <v>47.320706451956013</v>
      </c>
      <c r="BF105" s="45">
        <v>20.287115800583649</v>
      </c>
      <c r="BG105" s="45">
        <v>7.5492392821964787</v>
      </c>
      <c r="BH105" s="199">
        <v>2.3325497284633543</v>
      </c>
      <c r="BI105" s="45">
        <v>6.2730247782115587</v>
      </c>
      <c r="BJ105" s="45">
        <v>14.52863013727934</v>
      </c>
      <c r="BK105" s="45">
        <v>0</v>
      </c>
      <c r="BL105" s="45">
        <v>8.0693916252259594</v>
      </c>
      <c r="BM105" s="45">
        <v>28.871046540716861</v>
      </c>
      <c r="BN105" s="45">
        <v>34.396095805237941</v>
      </c>
      <c r="BO105" s="45">
        <v>0</v>
      </c>
      <c r="BP105" s="45">
        <v>12.924610646718069</v>
      </c>
      <c r="BQ105" s="45">
        <v>0</v>
      </c>
      <c r="BR105" s="45">
        <v>0</v>
      </c>
      <c r="BS105" s="45">
        <v>0</v>
      </c>
      <c r="BT105" s="45">
        <v>0</v>
      </c>
      <c r="BU105" s="45">
        <v>0</v>
      </c>
      <c r="BV105" s="45">
        <v>0</v>
      </c>
      <c r="BW105" s="45">
        <v>0</v>
      </c>
      <c r="BX105" s="45">
        <v>29.410300818131404</v>
      </c>
      <c r="BY105" s="45">
        <v>4.7166872789858756</v>
      </c>
      <c r="BZ105" s="45">
        <v>0</v>
      </c>
      <c r="CA105" s="45">
        <v>-5.9700810224120291</v>
      </c>
      <c r="CB105" s="45">
        <v>47.320706451956013</v>
      </c>
      <c r="CC105" s="45">
        <v>28.156907074705252</v>
      </c>
      <c r="CD105" s="199">
        <v>1.5615438234020289</v>
      </c>
      <c r="CE105" s="45">
        <v>15.618630907422441</v>
      </c>
      <c r="CF105" s="45">
        <v>0.68173766856947449</v>
      </c>
      <c r="CG105" s="45">
        <v>0</v>
      </c>
      <c r="CH105" s="45">
        <v>0.68173766856947449</v>
      </c>
      <c r="CI105" s="45">
        <v>3.4086793118179526E-2</v>
      </c>
      <c r="CJ105" s="45">
        <v>0</v>
      </c>
      <c r="CK105" s="45">
        <v>3.4086793118179526E-2</v>
      </c>
      <c r="CL105" s="45"/>
      <c r="CM105" s="45">
        <v>0</v>
      </c>
      <c r="CN105" s="45"/>
      <c r="CO105" s="45">
        <v>0</v>
      </c>
      <c r="CP105" s="45">
        <v>0</v>
      </c>
      <c r="CQ105" s="45">
        <v>0</v>
      </c>
      <c r="CR105" s="45">
        <v>0</v>
      </c>
      <c r="CS105" s="45">
        <v>0</v>
      </c>
      <c r="CT105" s="45">
        <v>0</v>
      </c>
      <c r="CU105" s="45">
        <v>0</v>
      </c>
      <c r="CV105" s="45">
        <v>9999</v>
      </c>
      <c r="CW105" s="199">
        <v>9999</v>
      </c>
      <c r="CX105" s="24"/>
      <c r="CY105" s="24"/>
      <c r="CZ105" s="24"/>
      <c r="DA105" s="24"/>
      <c r="DB105" s="24"/>
      <c r="DC105" s="24"/>
      <c r="DD105" s="24"/>
      <c r="DE105" s="24"/>
      <c r="DF105" s="24"/>
      <c r="DG105" s="24"/>
      <c r="DH105" s="24"/>
      <c r="DI105" s="24"/>
      <c r="DJ105" s="24"/>
      <c r="DK105" s="24"/>
      <c r="DL105" s="24"/>
      <c r="DM105" s="24"/>
      <c r="DN105" s="24"/>
      <c r="DO105" s="24"/>
      <c r="DP105" s="24"/>
      <c r="DQ105" s="24"/>
      <c r="DR105" s="24"/>
      <c r="DS105" s="24"/>
      <c r="DT105" s="24"/>
      <c r="DU105" s="24"/>
      <c r="DV105" s="24"/>
      <c r="DW105" s="24"/>
      <c r="DX105" s="24"/>
      <c r="DY105" s="24"/>
      <c r="DZ105" s="24"/>
      <c r="EA105" s="24"/>
    </row>
    <row r="106" spans="1:131">
      <c r="A106" s="24" t="s">
        <v>419</v>
      </c>
      <c r="B106" s="24"/>
      <c r="C106" s="45">
        <v>13.953488372093023</v>
      </c>
      <c r="D106" s="45">
        <v>65.987461954092865</v>
      </c>
      <c r="E106" s="45">
        <v>0</v>
      </c>
      <c r="F106" s="45">
        <v>21.673265650078871</v>
      </c>
      <c r="G106" s="45">
        <v>0</v>
      </c>
      <c r="H106" s="45">
        <v>-5.6132962216598692</v>
      </c>
      <c r="I106" s="45"/>
      <c r="J106" s="45"/>
      <c r="K106" s="45"/>
      <c r="L106" s="45">
        <v>70.745011721527277</v>
      </c>
      <c r="M106" s="45">
        <v>1.6512929294568948E-2</v>
      </c>
      <c r="N106" s="45">
        <v>1.6393746376037847E-2</v>
      </c>
      <c r="O106" s="45">
        <v>0</v>
      </c>
      <c r="P106" s="45">
        <v>0</v>
      </c>
      <c r="Q106" s="45">
        <v>0</v>
      </c>
      <c r="R106" s="45">
        <v>4.321938692991993</v>
      </c>
      <c r="S106" s="45">
        <v>9.9873429563400968</v>
      </c>
      <c r="T106" s="45">
        <v>0</v>
      </c>
      <c r="U106" s="45">
        <v>16.211652326549871</v>
      </c>
      <c r="V106" s="45">
        <v>1.3003959390047324</v>
      </c>
      <c r="W106" s="45">
        <v>3.0342571910110419</v>
      </c>
      <c r="X106" s="45">
        <v>0</v>
      </c>
      <c r="Y106" s="45">
        <v>0</v>
      </c>
      <c r="Z106" s="45">
        <v>0</v>
      </c>
      <c r="AA106" s="45">
        <v>0</v>
      </c>
      <c r="AB106" s="45">
        <v>0</v>
      </c>
      <c r="AC106" s="45">
        <v>0</v>
      </c>
      <c r="AD106" s="45">
        <v>0</v>
      </c>
      <c r="AE106" s="45">
        <v>0</v>
      </c>
      <c r="AF106" s="45">
        <v>0</v>
      </c>
      <c r="AG106" s="45">
        <v>-5.6132962216598692</v>
      </c>
      <c r="AH106" s="45">
        <v>5.6223346319967256</v>
      </c>
      <c r="AI106" s="45">
        <v>13.021600147351139</v>
      </c>
      <c r="AJ106" s="45">
        <v>0</v>
      </c>
      <c r="AK106" s="45">
        <v>10.598356104890001</v>
      </c>
      <c r="AL106" s="45">
        <v>29.242290884237864</v>
      </c>
      <c r="AM106" s="45">
        <v>33.90880131867884</v>
      </c>
      <c r="AN106" s="45">
        <v>5.8348185486387933</v>
      </c>
      <c r="AO106" s="45">
        <v>0</v>
      </c>
      <c r="AP106" s="45">
        <v>0</v>
      </c>
      <c r="AQ106" s="45">
        <v>39.743619867317634</v>
      </c>
      <c r="AR106" s="45">
        <v>5.6223346319967256</v>
      </c>
      <c r="AS106" s="199">
        <v>7.0688819625101216</v>
      </c>
      <c r="AT106" s="45">
        <v>33.90880131867884</v>
      </c>
      <c r="AU106" s="45">
        <v>6.9066872612765557</v>
      </c>
      <c r="AV106" s="45">
        <v>0</v>
      </c>
      <c r="AW106" s="45">
        <v>0</v>
      </c>
      <c r="AX106" s="45">
        <v>40.815488579955399</v>
      </c>
      <c r="AY106" s="45">
        <v>13.021600147351139</v>
      </c>
      <c r="AZ106" s="199">
        <v>3.134444931351859</v>
      </c>
      <c r="BA106" s="45">
        <v>33.90880131867884</v>
      </c>
      <c r="BB106" s="45">
        <v>12.741505809915349</v>
      </c>
      <c r="BC106" s="45">
        <v>0</v>
      </c>
      <c r="BD106" s="45">
        <v>0</v>
      </c>
      <c r="BE106" s="45">
        <v>46.650307128594193</v>
      </c>
      <c r="BF106" s="45">
        <v>18.643934779347862</v>
      </c>
      <c r="BG106" s="45">
        <v>6.1391049940145921</v>
      </c>
      <c r="BH106" s="199">
        <v>2.5021706887898669</v>
      </c>
      <c r="BI106" s="45">
        <v>5.8477794135370766</v>
      </c>
      <c r="BJ106" s="45">
        <v>13.543741213771941</v>
      </c>
      <c r="BK106" s="45">
        <v>0</v>
      </c>
      <c r="BL106" s="45">
        <v>11.023329756076825</v>
      </c>
      <c r="BM106" s="45">
        <v>30.41485038338584</v>
      </c>
      <c r="BN106" s="45">
        <v>33.90880131867884</v>
      </c>
      <c r="BO106" s="45">
        <v>0</v>
      </c>
      <c r="BP106" s="45">
        <v>12.741505809915349</v>
      </c>
      <c r="BQ106" s="45">
        <v>0</v>
      </c>
      <c r="BR106" s="45">
        <v>0</v>
      </c>
      <c r="BS106" s="45">
        <v>0</v>
      </c>
      <c r="BT106" s="45">
        <v>0</v>
      </c>
      <c r="BU106" s="45">
        <v>0</v>
      </c>
      <c r="BV106" s="45">
        <v>0</v>
      </c>
      <c r="BW106" s="45">
        <v>0</v>
      </c>
      <c r="BX106" s="45">
        <v>30.52093397588196</v>
      </c>
      <c r="BY106" s="45">
        <v>4.3346531300157745</v>
      </c>
      <c r="BZ106" s="45">
        <v>0</v>
      </c>
      <c r="CA106" s="45">
        <v>-5.6132962216598692</v>
      </c>
      <c r="CB106" s="45">
        <v>46.650307128594193</v>
      </c>
      <c r="CC106" s="45">
        <v>29.242290884237864</v>
      </c>
      <c r="CD106" s="199">
        <v>1.4994325928714827</v>
      </c>
      <c r="CE106" s="45">
        <v>17.162434750091414</v>
      </c>
      <c r="CF106" s="45">
        <v>0.67207939197161215</v>
      </c>
      <c r="CG106" s="45">
        <v>0</v>
      </c>
      <c r="CH106" s="45">
        <v>0.67207939197161215</v>
      </c>
      <c r="CI106" s="45">
        <v>3.3603880567725466E-2</v>
      </c>
      <c r="CJ106" s="45">
        <v>0</v>
      </c>
      <c r="CK106" s="45">
        <v>3.3603880567725466E-2</v>
      </c>
      <c r="CL106" s="45"/>
      <c r="CM106" s="45">
        <v>0</v>
      </c>
      <c r="CN106" s="45"/>
      <c r="CO106" s="45">
        <v>0</v>
      </c>
      <c r="CP106" s="45">
        <v>0</v>
      </c>
      <c r="CQ106" s="45">
        <v>0</v>
      </c>
      <c r="CR106" s="45">
        <v>0</v>
      </c>
      <c r="CS106" s="45">
        <v>0</v>
      </c>
      <c r="CT106" s="45">
        <v>0</v>
      </c>
      <c r="CU106" s="45">
        <v>0</v>
      </c>
      <c r="CV106" s="45">
        <v>9999</v>
      </c>
      <c r="CW106" s="199">
        <v>9999</v>
      </c>
      <c r="CX106" s="24"/>
      <c r="CY106" s="24"/>
      <c r="CZ106" s="24"/>
      <c r="DA106" s="24"/>
      <c r="DB106" s="24"/>
      <c r="DC106" s="24"/>
      <c r="DD106" s="24"/>
      <c r="DE106" s="24"/>
      <c r="DF106" s="24"/>
      <c r="DG106" s="24"/>
      <c r="DH106" s="24"/>
      <c r="DI106" s="24"/>
      <c r="DJ106" s="24"/>
      <c r="DK106" s="24"/>
      <c r="DL106" s="24"/>
      <c r="DM106" s="24"/>
      <c r="DN106" s="24"/>
      <c r="DO106" s="24"/>
      <c r="DP106" s="24"/>
      <c r="DQ106" s="24"/>
      <c r="DR106" s="24"/>
      <c r="DS106" s="24"/>
      <c r="DT106" s="24"/>
      <c r="DU106" s="24"/>
      <c r="DV106" s="24"/>
      <c r="DW106" s="24"/>
      <c r="DX106" s="24"/>
      <c r="DY106" s="24"/>
      <c r="DZ106" s="24"/>
      <c r="EA106" s="24"/>
    </row>
    <row r="107" spans="1:131">
      <c r="A107" s="24" t="s">
        <v>432</v>
      </c>
      <c r="B107" s="24"/>
      <c r="C107" s="45">
        <v>11.627906976744185</v>
      </c>
      <c r="D107" s="45">
        <v>51.403081848075573</v>
      </c>
      <c r="E107" s="45">
        <v>0</v>
      </c>
      <c r="F107" s="45">
        <v>14.529979530207335</v>
      </c>
      <c r="G107" s="45">
        <v>0</v>
      </c>
      <c r="H107" s="45">
        <v>-2.3589192204985965</v>
      </c>
      <c r="I107" s="45"/>
      <c r="J107" s="45"/>
      <c r="K107" s="45"/>
      <c r="L107" s="45">
        <v>55.109130131336691</v>
      </c>
      <c r="M107" s="45">
        <v>1.2863283886728799E-2</v>
      </c>
      <c r="N107" s="45">
        <v>1.2770442472091442E-2</v>
      </c>
      <c r="O107" s="45">
        <v>0</v>
      </c>
      <c r="P107" s="45">
        <v>0</v>
      </c>
      <c r="Q107" s="45">
        <v>0</v>
      </c>
      <c r="R107" s="45">
        <v>2.8974720170864594</v>
      </c>
      <c r="S107" s="45">
        <v>6.6956171284807704</v>
      </c>
      <c r="T107" s="45">
        <v>0</v>
      </c>
      <c r="U107" s="45">
        <v>14.173917940233535</v>
      </c>
      <c r="V107" s="45">
        <v>0.87179877181244014</v>
      </c>
      <c r="W107" s="45">
        <v>2.0341971342290268</v>
      </c>
      <c r="X107" s="45">
        <v>0</v>
      </c>
      <c r="Y107" s="45">
        <v>0</v>
      </c>
      <c r="Z107" s="45">
        <v>0</v>
      </c>
      <c r="AA107" s="45">
        <v>0</v>
      </c>
      <c r="AB107" s="45">
        <v>0</v>
      </c>
      <c r="AC107" s="45">
        <v>0</v>
      </c>
      <c r="AD107" s="45">
        <v>0</v>
      </c>
      <c r="AE107" s="45">
        <v>0</v>
      </c>
      <c r="AF107" s="45">
        <v>0</v>
      </c>
      <c r="AG107" s="45">
        <v>-2.3589192204985965</v>
      </c>
      <c r="AH107" s="45">
        <v>3.7692707888988997</v>
      </c>
      <c r="AI107" s="45">
        <v>8.7298142627097981</v>
      </c>
      <c r="AJ107" s="45">
        <v>0</v>
      </c>
      <c r="AK107" s="45">
        <v>11.814998719734938</v>
      </c>
      <c r="AL107" s="45">
        <v>24.314083771343633</v>
      </c>
      <c r="AM107" s="45">
        <v>26.414364758668693</v>
      </c>
      <c r="AN107" s="45">
        <v>4.5452218731038272</v>
      </c>
      <c r="AO107" s="45">
        <v>0</v>
      </c>
      <c r="AP107" s="45">
        <v>0</v>
      </c>
      <c r="AQ107" s="45">
        <v>30.95958663177252</v>
      </c>
      <c r="AR107" s="45">
        <v>3.7692707888988997</v>
      </c>
      <c r="AS107" s="199">
        <v>8.2136806734484065</v>
      </c>
      <c r="AT107" s="45">
        <v>26.414364758668693</v>
      </c>
      <c r="AU107" s="45">
        <v>5.3801889037261148</v>
      </c>
      <c r="AV107" s="45">
        <v>0</v>
      </c>
      <c r="AW107" s="45">
        <v>0</v>
      </c>
      <c r="AX107" s="45">
        <v>31.794553662394808</v>
      </c>
      <c r="AY107" s="45">
        <v>8.7298142627097981</v>
      </c>
      <c r="AZ107" s="199">
        <v>3.6420653069571203</v>
      </c>
      <c r="BA107" s="45">
        <v>26.414364758668693</v>
      </c>
      <c r="BB107" s="45">
        <v>9.925410776829942</v>
      </c>
      <c r="BC107" s="45">
        <v>0</v>
      </c>
      <c r="BD107" s="45">
        <v>0</v>
      </c>
      <c r="BE107" s="45">
        <v>36.339775535498632</v>
      </c>
      <c r="BF107" s="45">
        <v>12.499085051608697</v>
      </c>
      <c r="BG107" s="45">
        <v>3.4363717493392416</v>
      </c>
      <c r="BH107" s="199">
        <v>2.9073948521393183</v>
      </c>
      <c r="BI107" s="45">
        <v>5.0327330779631287</v>
      </c>
      <c r="BJ107" s="45">
        <v>11.65605430467053</v>
      </c>
      <c r="BK107" s="45">
        <v>0</v>
      </c>
      <c r="BL107" s="45">
        <v>15.775394818548532</v>
      </c>
      <c r="BM107" s="45">
        <v>32.46418220118219</v>
      </c>
      <c r="BN107" s="45">
        <v>26.414364758668693</v>
      </c>
      <c r="BO107" s="45">
        <v>0</v>
      </c>
      <c r="BP107" s="45">
        <v>9.925410776829942</v>
      </c>
      <c r="BQ107" s="45">
        <v>0</v>
      </c>
      <c r="BR107" s="45">
        <v>0</v>
      </c>
      <c r="BS107" s="45">
        <v>0</v>
      </c>
      <c r="BT107" s="45">
        <v>0</v>
      </c>
      <c r="BU107" s="45">
        <v>0</v>
      </c>
      <c r="BV107" s="45">
        <v>0</v>
      </c>
      <c r="BW107" s="45">
        <v>0</v>
      </c>
      <c r="BX107" s="45">
        <v>23.767007085800763</v>
      </c>
      <c r="BY107" s="45">
        <v>2.9059959060414671</v>
      </c>
      <c r="BZ107" s="45">
        <v>0</v>
      </c>
      <c r="CA107" s="45">
        <v>-2.3589192204985965</v>
      </c>
      <c r="CB107" s="45">
        <v>36.339775535498632</v>
      </c>
      <c r="CC107" s="45">
        <v>24.314083771343636</v>
      </c>
      <c r="CD107" s="199">
        <v>1.4508563121982545</v>
      </c>
      <c r="CE107" s="45">
        <v>19.211766567887778</v>
      </c>
      <c r="CF107" s="45">
        <v>0.52353812331736238</v>
      </c>
      <c r="CG107" s="45">
        <v>0</v>
      </c>
      <c r="CH107" s="45">
        <v>0.52353812331736238</v>
      </c>
      <c r="CI107" s="45">
        <v>2.6176836812384929E-2</v>
      </c>
      <c r="CJ107" s="45">
        <v>0</v>
      </c>
      <c r="CK107" s="45">
        <v>2.6176836812384929E-2</v>
      </c>
      <c r="CL107" s="45"/>
      <c r="CM107" s="45">
        <v>0</v>
      </c>
      <c r="CN107" s="45"/>
      <c r="CO107" s="45">
        <v>0</v>
      </c>
      <c r="CP107" s="45">
        <v>0</v>
      </c>
      <c r="CQ107" s="45">
        <v>0</v>
      </c>
      <c r="CR107" s="45">
        <v>0</v>
      </c>
      <c r="CS107" s="45">
        <v>0</v>
      </c>
      <c r="CT107" s="45">
        <v>0</v>
      </c>
      <c r="CU107" s="45">
        <v>0</v>
      </c>
      <c r="CV107" s="45">
        <v>9999</v>
      </c>
      <c r="CW107" s="199">
        <v>9999</v>
      </c>
      <c r="CX107" s="24"/>
      <c r="CY107" s="24"/>
      <c r="CZ107" s="24"/>
      <c r="DA107" s="24"/>
      <c r="DB107" s="24"/>
      <c r="DC107" s="24"/>
      <c r="DD107" s="24"/>
      <c r="DE107" s="24"/>
      <c r="DF107" s="24"/>
      <c r="DG107" s="24"/>
      <c r="DH107" s="24"/>
      <c r="DI107" s="24"/>
      <c r="DJ107" s="24"/>
      <c r="DK107" s="24"/>
      <c r="DL107" s="24"/>
      <c r="DM107" s="24"/>
      <c r="DN107" s="24"/>
      <c r="DO107" s="24"/>
      <c r="DP107" s="24"/>
      <c r="DQ107" s="24"/>
      <c r="DR107" s="24"/>
      <c r="DS107" s="24"/>
      <c r="DT107" s="24"/>
      <c r="DU107" s="24"/>
      <c r="DV107" s="24"/>
      <c r="DW107" s="24"/>
      <c r="DX107" s="24"/>
      <c r="DY107" s="24"/>
      <c r="DZ107" s="24"/>
      <c r="EA107" s="24"/>
    </row>
    <row r="108" spans="1:131">
      <c r="A108" s="24" t="s">
        <v>433</v>
      </c>
      <c r="B108" s="24"/>
      <c r="C108" s="45">
        <v>11.627906976744187</v>
      </c>
      <c r="D108" s="45">
        <v>6.2518603404583653</v>
      </c>
      <c r="E108" s="45">
        <v>0</v>
      </c>
      <c r="F108" s="45">
        <v>1.947148610061336</v>
      </c>
      <c r="G108" s="45">
        <v>0</v>
      </c>
      <c r="H108" s="45">
        <v>-0.12603545489407003</v>
      </c>
      <c r="I108" s="45"/>
      <c r="J108" s="45"/>
      <c r="K108" s="45"/>
      <c r="L108" s="45">
        <v>6.702605615817987</v>
      </c>
      <c r="M108" s="45">
        <v>1.5644870207817637E-3</v>
      </c>
      <c r="N108" s="45">
        <v>1.5531952550499185E-3</v>
      </c>
      <c r="O108" s="45">
        <v>0</v>
      </c>
      <c r="P108" s="45">
        <v>0</v>
      </c>
      <c r="Q108" s="45">
        <v>0</v>
      </c>
      <c r="R108" s="45">
        <v>0.38828744383516756</v>
      </c>
      <c r="S108" s="45">
        <v>0.89727322451624736</v>
      </c>
      <c r="T108" s="45">
        <v>0</v>
      </c>
      <c r="U108" s="45">
        <v>1.8994331381590968</v>
      </c>
      <c r="V108" s="45">
        <v>0.11682891660368017</v>
      </c>
      <c r="W108" s="45">
        <v>0.27260080540858705</v>
      </c>
      <c r="X108" s="45">
        <v>0</v>
      </c>
      <c r="Y108" s="45">
        <v>0</v>
      </c>
      <c r="Z108" s="45">
        <v>0</v>
      </c>
      <c r="AA108" s="45">
        <v>0</v>
      </c>
      <c r="AB108" s="45">
        <v>0</v>
      </c>
      <c r="AC108" s="45">
        <v>0</v>
      </c>
      <c r="AD108" s="45">
        <v>0</v>
      </c>
      <c r="AE108" s="45">
        <v>0</v>
      </c>
      <c r="AF108" s="45">
        <v>0</v>
      </c>
      <c r="AG108" s="45">
        <v>-0.12603545489407003</v>
      </c>
      <c r="AH108" s="45">
        <v>0.50511636043884778</v>
      </c>
      <c r="AI108" s="45">
        <v>1.1698740299248345</v>
      </c>
      <c r="AJ108" s="45">
        <v>0</v>
      </c>
      <c r="AK108" s="45">
        <v>1.7733976832650267</v>
      </c>
      <c r="AL108" s="45">
        <v>3.4483880736287089</v>
      </c>
      <c r="AM108" s="45">
        <v>3.212626821504565</v>
      </c>
      <c r="AN108" s="45">
        <v>0.55280911854715076</v>
      </c>
      <c r="AO108" s="45">
        <v>0</v>
      </c>
      <c r="AP108" s="45">
        <v>0</v>
      </c>
      <c r="AQ108" s="45">
        <v>3.7654359400517157</v>
      </c>
      <c r="AR108" s="45">
        <v>0.50511636043884778</v>
      </c>
      <c r="AS108" s="199">
        <v>7.4545911298146921</v>
      </c>
      <c r="AT108" s="45">
        <v>3.212626821504565</v>
      </c>
      <c r="AU108" s="45">
        <v>0.6543613422010951</v>
      </c>
      <c r="AV108" s="45">
        <v>0</v>
      </c>
      <c r="AW108" s="45">
        <v>0</v>
      </c>
      <c r="AX108" s="45">
        <v>3.8669881637056602</v>
      </c>
      <c r="AY108" s="45">
        <v>1.1698740299248345</v>
      </c>
      <c r="AZ108" s="199">
        <v>3.3054739782146614</v>
      </c>
      <c r="BA108" s="45">
        <v>3.212626821504565</v>
      </c>
      <c r="BB108" s="45">
        <v>1.2071704607482459</v>
      </c>
      <c r="BC108" s="45">
        <v>0</v>
      </c>
      <c r="BD108" s="45">
        <v>0</v>
      </c>
      <c r="BE108" s="45">
        <v>4.4197972822528113</v>
      </c>
      <c r="BF108" s="45">
        <v>1.674990390363682</v>
      </c>
      <c r="BG108" s="45">
        <v>5.135765287828101</v>
      </c>
      <c r="BH108" s="199">
        <v>2.6387000831050522</v>
      </c>
      <c r="BI108" s="45">
        <v>5.5452085429288802</v>
      </c>
      <c r="BJ108" s="45">
        <v>12.842972378193648</v>
      </c>
      <c r="BK108" s="45">
        <v>0</v>
      </c>
      <c r="BL108" s="45">
        <v>19.468504197147368</v>
      </c>
      <c r="BM108" s="45">
        <v>37.856685118269894</v>
      </c>
      <c r="BN108" s="45">
        <v>3.212626821504565</v>
      </c>
      <c r="BO108" s="45">
        <v>0</v>
      </c>
      <c r="BP108" s="45">
        <v>1.2071704607482459</v>
      </c>
      <c r="BQ108" s="45">
        <v>0</v>
      </c>
      <c r="BR108" s="45">
        <v>0</v>
      </c>
      <c r="BS108" s="45">
        <v>0</v>
      </c>
      <c r="BT108" s="45">
        <v>0</v>
      </c>
      <c r="BU108" s="45">
        <v>0</v>
      </c>
      <c r="BV108" s="45">
        <v>0</v>
      </c>
      <c r="BW108" s="45">
        <v>0</v>
      </c>
      <c r="BX108" s="45">
        <v>3.1849938065105117</v>
      </c>
      <c r="BY108" s="45">
        <v>0.38942972201226722</v>
      </c>
      <c r="BZ108" s="45">
        <v>0</v>
      </c>
      <c r="CA108" s="45">
        <v>-0.12603545489407003</v>
      </c>
      <c r="CB108" s="45">
        <v>4.4197972822528104</v>
      </c>
      <c r="CC108" s="45">
        <v>3.4483880736287089</v>
      </c>
      <c r="CD108" s="199">
        <v>1.2717666781433596</v>
      </c>
      <c r="CE108" s="45">
        <v>24.604269484975482</v>
      </c>
      <c r="CF108" s="45">
        <v>6.3674922051553298E-2</v>
      </c>
      <c r="CG108" s="45">
        <v>0</v>
      </c>
      <c r="CH108" s="45">
        <v>6.3674922051553298E-2</v>
      </c>
      <c r="CI108" s="45">
        <v>3.1837376675135452E-3</v>
      </c>
      <c r="CJ108" s="45">
        <v>0</v>
      </c>
      <c r="CK108" s="45">
        <v>3.1837376675135452E-3</v>
      </c>
      <c r="CL108" s="45"/>
      <c r="CM108" s="45">
        <v>0</v>
      </c>
      <c r="CN108" s="45"/>
      <c r="CO108" s="45">
        <v>0</v>
      </c>
      <c r="CP108" s="45">
        <v>0</v>
      </c>
      <c r="CQ108" s="45">
        <v>0</v>
      </c>
      <c r="CR108" s="45">
        <v>0</v>
      </c>
      <c r="CS108" s="45">
        <v>0</v>
      </c>
      <c r="CT108" s="45">
        <v>0</v>
      </c>
      <c r="CU108" s="45">
        <v>0</v>
      </c>
      <c r="CV108" s="45">
        <v>9999</v>
      </c>
      <c r="CW108" s="199">
        <v>9999</v>
      </c>
      <c r="CX108" s="24"/>
      <c r="CY108" s="24"/>
      <c r="CZ108" s="24"/>
      <c r="DA108" s="24"/>
      <c r="DB108" s="24"/>
      <c r="DC108" s="24"/>
      <c r="DD108" s="24"/>
      <c r="DE108" s="24"/>
      <c r="DF108" s="24"/>
      <c r="DG108" s="24"/>
      <c r="DH108" s="24"/>
      <c r="DI108" s="24"/>
      <c r="DJ108" s="24"/>
      <c r="DK108" s="24"/>
      <c r="DL108" s="24"/>
      <c r="DM108" s="24"/>
      <c r="DN108" s="24"/>
      <c r="DO108" s="24"/>
      <c r="DP108" s="24"/>
      <c r="DQ108" s="24"/>
      <c r="DR108" s="24"/>
      <c r="DS108" s="24"/>
      <c r="DT108" s="24"/>
      <c r="DU108" s="24"/>
      <c r="DV108" s="24"/>
      <c r="DW108" s="24"/>
      <c r="DX108" s="24"/>
      <c r="DY108" s="24"/>
      <c r="DZ108" s="24"/>
      <c r="EA108" s="24"/>
    </row>
    <row r="109" spans="1:131">
      <c r="A109" s="24" t="s">
        <v>434</v>
      </c>
      <c r="B109" s="24"/>
      <c r="C109" s="45">
        <v>11.627906976744187</v>
      </c>
      <c r="D109" s="45">
        <v>6.2518603404583653</v>
      </c>
      <c r="E109" s="45">
        <v>0</v>
      </c>
      <c r="F109" s="45">
        <v>2.008153465301179</v>
      </c>
      <c r="G109" s="45">
        <v>0</v>
      </c>
      <c r="H109" s="45">
        <v>-0.12603545489407003</v>
      </c>
      <c r="I109" s="45"/>
      <c r="J109" s="45"/>
      <c r="K109" s="45"/>
      <c r="L109" s="45">
        <v>6.702605615817987</v>
      </c>
      <c r="M109" s="45">
        <v>1.5644870207817637E-3</v>
      </c>
      <c r="N109" s="45">
        <v>1.5531952550499185E-3</v>
      </c>
      <c r="O109" s="45">
        <v>0</v>
      </c>
      <c r="P109" s="45">
        <v>0</v>
      </c>
      <c r="Q109" s="45">
        <v>0</v>
      </c>
      <c r="R109" s="45">
        <v>0.40045262690348349</v>
      </c>
      <c r="S109" s="45">
        <v>0.92538511227322573</v>
      </c>
      <c r="T109" s="45">
        <v>0</v>
      </c>
      <c r="U109" s="45">
        <v>1.9589430507730636</v>
      </c>
      <c r="V109" s="45">
        <v>0.12048920791807075</v>
      </c>
      <c r="W109" s="45">
        <v>0.28114148514216508</v>
      </c>
      <c r="X109" s="45">
        <v>0</v>
      </c>
      <c r="Y109" s="45">
        <v>0</v>
      </c>
      <c r="Z109" s="45">
        <v>0</v>
      </c>
      <c r="AA109" s="45">
        <v>0</v>
      </c>
      <c r="AB109" s="45">
        <v>0</v>
      </c>
      <c r="AC109" s="45">
        <v>0</v>
      </c>
      <c r="AD109" s="45">
        <v>0</v>
      </c>
      <c r="AE109" s="45">
        <v>0</v>
      </c>
      <c r="AF109" s="45">
        <v>0</v>
      </c>
      <c r="AG109" s="45">
        <v>-0.12603545489407003</v>
      </c>
      <c r="AH109" s="45">
        <v>0.52094183482155421</v>
      </c>
      <c r="AI109" s="45">
        <v>1.2065265974153907</v>
      </c>
      <c r="AJ109" s="45">
        <v>0</v>
      </c>
      <c r="AK109" s="45">
        <v>1.8329075958789935</v>
      </c>
      <c r="AL109" s="45">
        <v>3.5603760281159387</v>
      </c>
      <c r="AM109" s="45">
        <v>3.212626821504565</v>
      </c>
      <c r="AN109" s="45">
        <v>0.55280911854715076</v>
      </c>
      <c r="AO109" s="45">
        <v>0</v>
      </c>
      <c r="AP109" s="45">
        <v>0</v>
      </c>
      <c r="AQ109" s="45">
        <v>3.7654359400517157</v>
      </c>
      <c r="AR109" s="45">
        <v>0.52094183482155421</v>
      </c>
      <c r="AS109" s="199">
        <v>7.228131219950007</v>
      </c>
      <c r="AT109" s="45">
        <v>3.212626821504565</v>
      </c>
      <c r="AU109" s="45">
        <v>0.6543613422010951</v>
      </c>
      <c r="AV109" s="45">
        <v>0</v>
      </c>
      <c r="AW109" s="45">
        <v>0</v>
      </c>
      <c r="AX109" s="45">
        <v>3.8669881637056602</v>
      </c>
      <c r="AY109" s="45">
        <v>1.2065265974153907</v>
      </c>
      <c r="AZ109" s="199">
        <v>3.2050583650534383</v>
      </c>
      <c r="BA109" s="45">
        <v>3.212626821504565</v>
      </c>
      <c r="BB109" s="45">
        <v>1.2071704607482459</v>
      </c>
      <c r="BC109" s="45">
        <v>0</v>
      </c>
      <c r="BD109" s="45">
        <v>0</v>
      </c>
      <c r="BE109" s="45">
        <v>4.4197972822528113</v>
      </c>
      <c r="BF109" s="45">
        <v>1.7274684322369449</v>
      </c>
      <c r="BG109" s="45">
        <v>5.7118735054652667</v>
      </c>
      <c r="BH109" s="199">
        <v>2.5585401155663945</v>
      </c>
      <c r="BI109" s="45">
        <v>5.7189418895713118</v>
      </c>
      <c r="BJ109" s="45">
        <v>13.245347249188379</v>
      </c>
      <c r="BK109" s="45">
        <v>0</v>
      </c>
      <c r="BL109" s="45">
        <v>20.121808864470395</v>
      </c>
      <c r="BM109" s="45">
        <v>39.086098003230092</v>
      </c>
      <c r="BN109" s="45">
        <v>3.212626821504565</v>
      </c>
      <c r="BO109" s="45">
        <v>0</v>
      </c>
      <c r="BP109" s="45">
        <v>1.2071704607482459</v>
      </c>
      <c r="BQ109" s="45">
        <v>0</v>
      </c>
      <c r="BR109" s="45">
        <v>0</v>
      </c>
      <c r="BS109" s="45">
        <v>0</v>
      </c>
      <c r="BT109" s="45">
        <v>0</v>
      </c>
      <c r="BU109" s="45">
        <v>0</v>
      </c>
      <c r="BV109" s="45">
        <v>0</v>
      </c>
      <c r="BW109" s="45">
        <v>0</v>
      </c>
      <c r="BX109" s="45">
        <v>3.2847807899497727</v>
      </c>
      <c r="BY109" s="45">
        <v>0.4016306930602358</v>
      </c>
      <c r="BZ109" s="45">
        <v>0</v>
      </c>
      <c r="CA109" s="45">
        <v>-0.12603545489407003</v>
      </c>
      <c r="CB109" s="45">
        <v>4.4197972822528104</v>
      </c>
      <c r="CC109" s="45">
        <v>3.5603760281159387</v>
      </c>
      <c r="CD109" s="199">
        <v>1.2331322094936461</v>
      </c>
      <c r="CE109" s="45">
        <v>25.833682369935676</v>
      </c>
      <c r="CF109" s="45">
        <v>6.3674922051553298E-2</v>
      </c>
      <c r="CG109" s="45">
        <v>0</v>
      </c>
      <c r="CH109" s="45">
        <v>6.3674922051553298E-2</v>
      </c>
      <c r="CI109" s="45">
        <v>3.1837376675135452E-3</v>
      </c>
      <c r="CJ109" s="45">
        <v>0</v>
      </c>
      <c r="CK109" s="45">
        <v>3.1837376675135452E-3</v>
      </c>
      <c r="CL109" s="45"/>
      <c r="CM109" s="45">
        <v>0</v>
      </c>
      <c r="CN109" s="45"/>
      <c r="CO109" s="45">
        <v>0</v>
      </c>
      <c r="CP109" s="45">
        <v>0</v>
      </c>
      <c r="CQ109" s="45">
        <v>0</v>
      </c>
      <c r="CR109" s="45">
        <v>0</v>
      </c>
      <c r="CS109" s="45">
        <v>0</v>
      </c>
      <c r="CT109" s="45">
        <v>0</v>
      </c>
      <c r="CU109" s="45">
        <v>0</v>
      </c>
      <c r="CV109" s="45">
        <v>9999</v>
      </c>
      <c r="CW109" s="199">
        <v>9999</v>
      </c>
      <c r="CX109" s="24"/>
      <c r="CY109" s="24"/>
      <c r="CZ109" s="24"/>
      <c r="DA109" s="24"/>
      <c r="DB109" s="24"/>
      <c r="DC109" s="24"/>
      <c r="DD109" s="24"/>
      <c r="DE109" s="24"/>
      <c r="DF109" s="24"/>
      <c r="DG109" s="24"/>
      <c r="DH109" s="24"/>
      <c r="DI109" s="24"/>
      <c r="DJ109" s="24"/>
      <c r="DK109" s="24"/>
      <c r="DL109" s="24"/>
      <c r="DM109" s="24"/>
      <c r="DN109" s="24"/>
      <c r="DO109" s="24"/>
      <c r="DP109" s="24"/>
      <c r="DQ109" s="24"/>
      <c r="DR109" s="24"/>
      <c r="DS109" s="24"/>
      <c r="DT109" s="24"/>
      <c r="DU109" s="24"/>
      <c r="DV109" s="24"/>
      <c r="DW109" s="24"/>
      <c r="DX109" s="24"/>
      <c r="DY109" s="24"/>
      <c r="DZ109" s="24"/>
      <c r="EA109" s="24"/>
    </row>
    <row r="110" spans="1:131">
      <c r="A110" s="24" t="s">
        <v>427</v>
      </c>
      <c r="B110" s="24"/>
      <c r="C110" s="45">
        <v>11.627906976744185</v>
      </c>
      <c r="D110" s="45">
        <v>130.19651169604927</v>
      </c>
      <c r="E110" s="45">
        <v>0</v>
      </c>
      <c r="F110" s="45">
        <v>45.543781319840186</v>
      </c>
      <c r="G110" s="45">
        <v>0</v>
      </c>
      <c r="H110" s="45">
        <v>-5.5848064724719757</v>
      </c>
      <c r="I110" s="45"/>
      <c r="J110" s="45"/>
      <c r="K110" s="45"/>
      <c r="L110" s="45">
        <v>139.58339165168746</v>
      </c>
      <c r="M110" s="45">
        <v>3.2580822604331608E-2</v>
      </c>
      <c r="N110" s="45">
        <v>3.2345668837434206E-2</v>
      </c>
      <c r="O110" s="45">
        <v>0</v>
      </c>
      <c r="P110" s="45">
        <v>0</v>
      </c>
      <c r="Q110" s="45">
        <v>0</v>
      </c>
      <c r="R110" s="45">
        <v>9.0820383918778251</v>
      </c>
      <c r="S110" s="45">
        <v>20.987209353388064</v>
      </c>
      <c r="T110" s="45">
        <v>0</v>
      </c>
      <c r="U110" s="45">
        <v>44.427717036580319</v>
      </c>
      <c r="V110" s="45">
        <v>2.7326268791904114</v>
      </c>
      <c r="W110" s="45">
        <v>6.3761293847776264</v>
      </c>
      <c r="X110" s="45">
        <v>0</v>
      </c>
      <c r="Y110" s="45">
        <v>0</v>
      </c>
      <c r="Z110" s="45">
        <v>0</v>
      </c>
      <c r="AA110" s="45">
        <v>0</v>
      </c>
      <c r="AB110" s="45">
        <v>0</v>
      </c>
      <c r="AC110" s="45">
        <v>0</v>
      </c>
      <c r="AD110" s="45">
        <v>0</v>
      </c>
      <c r="AE110" s="45">
        <v>0</v>
      </c>
      <c r="AF110" s="45">
        <v>0</v>
      </c>
      <c r="AG110" s="45">
        <v>-5.5848064724719757</v>
      </c>
      <c r="AH110" s="45">
        <v>11.814665271068236</v>
      </c>
      <c r="AI110" s="45">
        <v>27.363338738165691</v>
      </c>
      <c r="AJ110" s="45">
        <v>0</v>
      </c>
      <c r="AK110" s="45">
        <v>38.842910564108344</v>
      </c>
      <c r="AL110" s="45">
        <v>78.020914573342267</v>
      </c>
      <c r="AM110" s="45">
        <v>66.903734690655924</v>
      </c>
      <c r="AN110" s="45">
        <v>11.512384306289528</v>
      </c>
      <c r="AO110" s="45">
        <v>0</v>
      </c>
      <c r="AP110" s="45">
        <v>0</v>
      </c>
      <c r="AQ110" s="45">
        <v>78.416118996945457</v>
      </c>
      <c r="AR110" s="45">
        <v>11.814665271068236</v>
      </c>
      <c r="AS110" s="199">
        <v>6.6371849898253936</v>
      </c>
      <c r="AT110" s="45">
        <v>66.903734690655924</v>
      </c>
      <c r="AU110" s="45">
        <v>13.62723405575645</v>
      </c>
      <c r="AV110" s="45">
        <v>0</v>
      </c>
      <c r="AW110" s="45">
        <v>0</v>
      </c>
      <c r="AX110" s="45">
        <v>80.53096874641237</v>
      </c>
      <c r="AY110" s="45">
        <v>27.363338738165691</v>
      </c>
      <c r="AZ110" s="199">
        <v>2.9430242236518387</v>
      </c>
      <c r="BA110" s="45">
        <v>66.903734690655924</v>
      </c>
      <c r="BB110" s="45">
        <v>25.139618362045979</v>
      </c>
      <c r="BC110" s="45">
        <v>0</v>
      </c>
      <c r="BD110" s="45">
        <v>0</v>
      </c>
      <c r="BE110" s="45">
        <v>92.043353052701903</v>
      </c>
      <c r="BF110" s="45">
        <v>39.178004009233931</v>
      </c>
      <c r="BG110" s="45">
        <v>7.4003717454153337</v>
      </c>
      <c r="BH110" s="199">
        <v>2.3493630004991588</v>
      </c>
      <c r="BI110" s="45">
        <v>6.2281317276012418</v>
      </c>
      <c r="BJ110" s="45">
        <v>14.424655651108507</v>
      </c>
      <c r="BK110" s="45">
        <v>0</v>
      </c>
      <c r="BL110" s="45">
        <v>20.476141991860871</v>
      </c>
      <c r="BM110" s="45">
        <v>41.128929370570617</v>
      </c>
      <c r="BN110" s="45">
        <v>66.903734690655924</v>
      </c>
      <c r="BO110" s="45">
        <v>0</v>
      </c>
      <c r="BP110" s="45">
        <v>25.139618362045979</v>
      </c>
      <c r="BQ110" s="45">
        <v>0</v>
      </c>
      <c r="BR110" s="45">
        <v>0</v>
      </c>
      <c r="BS110" s="45">
        <v>0</v>
      </c>
      <c r="BT110" s="45">
        <v>0</v>
      </c>
      <c r="BU110" s="45">
        <v>0</v>
      </c>
      <c r="BV110" s="45">
        <v>0</v>
      </c>
      <c r="BW110" s="45">
        <v>0</v>
      </c>
      <c r="BX110" s="45">
        <v>74.496964781846202</v>
      </c>
      <c r="BY110" s="45">
        <v>9.1087562639680382</v>
      </c>
      <c r="BZ110" s="45">
        <v>0</v>
      </c>
      <c r="CA110" s="45">
        <v>-5.5848064724719757</v>
      </c>
      <c r="CB110" s="45">
        <v>92.043353052701903</v>
      </c>
      <c r="CC110" s="45">
        <v>78.020914573342253</v>
      </c>
      <c r="CD110" s="199">
        <v>1.1677210399474414</v>
      </c>
      <c r="CE110" s="45">
        <v>27.876513737276195</v>
      </c>
      <c r="CF110" s="45">
        <v>1.3260457339362539</v>
      </c>
      <c r="CG110" s="45">
        <v>0</v>
      </c>
      <c r="CH110" s="45">
        <v>1.3260457339362539</v>
      </c>
      <c r="CI110" s="45">
        <v>6.6302111034551553E-2</v>
      </c>
      <c r="CJ110" s="45">
        <v>0</v>
      </c>
      <c r="CK110" s="45">
        <v>6.6302111034551553E-2</v>
      </c>
      <c r="CL110" s="45"/>
      <c r="CM110" s="45">
        <v>0</v>
      </c>
      <c r="CN110" s="45"/>
      <c r="CO110" s="45">
        <v>0</v>
      </c>
      <c r="CP110" s="45">
        <v>0</v>
      </c>
      <c r="CQ110" s="45">
        <v>0</v>
      </c>
      <c r="CR110" s="45">
        <v>0</v>
      </c>
      <c r="CS110" s="45">
        <v>0</v>
      </c>
      <c r="CT110" s="45">
        <v>0</v>
      </c>
      <c r="CU110" s="45">
        <v>0</v>
      </c>
      <c r="CV110" s="45">
        <v>9999</v>
      </c>
      <c r="CW110" s="199">
        <v>9999</v>
      </c>
      <c r="CX110" s="24"/>
      <c r="CY110" s="24"/>
      <c r="CZ110" s="24"/>
      <c r="DA110" s="24"/>
      <c r="DB110" s="24"/>
      <c r="DC110" s="24"/>
      <c r="DD110" s="24"/>
      <c r="DE110" s="24"/>
      <c r="DF110" s="24"/>
      <c r="DG110" s="24"/>
      <c r="DH110" s="24"/>
      <c r="DI110" s="24"/>
      <c r="DJ110" s="24"/>
      <c r="DK110" s="24"/>
      <c r="DL110" s="24"/>
      <c r="DM110" s="24"/>
      <c r="DN110" s="24"/>
      <c r="DO110" s="24"/>
      <c r="DP110" s="24"/>
      <c r="DQ110" s="24"/>
      <c r="DR110" s="24"/>
      <c r="DS110" s="24"/>
      <c r="DT110" s="24"/>
      <c r="DU110" s="24"/>
      <c r="DV110" s="24"/>
      <c r="DW110" s="24"/>
      <c r="DX110" s="24"/>
      <c r="DY110" s="24"/>
      <c r="DZ110" s="24"/>
      <c r="EA110" s="24"/>
    </row>
    <row r="111" spans="1:131">
      <c r="A111" s="24" t="s">
        <v>431</v>
      </c>
      <c r="B111" s="24"/>
      <c r="C111" s="45">
        <v>11.627906976744185</v>
      </c>
      <c r="D111" s="45">
        <v>130.19651169604927</v>
      </c>
      <c r="E111" s="45">
        <v>0</v>
      </c>
      <c r="F111" s="45">
        <v>50.067502645018976</v>
      </c>
      <c r="G111" s="45">
        <v>0</v>
      </c>
      <c r="H111" s="45">
        <v>-5.5848064724719757</v>
      </c>
      <c r="I111" s="45"/>
      <c r="J111" s="45"/>
      <c r="K111" s="45"/>
      <c r="L111" s="45">
        <v>139.58339165168746</v>
      </c>
      <c r="M111" s="45">
        <v>3.2580822604331608E-2</v>
      </c>
      <c r="N111" s="45">
        <v>3.2345668837434206E-2</v>
      </c>
      <c r="O111" s="45">
        <v>0</v>
      </c>
      <c r="P111" s="45">
        <v>0</v>
      </c>
      <c r="Q111" s="45">
        <v>0</v>
      </c>
      <c r="R111" s="45">
        <v>9.9841288542596249</v>
      </c>
      <c r="S111" s="45">
        <v>23.071803204767605</v>
      </c>
      <c r="T111" s="45">
        <v>0</v>
      </c>
      <c r="U111" s="45">
        <v>48.840583187855188</v>
      </c>
      <c r="V111" s="45">
        <v>3.0040501587011388</v>
      </c>
      <c r="W111" s="45">
        <v>7.0094503703026563</v>
      </c>
      <c r="X111" s="45">
        <v>0</v>
      </c>
      <c r="Y111" s="45">
        <v>0</v>
      </c>
      <c r="Z111" s="45">
        <v>0</v>
      </c>
      <c r="AA111" s="45">
        <v>0</v>
      </c>
      <c r="AB111" s="45">
        <v>0</v>
      </c>
      <c r="AC111" s="45">
        <v>0</v>
      </c>
      <c r="AD111" s="45">
        <v>0</v>
      </c>
      <c r="AE111" s="45">
        <v>0</v>
      </c>
      <c r="AF111" s="45">
        <v>0</v>
      </c>
      <c r="AG111" s="45">
        <v>-5.5848064724719757</v>
      </c>
      <c r="AH111" s="45">
        <v>12.988179012960764</v>
      </c>
      <c r="AI111" s="45">
        <v>30.08125357507026</v>
      </c>
      <c r="AJ111" s="45">
        <v>0</v>
      </c>
      <c r="AK111" s="45">
        <v>43.255776715383213</v>
      </c>
      <c r="AL111" s="45">
        <v>86.32520930341424</v>
      </c>
      <c r="AM111" s="45">
        <v>66.903734690655924</v>
      </c>
      <c r="AN111" s="45">
        <v>11.512384306289528</v>
      </c>
      <c r="AO111" s="45">
        <v>0</v>
      </c>
      <c r="AP111" s="45">
        <v>0</v>
      </c>
      <c r="AQ111" s="45">
        <v>78.416118996945457</v>
      </c>
      <c r="AR111" s="45">
        <v>12.988179012960764</v>
      </c>
      <c r="AS111" s="199">
        <v>6.037499091958531</v>
      </c>
      <c r="AT111" s="45">
        <v>66.903734690655924</v>
      </c>
      <c r="AU111" s="45">
        <v>13.62723405575645</v>
      </c>
      <c r="AV111" s="45">
        <v>0</v>
      </c>
      <c r="AW111" s="45">
        <v>0</v>
      </c>
      <c r="AX111" s="45">
        <v>80.53096874641237</v>
      </c>
      <c r="AY111" s="45">
        <v>30.08125357507026</v>
      </c>
      <c r="AZ111" s="199">
        <v>2.6771147866374871</v>
      </c>
      <c r="BA111" s="45">
        <v>66.903734690655924</v>
      </c>
      <c r="BB111" s="45">
        <v>25.139618362045979</v>
      </c>
      <c r="BC111" s="45">
        <v>0</v>
      </c>
      <c r="BD111" s="45">
        <v>0</v>
      </c>
      <c r="BE111" s="45">
        <v>92.043353052701903</v>
      </c>
      <c r="BF111" s="45">
        <v>43.06943258803102</v>
      </c>
      <c r="BG111" s="45">
        <v>9.4517485082128641</v>
      </c>
      <c r="BH111" s="199">
        <v>2.1370923070456405</v>
      </c>
      <c r="BI111" s="45">
        <v>6.8467525688158206</v>
      </c>
      <c r="BJ111" s="45">
        <v>15.857411572691463</v>
      </c>
      <c r="BK111" s="45">
        <v>0</v>
      </c>
      <c r="BL111" s="45">
        <v>22.802395936076728</v>
      </c>
      <c r="BM111" s="45">
        <v>45.50656007758402</v>
      </c>
      <c r="BN111" s="45">
        <v>66.903734690655924</v>
      </c>
      <c r="BO111" s="45">
        <v>0</v>
      </c>
      <c r="BP111" s="45">
        <v>25.139618362045979</v>
      </c>
      <c r="BQ111" s="45">
        <v>0</v>
      </c>
      <c r="BR111" s="45">
        <v>0</v>
      </c>
      <c r="BS111" s="45">
        <v>0</v>
      </c>
      <c r="BT111" s="45">
        <v>0</v>
      </c>
      <c r="BU111" s="45">
        <v>0</v>
      </c>
      <c r="BV111" s="45">
        <v>0</v>
      </c>
      <c r="BW111" s="45">
        <v>0</v>
      </c>
      <c r="BX111" s="45">
        <v>81.896515246882416</v>
      </c>
      <c r="BY111" s="45">
        <v>10.013500529003796</v>
      </c>
      <c r="BZ111" s="45">
        <v>0</v>
      </c>
      <c r="CA111" s="45">
        <v>-5.5848064724719757</v>
      </c>
      <c r="CB111" s="45">
        <v>92.043353052701903</v>
      </c>
      <c r="CC111" s="45">
        <v>86.325209303414226</v>
      </c>
      <c r="CD111" s="199">
        <v>1.0622145878337224</v>
      </c>
      <c r="CE111" s="45">
        <v>32.254144444289587</v>
      </c>
      <c r="CF111" s="45">
        <v>1.3260457339362539</v>
      </c>
      <c r="CG111" s="45">
        <v>0</v>
      </c>
      <c r="CH111" s="45">
        <v>1.3260457339362539</v>
      </c>
      <c r="CI111" s="45">
        <v>6.6302111034551553E-2</v>
      </c>
      <c r="CJ111" s="45">
        <v>0</v>
      </c>
      <c r="CK111" s="45">
        <v>6.6302111034551553E-2</v>
      </c>
      <c r="CL111" s="45"/>
      <c r="CM111" s="45">
        <v>0</v>
      </c>
      <c r="CN111" s="45"/>
      <c r="CO111" s="45">
        <v>0</v>
      </c>
      <c r="CP111" s="45">
        <v>0</v>
      </c>
      <c r="CQ111" s="45">
        <v>0</v>
      </c>
      <c r="CR111" s="45">
        <v>0</v>
      </c>
      <c r="CS111" s="45">
        <v>0</v>
      </c>
      <c r="CT111" s="45">
        <v>0</v>
      </c>
      <c r="CU111" s="45">
        <v>0</v>
      </c>
      <c r="CV111" s="45">
        <v>9999</v>
      </c>
      <c r="CW111" s="199">
        <v>9999</v>
      </c>
      <c r="CX111" s="24"/>
      <c r="CY111" s="24"/>
      <c r="CZ111" s="24"/>
      <c r="DA111" s="24"/>
      <c r="DB111" s="24"/>
      <c r="DC111" s="24"/>
      <c r="DD111" s="24"/>
      <c r="DE111" s="24"/>
      <c r="DF111" s="24"/>
      <c r="DG111" s="24"/>
      <c r="DH111" s="24"/>
      <c r="DI111" s="24"/>
      <c r="DJ111" s="24"/>
      <c r="DK111" s="24"/>
      <c r="DL111" s="24"/>
      <c r="DM111" s="24"/>
      <c r="DN111" s="24"/>
      <c r="DO111" s="24"/>
      <c r="DP111" s="24"/>
      <c r="DQ111" s="24"/>
      <c r="DR111" s="24"/>
      <c r="DS111" s="24"/>
      <c r="DT111" s="24"/>
      <c r="DU111" s="24"/>
      <c r="DV111" s="24"/>
      <c r="DW111" s="24"/>
      <c r="DX111" s="24"/>
      <c r="DY111" s="24"/>
      <c r="DZ111" s="24"/>
      <c r="EA111" s="24"/>
    </row>
    <row r="112" spans="1:131">
      <c r="A112" s="24" t="s">
        <v>436</v>
      </c>
      <c r="B112" s="24"/>
      <c r="C112" s="45">
        <v>6.6762790697674417</v>
      </c>
      <c r="D112" s="45">
        <v>2.3112289292682102</v>
      </c>
      <c r="E112" s="45">
        <v>0</v>
      </c>
      <c r="F112" s="45">
        <v>1.0315522391340137</v>
      </c>
      <c r="G112" s="45">
        <v>0</v>
      </c>
      <c r="H112" s="45">
        <v>-1.3137623929241096</v>
      </c>
      <c r="I112" s="45"/>
      <c r="J112" s="45"/>
      <c r="K112" s="45"/>
      <c r="L112" s="45">
        <v>2.4778634129914572</v>
      </c>
      <c r="M112" s="45">
        <v>5.7836987152376843E-4</v>
      </c>
      <c r="N112" s="45">
        <v>5.7419545715736459E-4</v>
      </c>
      <c r="O112" s="45">
        <v>0</v>
      </c>
      <c r="P112" s="45">
        <v>0</v>
      </c>
      <c r="Q112" s="45">
        <v>0</v>
      </c>
      <c r="R112" s="45">
        <v>0.20570529647614957</v>
      </c>
      <c r="S112" s="45">
        <v>0.47535365255740558</v>
      </c>
      <c r="T112" s="45">
        <v>0</v>
      </c>
      <c r="U112" s="45">
        <v>2.0619258035268317</v>
      </c>
      <c r="V112" s="45">
        <v>6.1893134348040828E-2</v>
      </c>
      <c r="W112" s="45">
        <v>0.14441731347876191</v>
      </c>
      <c r="X112" s="45">
        <v>0</v>
      </c>
      <c r="Y112" s="45">
        <v>0</v>
      </c>
      <c r="Z112" s="45">
        <v>0</v>
      </c>
      <c r="AA112" s="45">
        <v>0</v>
      </c>
      <c r="AB112" s="45">
        <v>0</v>
      </c>
      <c r="AC112" s="45">
        <v>0</v>
      </c>
      <c r="AD112" s="45">
        <v>0</v>
      </c>
      <c r="AE112" s="45">
        <v>0</v>
      </c>
      <c r="AF112" s="45">
        <v>0</v>
      </c>
      <c r="AG112" s="45">
        <v>-1.3137623929241096</v>
      </c>
      <c r="AH112" s="45">
        <v>0.26759843082419038</v>
      </c>
      <c r="AI112" s="45">
        <v>0.61977096603616744</v>
      </c>
      <c r="AJ112" s="45">
        <v>0</v>
      </c>
      <c r="AK112" s="45">
        <v>0.74816341060272218</v>
      </c>
      <c r="AL112" s="45">
        <v>1.6355328074630799</v>
      </c>
      <c r="AM112" s="45">
        <v>1.1876650539925426</v>
      </c>
      <c r="AN112" s="45">
        <v>0.20436611785473116</v>
      </c>
      <c r="AO112" s="45">
        <v>0</v>
      </c>
      <c r="AP112" s="45">
        <v>0</v>
      </c>
      <c r="AQ112" s="45">
        <v>1.3920311718472738</v>
      </c>
      <c r="AR112" s="45">
        <v>0.26759843082419038</v>
      </c>
      <c r="AS112" s="199">
        <v>5.2019407122825205</v>
      </c>
      <c r="AT112" s="45">
        <v>1.1876650539925426</v>
      </c>
      <c r="AU112" s="45">
        <v>0.24190861310556133</v>
      </c>
      <c r="AV112" s="45">
        <v>0</v>
      </c>
      <c r="AW112" s="45">
        <v>0</v>
      </c>
      <c r="AX112" s="45">
        <v>1.4295736670981039</v>
      </c>
      <c r="AY112" s="45">
        <v>0.61977096603616744</v>
      </c>
      <c r="AZ112" s="199">
        <v>2.3066160653525669</v>
      </c>
      <c r="BA112" s="45">
        <v>1.1876650539925426</v>
      </c>
      <c r="BB112" s="45">
        <v>0.44627473096029247</v>
      </c>
      <c r="BC112" s="45">
        <v>0</v>
      </c>
      <c r="BD112" s="45">
        <v>0</v>
      </c>
      <c r="BE112" s="45">
        <v>1.633939784952835</v>
      </c>
      <c r="BF112" s="45">
        <v>0.88736939686035787</v>
      </c>
      <c r="BG112" s="45">
        <v>13.098590264248951</v>
      </c>
      <c r="BH112" s="199">
        <v>1.8413298799056534</v>
      </c>
      <c r="BI112" s="45">
        <v>7.9465077945788769</v>
      </c>
      <c r="BJ112" s="45">
        <v>18.404498102964489</v>
      </c>
      <c r="BK112" s="45">
        <v>0</v>
      </c>
      <c r="BL112" s="45">
        <v>22.217194456866025</v>
      </c>
      <c r="BM112" s="45">
        <v>48.568200354409392</v>
      </c>
      <c r="BN112" s="45">
        <v>1.1876650539925426</v>
      </c>
      <c r="BO112" s="45">
        <v>0</v>
      </c>
      <c r="BP112" s="45">
        <v>0.44627473096029247</v>
      </c>
      <c r="BQ112" s="45">
        <v>0</v>
      </c>
      <c r="BR112" s="45">
        <v>0</v>
      </c>
      <c r="BS112" s="45">
        <v>0</v>
      </c>
      <c r="BT112" s="45">
        <v>0</v>
      </c>
      <c r="BU112" s="45">
        <v>0</v>
      </c>
      <c r="BV112" s="45">
        <v>0</v>
      </c>
      <c r="BW112" s="45">
        <v>0</v>
      </c>
      <c r="BX112" s="45">
        <v>2.7429847525603868</v>
      </c>
      <c r="BY112" s="45">
        <v>0.20631044782680275</v>
      </c>
      <c r="BZ112" s="45">
        <v>0</v>
      </c>
      <c r="CA112" s="45">
        <v>-1.3137623929241096</v>
      </c>
      <c r="CB112" s="45">
        <v>1.633939784952835</v>
      </c>
      <c r="CC112" s="45">
        <v>1.6355328074630799</v>
      </c>
      <c r="CD112" s="200">
        <v>0.99945986332258774</v>
      </c>
      <c r="CE112" s="45">
        <v>35.315784721114973</v>
      </c>
      <c r="CF112" s="45">
        <v>2.3539764790020557E-2</v>
      </c>
      <c r="CG112" s="45">
        <v>0</v>
      </c>
      <c r="CH112" s="45">
        <v>2.3539764790020557E-2</v>
      </c>
      <c r="CI112" s="45">
        <v>1.1769851211709426E-3</v>
      </c>
      <c r="CJ112" s="45">
        <v>0</v>
      </c>
      <c r="CK112" s="45">
        <v>1.1769851211709426E-3</v>
      </c>
      <c r="CL112" s="45"/>
      <c r="CM112" s="45">
        <v>0</v>
      </c>
      <c r="CN112" s="45"/>
      <c r="CO112" s="45">
        <v>0</v>
      </c>
      <c r="CP112" s="45">
        <v>0</v>
      </c>
      <c r="CQ112" s="45">
        <v>0</v>
      </c>
      <c r="CR112" s="45">
        <v>0</v>
      </c>
      <c r="CS112" s="45">
        <v>0</v>
      </c>
      <c r="CT112" s="45">
        <v>0</v>
      </c>
      <c r="CU112" s="45">
        <v>0</v>
      </c>
      <c r="CV112" s="45">
        <v>9999</v>
      </c>
      <c r="CW112" s="199">
        <v>9999</v>
      </c>
      <c r="CX112" s="24"/>
      <c r="CY112" s="24"/>
      <c r="CZ112" s="24"/>
      <c r="DA112" s="24"/>
      <c r="DB112" s="24"/>
      <c r="DC112" s="24"/>
      <c r="DD112" s="24"/>
      <c r="DE112" s="24"/>
      <c r="DF112" s="24"/>
      <c r="DG112" s="24"/>
      <c r="DH112" s="24"/>
      <c r="DI112" s="24"/>
      <c r="DJ112" s="24"/>
      <c r="DK112" s="24"/>
      <c r="DL112" s="24"/>
      <c r="DM112" s="24"/>
      <c r="DN112" s="24"/>
      <c r="DO112" s="24"/>
      <c r="DP112" s="24"/>
      <c r="DQ112" s="24"/>
      <c r="DR112" s="24"/>
      <c r="DS112" s="24"/>
      <c r="DT112" s="24"/>
      <c r="DU112" s="24"/>
      <c r="DV112" s="24"/>
      <c r="DW112" s="24"/>
      <c r="DX112" s="24"/>
      <c r="DY112" s="24"/>
      <c r="DZ112" s="24"/>
      <c r="EA112" s="24"/>
    </row>
    <row r="113" spans="1:131">
      <c r="A113" s="24"/>
      <c r="B113" s="24"/>
      <c r="C113" s="45"/>
      <c r="D113" s="45"/>
      <c r="E113" s="45"/>
      <c r="F113" s="45"/>
      <c r="G113" s="45"/>
      <c r="H113" s="45"/>
      <c r="I113" s="45"/>
      <c r="J113" s="45"/>
      <c r="K113" s="45"/>
      <c r="L113" s="45"/>
      <c r="M113" s="45"/>
      <c r="N113" s="45"/>
      <c r="O113" s="45"/>
      <c r="P113" s="45"/>
      <c r="Q113" s="45"/>
      <c r="R113" s="45"/>
      <c r="S113" s="45"/>
      <c r="T113" s="45"/>
      <c r="U113" s="45"/>
      <c r="V113" s="45"/>
      <c r="W113" s="45"/>
      <c r="X113" s="45"/>
      <c r="Y113" s="45"/>
      <c r="Z113" s="45"/>
      <c r="AA113" s="45"/>
      <c r="AB113" s="45"/>
      <c r="AC113" s="45"/>
      <c r="AD113" s="45"/>
      <c r="AE113" s="45"/>
      <c r="AF113" s="45"/>
      <c r="AG113" s="45"/>
      <c r="AH113" s="45"/>
      <c r="AI113" s="45"/>
      <c r="AJ113" s="45"/>
      <c r="AK113" s="45"/>
      <c r="AL113" s="45"/>
      <c r="AM113" s="45"/>
      <c r="AN113" s="45"/>
      <c r="AO113" s="45"/>
      <c r="AP113" s="45"/>
      <c r="AQ113" s="45"/>
      <c r="AR113" s="45"/>
      <c r="AS113" s="45"/>
      <c r="AT113" s="45"/>
      <c r="AU113" s="45"/>
      <c r="AV113" s="45"/>
      <c r="AW113" s="45"/>
      <c r="AX113" s="45"/>
      <c r="AY113" s="45"/>
      <c r="AZ113" s="45"/>
      <c r="BA113" s="45"/>
      <c r="BB113" s="45"/>
      <c r="BC113" s="45"/>
      <c r="BD113" s="45"/>
      <c r="BE113" s="45"/>
      <c r="BF113" s="45"/>
      <c r="BG113" s="45"/>
      <c r="BH113" s="45"/>
      <c r="BI113" s="45"/>
      <c r="BJ113" s="45"/>
      <c r="BK113" s="45"/>
      <c r="BL113" s="45"/>
      <c r="BM113" s="45"/>
      <c r="BN113" s="45"/>
      <c r="BO113" s="45"/>
      <c r="BP113" s="45"/>
      <c r="BQ113" s="45"/>
      <c r="BR113" s="45"/>
      <c r="BS113" s="45"/>
      <c r="BT113" s="45"/>
      <c r="BU113" s="45"/>
      <c r="BV113" s="45"/>
      <c r="BW113" s="45"/>
      <c r="BX113" s="45"/>
      <c r="BY113" s="45"/>
      <c r="BZ113" s="45"/>
      <c r="CA113" s="45"/>
      <c r="CB113" s="45"/>
      <c r="CC113" s="45"/>
      <c r="CD113" s="45"/>
      <c r="CE113" s="45"/>
      <c r="CF113" s="45"/>
      <c r="CG113" s="45"/>
      <c r="CH113" s="45"/>
      <c r="CI113" s="45"/>
      <c r="CJ113" s="45"/>
      <c r="CK113" s="45"/>
      <c r="CL113" s="45"/>
      <c r="CM113" s="45"/>
      <c r="CN113" s="45"/>
      <c r="CO113" s="45"/>
      <c r="CP113" s="45"/>
      <c r="CQ113" s="45"/>
      <c r="CR113" s="45"/>
      <c r="CS113" s="45"/>
      <c r="CT113" s="45"/>
      <c r="CU113" s="45"/>
      <c r="CV113" s="45"/>
      <c r="CW113" s="45"/>
      <c r="CX113" s="24"/>
      <c r="CY113" s="24"/>
      <c r="CZ113" s="24"/>
      <c r="DA113" s="24"/>
      <c r="DB113" s="24"/>
      <c r="DC113" s="24"/>
      <c r="DD113" s="24"/>
      <c r="DE113" s="24"/>
      <c r="DF113" s="24"/>
      <c r="DG113" s="24"/>
      <c r="DH113" s="24"/>
      <c r="DI113" s="24"/>
      <c r="DJ113" s="24"/>
      <c r="DK113" s="24"/>
      <c r="DL113" s="24"/>
      <c r="DM113" s="24"/>
      <c r="DN113" s="24"/>
      <c r="DO113" s="24"/>
      <c r="DP113" s="24"/>
      <c r="DQ113" s="24"/>
      <c r="DR113" s="24"/>
      <c r="DS113" s="24"/>
      <c r="DT113" s="24"/>
      <c r="DU113" s="24"/>
      <c r="DV113" s="24"/>
      <c r="DW113" s="24"/>
      <c r="DX113" s="24"/>
      <c r="DY113" s="24"/>
      <c r="DZ113" s="24"/>
      <c r="EA113" s="24"/>
    </row>
    <row r="114" spans="1:131">
      <c r="A114" s="24"/>
      <c r="B114" s="24"/>
      <c r="C114" s="45"/>
      <c r="D114" s="45"/>
      <c r="E114" s="45"/>
      <c r="F114" s="45"/>
      <c r="G114" s="45"/>
      <c r="H114" s="45"/>
      <c r="I114" s="45"/>
      <c r="J114" s="45"/>
      <c r="K114" s="45"/>
      <c r="L114" s="45"/>
      <c r="M114" s="45"/>
      <c r="N114" s="45"/>
      <c r="O114" s="45"/>
      <c r="P114" s="45"/>
      <c r="Q114" s="45"/>
      <c r="R114" s="45"/>
      <c r="S114" s="45"/>
      <c r="T114" s="45"/>
      <c r="U114" s="45"/>
      <c r="V114" s="45"/>
      <c r="W114" s="45"/>
      <c r="X114" s="45"/>
      <c r="Y114" s="45"/>
      <c r="Z114" s="45"/>
      <c r="AA114" s="45"/>
      <c r="AB114" s="45"/>
      <c r="AC114" s="45"/>
      <c r="AD114" s="45"/>
      <c r="AE114" s="45"/>
      <c r="AF114" s="45"/>
      <c r="AG114" s="45"/>
      <c r="AH114" s="45"/>
      <c r="AI114" s="45"/>
      <c r="AJ114" s="45"/>
      <c r="AK114" s="45"/>
      <c r="AL114" s="45"/>
      <c r="AM114" s="45"/>
      <c r="AN114" s="45"/>
      <c r="AO114" s="45"/>
      <c r="AP114" s="45"/>
      <c r="AQ114" s="45"/>
      <c r="AR114" s="45"/>
      <c r="AS114" s="45"/>
      <c r="AT114" s="45"/>
      <c r="AU114" s="45"/>
      <c r="AV114" s="45"/>
      <c r="AW114" s="45"/>
      <c r="AX114" s="45"/>
      <c r="AY114" s="45"/>
      <c r="AZ114" s="45"/>
      <c r="BA114" s="45"/>
      <c r="BB114" s="45"/>
      <c r="BC114" s="45"/>
      <c r="BD114" s="45"/>
      <c r="BE114" s="45"/>
      <c r="BF114" s="45"/>
      <c r="BG114" s="45"/>
      <c r="BH114" s="45"/>
      <c r="BI114" s="45"/>
      <c r="BJ114" s="45"/>
      <c r="BK114" s="45"/>
      <c r="BL114" s="45"/>
      <c r="BM114" s="45"/>
      <c r="BN114" s="45"/>
      <c r="BO114" s="45"/>
      <c r="BP114" s="45"/>
      <c r="BQ114" s="45"/>
      <c r="BR114" s="45"/>
      <c r="BS114" s="45"/>
      <c r="BT114" s="45"/>
      <c r="BU114" s="45"/>
      <c r="BV114" s="45"/>
      <c r="BW114" s="45"/>
      <c r="BX114" s="45"/>
      <c r="BY114" s="45"/>
      <c r="BZ114" s="45"/>
      <c r="CA114" s="45"/>
      <c r="CB114" s="45"/>
      <c r="CC114" s="45"/>
      <c r="CD114" s="45"/>
      <c r="CE114" s="45"/>
      <c r="CF114" s="45"/>
      <c r="CG114" s="45"/>
      <c r="CH114" s="45"/>
      <c r="CI114" s="45"/>
      <c r="CJ114" s="45"/>
      <c r="CK114" s="45"/>
      <c r="CL114" s="45"/>
      <c r="CM114" s="45"/>
      <c r="CN114" s="45"/>
      <c r="CO114" s="45"/>
      <c r="CP114" s="45"/>
      <c r="CQ114" s="45"/>
      <c r="CR114" s="45"/>
      <c r="CS114" s="45"/>
      <c r="CT114" s="45"/>
      <c r="CU114" s="45"/>
      <c r="CV114" s="45"/>
      <c r="CW114" s="45"/>
      <c r="CX114" s="24"/>
      <c r="CY114" s="24"/>
      <c r="CZ114" s="24"/>
      <c r="DA114" s="24"/>
      <c r="DB114" s="24"/>
      <c r="DC114" s="24"/>
      <c r="DD114" s="24"/>
      <c r="DE114" s="24"/>
      <c r="DF114" s="24"/>
      <c r="DG114" s="24"/>
      <c r="DH114" s="24"/>
      <c r="DI114" s="24"/>
      <c r="DJ114" s="24"/>
      <c r="DK114" s="24"/>
      <c r="DL114" s="24"/>
      <c r="DM114" s="24"/>
      <c r="DN114" s="24"/>
      <c r="DO114" s="24"/>
      <c r="DP114" s="24"/>
      <c r="DQ114" s="24"/>
      <c r="DR114" s="24"/>
      <c r="DS114" s="24"/>
      <c r="DT114" s="24"/>
      <c r="DU114" s="24"/>
      <c r="DV114" s="24"/>
      <c r="DW114" s="24"/>
      <c r="DX114" s="24"/>
      <c r="DY114" s="24"/>
      <c r="DZ114" s="24"/>
      <c r="EA114" s="24"/>
    </row>
    <row r="115" spans="1:131" ht="13.5" thickBot="1">
      <c r="A115" s="187" t="s">
        <v>632</v>
      </c>
      <c r="B115" s="188"/>
      <c r="C115" s="45"/>
      <c r="D115" s="45"/>
      <c r="E115" s="45"/>
      <c r="F115" s="45"/>
      <c r="G115" s="45"/>
      <c r="H115" s="45"/>
      <c r="I115" s="45"/>
      <c r="J115" s="45"/>
      <c r="K115" s="45"/>
      <c r="L115" s="45"/>
      <c r="M115" s="45"/>
      <c r="N115" s="45"/>
      <c r="O115" s="45"/>
      <c r="P115" s="45"/>
      <c r="Q115" s="45"/>
      <c r="R115" s="45"/>
      <c r="S115" s="45"/>
      <c r="T115" s="45"/>
      <c r="U115" s="45"/>
      <c r="V115" s="45"/>
      <c r="W115" s="45"/>
      <c r="X115" s="45"/>
      <c r="Y115" s="45"/>
      <c r="Z115" s="45"/>
      <c r="AA115" s="45"/>
      <c r="AB115" s="45"/>
      <c r="AC115" s="45"/>
      <c r="AD115" s="45"/>
      <c r="AE115" s="45"/>
      <c r="AF115" s="45"/>
      <c r="AG115" s="45"/>
      <c r="AH115" s="45"/>
      <c r="AI115" s="45"/>
      <c r="AJ115" s="45"/>
      <c r="AK115" s="45"/>
      <c r="AL115" s="45"/>
      <c r="AM115" s="45"/>
      <c r="AN115" s="45"/>
      <c r="AO115" s="45"/>
      <c r="AP115" s="45"/>
      <c r="AQ115" s="45"/>
      <c r="AR115" s="45"/>
      <c r="AS115" s="45"/>
      <c r="AT115" s="45"/>
      <c r="AU115" s="45"/>
      <c r="AV115" s="45"/>
      <c r="AW115" s="45"/>
      <c r="AX115" s="45"/>
      <c r="AY115" s="45"/>
      <c r="AZ115" s="45"/>
      <c r="BA115" s="45"/>
      <c r="BB115" s="45"/>
      <c r="BC115" s="45"/>
      <c r="BD115" s="45"/>
      <c r="BE115" s="45"/>
      <c r="BF115" s="45"/>
      <c r="BG115" s="45"/>
      <c r="BH115" s="45"/>
      <c r="BI115" s="45"/>
      <c r="BJ115" s="45"/>
      <c r="BK115" s="45"/>
      <c r="BL115" s="45"/>
      <c r="BM115" s="45"/>
      <c r="BN115" s="45"/>
      <c r="BO115" s="45"/>
      <c r="BP115" s="45"/>
      <c r="BQ115" s="45"/>
      <c r="BR115" s="45"/>
      <c r="BS115" s="45"/>
      <c r="BT115" s="45"/>
      <c r="BU115" s="45"/>
      <c r="BV115" s="45"/>
      <c r="BW115" s="45"/>
      <c r="BX115" s="45"/>
      <c r="BY115" s="45"/>
      <c r="BZ115" s="45"/>
      <c r="CA115" s="45"/>
      <c r="CB115" s="45"/>
      <c r="CC115" s="45"/>
      <c r="CD115" s="45"/>
      <c r="CE115" s="45"/>
      <c r="CF115" s="45"/>
      <c r="CG115" s="45"/>
      <c r="CH115" s="45"/>
      <c r="CI115" s="45"/>
      <c r="CJ115" s="45"/>
      <c r="CK115" s="45"/>
      <c r="CL115" s="45"/>
      <c r="CM115" s="45"/>
      <c r="CN115" s="45"/>
      <c r="CO115" s="45"/>
      <c r="CP115" s="45"/>
      <c r="CQ115" s="45"/>
      <c r="CR115" s="45"/>
      <c r="CS115" s="45"/>
      <c r="CT115" s="45"/>
      <c r="CU115" s="45"/>
      <c r="CV115" s="45"/>
      <c r="CW115" s="45"/>
      <c r="CX115" s="24"/>
      <c r="CY115" s="24"/>
      <c r="CZ115" s="24"/>
      <c r="DA115" s="24"/>
      <c r="DB115" s="24"/>
      <c r="DC115" s="24"/>
      <c r="DD115" s="24"/>
      <c r="DE115" s="24"/>
      <c r="DF115" s="24"/>
      <c r="DG115" s="24"/>
      <c r="DH115" s="24"/>
      <c r="DI115" s="24"/>
      <c r="DJ115" s="24"/>
      <c r="DK115" s="24"/>
      <c r="DL115" s="24"/>
      <c r="DM115" s="24"/>
      <c r="DN115" s="24"/>
      <c r="DO115" s="24"/>
      <c r="DP115" s="24"/>
      <c r="DQ115" s="24"/>
      <c r="DR115" s="24"/>
      <c r="DS115" s="24"/>
      <c r="DT115" s="24"/>
      <c r="DU115" s="24"/>
      <c r="DV115" s="24"/>
      <c r="DW115" s="24"/>
      <c r="DX115" s="24"/>
      <c r="DY115" s="24"/>
      <c r="DZ115" s="24"/>
      <c r="EA115" s="24"/>
    </row>
    <row r="116" spans="1:131" ht="13.5" thickBot="1">
      <c r="A116" s="220" t="s">
        <v>633</v>
      </c>
      <c r="B116" s="221"/>
      <c r="C116" s="222"/>
      <c r="D116" s="222"/>
      <c r="E116" s="222"/>
      <c r="F116" s="222"/>
      <c r="G116" s="222"/>
      <c r="H116" s="222"/>
      <c r="I116" s="222"/>
      <c r="J116" s="222"/>
      <c r="K116" s="222"/>
      <c r="L116" s="194"/>
      <c r="M116" s="223"/>
      <c r="N116" s="224" t="s">
        <v>634</v>
      </c>
      <c r="O116" s="222"/>
      <c r="P116" s="222"/>
      <c r="Q116" s="222"/>
      <c r="R116" s="222"/>
      <c r="S116" s="222"/>
      <c r="T116" s="222"/>
      <c r="U116" s="222"/>
      <c r="V116" s="222"/>
      <c r="W116" s="222"/>
      <c r="X116" s="222"/>
      <c r="Y116" s="194"/>
      <c r="Z116" s="223"/>
      <c r="AA116" s="224" t="s">
        <v>635</v>
      </c>
      <c r="AB116" s="222"/>
      <c r="AC116" s="222"/>
      <c r="AD116" s="222"/>
      <c r="AE116" s="222"/>
      <c r="AF116" s="222"/>
      <c r="AG116" s="222"/>
      <c r="AH116" s="222"/>
      <c r="AI116" s="222"/>
      <c r="AJ116" s="222"/>
      <c r="AK116" s="222"/>
      <c r="AL116" s="194"/>
      <c r="AM116" s="45"/>
      <c r="AN116" s="45"/>
      <c r="AO116" s="45"/>
      <c r="AP116" s="45"/>
      <c r="AQ116" s="45"/>
      <c r="AR116" s="45"/>
      <c r="AS116" s="45"/>
      <c r="AT116" s="45"/>
      <c r="AU116" s="45"/>
      <c r="AV116" s="45"/>
      <c r="AW116" s="45"/>
      <c r="AX116" s="45"/>
      <c r="AY116" s="45"/>
      <c r="AZ116" s="45"/>
      <c r="BA116" s="45"/>
      <c r="BB116" s="45"/>
      <c r="BC116" s="45"/>
      <c r="BD116" s="45"/>
      <c r="BE116" s="45"/>
      <c r="BF116" s="45"/>
      <c r="BG116" s="45"/>
      <c r="BH116" s="45"/>
      <c r="BI116" s="45"/>
      <c r="BJ116" s="45"/>
      <c r="BK116" s="45"/>
      <c r="BL116" s="45"/>
      <c r="BM116" s="45"/>
      <c r="BN116" s="45"/>
      <c r="BO116" s="45"/>
      <c r="BP116" s="45"/>
      <c r="BQ116" s="45"/>
      <c r="BR116" s="45"/>
      <c r="BS116" s="45"/>
      <c r="BT116" s="45"/>
      <c r="BU116" s="45"/>
      <c r="BV116" s="45"/>
      <c r="BW116" s="45"/>
      <c r="BX116" s="45"/>
      <c r="BY116" s="45"/>
      <c r="BZ116" s="45"/>
      <c r="CA116" s="45"/>
      <c r="CB116" s="45"/>
      <c r="CC116" s="45"/>
      <c r="CD116" s="45"/>
      <c r="CE116" s="45"/>
      <c r="CF116" s="45"/>
      <c r="CG116" s="45"/>
      <c r="CH116" s="45"/>
      <c r="CI116" s="45"/>
      <c r="CJ116" s="45"/>
      <c r="CK116" s="45"/>
      <c r="CL116" s="45"/>
      <c r="CM116" s="45"/>
      <c r="CN116" s="45"/>
      <c r="CO116" s="45"/>
      <c r="CP116" s="45"/>
      <c r="CQ116" s="45"/>
      <c r="CR116" s="45"/>
      <c r="CS116" s="45"/>
      <c r="CT116" s="45"/>
      <c r="CU116" s="45"/>
      <c r="CV116" s="45"/>
      <c r="CW116" s="45"/>
      <c r="CX116" s="24"/>
      <c r="CY116" s="24"/>
      <c r="CZ116" s="24"/>
      <c r="DA116" s="24"/>
      <c r="DB116" s="24"/>
      <c r="DC116" s="24"/>
      <c r="DD116" s="24"/>
      <c r="DE116" s="24"/>
      <c r="DF116" s="24"/>
      <c r="DG116" s="24"/>
      <c r="DH116" s="24"/>
      <c r="DI116" s="24"/>
      <c r="DJ116" s="24"/>
      <c r="DK116" s="24"/>
      <c r="DL116" s="24"/>
      <c r="DM116" s="24"/>
      <c r="DN116" s="24"/>
      <c r="DO116" s="24"/>
      <c r="DP116" s="24"/>
      <c r="DQ116" s="24"/>
      <c r="DR116" s="24"/>
      <c r="DS116" s="24"/>
      <c r="DT116" s="24"/>
      <c r="DU116" s="24"/>
      <c r="DV116" s="24"/>
      <c r="DW116" s="24"/>
      <c r="DX116" s="24"/>
      <c r="DY116" s="24"/>
      <c r="DZ116" s="24"/>
      <c r="EA116" s="24"/>
    </row>
    <row r="117" spans="1:131" ht="102">
      <c r="A117" s="195"/>
      <c r="B117" s="196" t="s">
        <v>636</v>
      </c>
      <c r="C117" s="197" t="s">
        <v>637</v>
      </c>
      <c r="D117" s="197" t="s">
        <v>390</v>
      </c>
      <c r="E117" s="197" t="s">
        <v>391</v>
      </c>
      <c r="F117" s="197" t="s">
        <v>392</v>
      </c>
      <c r="G117" s="197" t="s">
        <v>393</v>
      </c>
      <c r="H117" s="197" t="s">
        <v>394</v>
      </c>
      <c r="I117" s="197" t="s">
        <v>395</v>
      </c>
      <c r="J117" s="197" t="s">
        <v>396</v>
      </c>
      <c r="K117" s="197" t="s">
        <v>397</v>
      </c>
      <c r="L117" s="197" t="s">
        <v>398</v>
      </c>
      <c r="M117" s="197" t="s">
        <v>399</v>
      </c>
      <c r="N117" s="197" t="s">
        <v>401</v>
      </c>
      <c r="O117" s="197" t="s">
        <v>402</v>
      </c>
      <c r="P117" s="197" t="s">
        <v>403</v>
      </c>
      <c r="Q117" s="197" t="s">
        <v>404</v>
      </c>
      <c r="R117" s="197" t="s">
        <v>405</v>
      </c>
      <c r="S117" s="197" t="s">
        <v>406</v>
      </c>
      <c r="T117" s="197" t="s">
        <v>407</v>
      </c>
      <c r="U117" s="197" t="s">
        <v>408</v>
      </c>
      <c r="V117" s="197" t="s">
        <v>409</v>
      </c>
      <c r="W117" s="197" t="s">
        <v>410</v>
      </c>
      <c r="X117" s="197" t="s">
        <v>411</v>
      </c>
      <c r="Y117" s="197" t="s">
        <v>412</v>
      </c>
      <c r="Z117" s="197"/>
      <c r="AA117" s="197" t="s">
        <v>401</v>
      </c>
      <c r="AB117" s="197" t="s">
        <v>402</v>
      </c>
      <c r="AC117" s="197" t="s">
        <v>403</v>
      </c>
      <c r="AD117" s="197" t="s">
        <v>404</v>
      </c>
      <c r="AE117" s="197" t="s">
        <v>405</v>
      </c>
      <c r="AF117" s="197" t="s">
        <v>406</v>
      </c>
      <c r="AG117" s="197" t="s">
        <v>407</v>
      </c>
      <c r="AH117" s="197" t="s">
        <v>408</v>
      </c>
      <c r="AI117" s="197" t="s">
        <v>409</v>
      </c>
      <c r="AJ117" s="197" t="s">
        <v>410</v>
      </c>
      <c r="AK117" s="197" t="s">
        <v>411</v>
      </c>
      <c r="AL117" s="197" t="s">
        <v>412</v>
      </c>
      <c r="AM117" s="45"/>
      <c r="AN117" s="45"/>
      <c r="AO117" s="45"/>
      <c r="AP117" s="45"/>
      <c r="AQ117" s="45"/>
      <c r="AR117" s="45"/>
      <c r="AS117" s="45"/>
      <c r="AT117" s="45"/>
      <c r="AU117" s="45"/>
      <c r="AV117" s="45"/>
      <c r="AW117" s="45"/>
      <c r="AX117" s="45"/>
      <c r="AY117" s="45"/>
      <c r="AZ117" s="45"/>
      <c r="BA117" s="45"/>
      <c r="BB117" s="45"/>
      <c r="BC117" s="45"/>
      <c r="BD117" s="45"/>
      <c r="BE117" s="45"/>
      <c r="BF117" s="45"/>
      <c r="BG117" s="45"/>
      <c r="BH117" s="45"/>
      <c r="BI117" s="45"/>
      <c r="BJ117" s="45"/>
      <c r="BK117" s="45"/>
      <c r="BL117" s="45"/>
      <c r="BM117" s="45"/>
      <c r="BN117" s="45"/>
      <c r="BO117" s="45"/>
      <c r="BP117" s="45"/>
      <c r="BQ117" s="45"/>
      <c r="BR117" s="45"/>
      <c r="BS117" s="45"/>
      <c r="BT117" s="45"/>
      <c r="BU117" s="45"/>
      <c r="BV117" s="45"/>
      <c r="BW117" s="45"/>
      <c r="BX117" s="45"/>
      <c r="BY117" s="45"/>
      <c r="BZ117" s="45"/>
      <c r="CA117" s="45"/>
      <c r="CB117" s="45"/>
      <c r="CC117" s="45"/>
      <c r="CD117" s="45"/>
      <c r="CE117" s="45"/>
      <c r="CF117" s="45"/>
      <c r="CG117" s="45"/>
      <c r="CH117" s="45"/>
      <c r="CI117" s="45"/>
      <c r="CJ117" s="45"/>
      <c r="CK117" s="45"/>
      <c r="CL117" s="45"/>
      <c r="CM117" s="45"/>
      <c r="CN117" s="45"/>
      <c r="CO117" s="45"/>
      <c r="CP117" s="45"/>
      <c r="CQ117" s="45"/>
      <c r="CR117" s="45"/>
      <c r="CS117" s="45"/>
      <c r="CT117" s="45"/>
      <c r="CU117" s="45"/>
      <c r="CV117" s="45"/>
      <c r="CW117" s="45"/>
      <c r="CX117" s="24"/>
      <c r="CY117" s="24"/>
      <c r="CZ117" s="24"/>
      <c r="DA117" s="24"/>
      <c r="DB117" s="24"/>
      <c r="DC117" s="24"/>
      <c r="DD117" s="24"/>
      <c r="DE117" s="24"/>
      <c r="DF117" s="24"/>
      <c r="DG117" s="24"/>
      <c r="DH117" s="24"/>
      <c r="DI117" s="24"/>
      <c r="DJ117" s="24"/>
      <c r="DK117" s="24"/>
      <c r="DL117" s="24"/>
      <c r="DM117" s="24"/>
      <c r="DN117" s="24"/>
      <c r="DO117" s="24"/>
      <c r="DP117" s="24"/>
      <c r="DQ117" s="24"/>
      <c r="DR117" s="24"/>
      <c r="DS117" s="24"/>
      <c r="DT117" s="24"/>
      <c r="DU117" s="24"/>
      <c r="DV117" s="24"/>
      <c r="DW117" s="24"/>
      <c r="DX117" s="24"/>
      <c r="DY117" s="24"/>
      <c r="DZ117" s="24"/>
      <c r="EA117" s="24"/>
    </row>
    <row r="118" spans="1:131">
      <c r="A118" s="24"/>
      <c r="B118" s="225" t="s">
        <v>638</v>
      </c>
      <c r="C118" s="226">
        <v>1138.3985005657419</v>
      </c>
      <c r="D118" s="226">
        <v>245.38205127668093</v>
      </c>
      <c r="E118" s="226">
        <v>0</v>
      </c>
      <c r="F118" s="226">
        <v>245.38205127668093</v>
      </c>
      <c r="G118" s="226">
        <v>294.43324274903222</v>
      </c>
      <c r="H118" s="226">
        <v>750.67680948539487</v>
      </c>
      <c r="I118" s="226">
        <v>1888.2199582268247</v>
      </c>
      <c r="J118" s="226">
        <v>-2.7808391338211904</v>
      </c>
      <c r="K118" s="226">
        <v>5.7786295987936338</v>
      </c>
      <c r="L118" s="199">
        <v>10.081776924885444</v>
      </c>
      <c r="M118" s="45">
        <v>10.814814408304146</v>
      </c>
      <c r="N118" s="198">
        <v>46.625918008168966</v>
      </c>
      <c r="O118" s="198">
        <v>34.468792131388227</v>
      </c>
      <c r="P118" s="198">
        <v>32.109269664317821</v>
      </c>
      <c r="Q118" s="198">
        <v>18.433084008124069</v>
      </c>
      <c r="R118" s="198">
        <v>14.807092200911264</v>
      </c>
      <c r="S118" s="198">
        <v>11.485972384479544</v>
      </c>
      <c r="T118" s="198">
        <v>11.985522511347853</v>
      </c>
      <c r="U118" s="198">
        <v>17.445323742523357</v>
      </c>
      <c r="V118" s="198">
        <v>22.040797193918827</v>
      </c>
      <c r="W118" s="198">
        <v>35.957072224256358</v>
      </c>
      <c r="X118" s="198">
        <v>41.63925604534397</v>
      </c>
      <c r="Y118" s="198">
        <v>49.050203977004649</v>
      </c>
      <c r="Z118" s="198"/>
      <c r="AA118" s="198">
        <v>77.275127796355875</v>
      </c>
      <c r="AB118" s="198">
        <v>67.029698217376577</v>
      </c>
      <c r="AC118" s="198">
        <v>67.573188422290428</v>
      </c>
      <c r="AD118" s="198">
        <v>64.346567686329607</v>
      </c>
      <c r="AE118" s="198">
        <v>59.266464269125635</v>
      </c>
      <c r="AF118" s="198">
        <v>53.849087310983457</v>
      </c>
      <c r="AG118" s="198">
        <v>58.80181397248618</v>
      </c>
      <c r="AH118" s="198">
        <v>63.494406226102818</v>
      </c>
      <c r="AI118" s="198">
        <v>68.440423875278583</v>
      </c>
      <c r="AJ118" s="198">
        <v>70.634394675260026</v>
      </c>
      <c r="AK118" s="198">
        <v>74.044571796432322</v>
      </c>
      <c r="AL118" s="198">
        <v>77.594452225935768</v>
      </c>
      <c r="AM118" s="45"/>
      <c r="AN118" s="45"/>
      <c r="AO118" s="45"/>
      <c r="AP118" s="45"/>
      <c r="AQ118" s="45"/>
      <c r="AR118" s="45"/>
      <c r="AS118" s="45"/>
      <c r="AT118" s="45"/>
      <c r="AU118" s="45"/>
      <c r="AV118" s="45"/>
      <c r="AW118" s="45"/>
      <c r="AX118" s="45"/>
      <c r="AY118" s="45"/>
      <c r="AZ118" s="45"/>
      <c r="BA118" s="45"/>
      <c r="BB118" s="45"/>
      <c r="BC118" s="45"/>
      <c r="BD118" s="45"/>
      <c r="BE118" s="45"/>
      <c r="BF118" s="45"/>
      <c r="BG118" s="45"/>
      <c r="BH118" s="45"/>
      <c r="BI118" s="45"/>
      <c r="BJ118" s="45"/>
      <c r="BK118" s="45"/>
      <c r="BL118" s="45"/>
      <c r="BM118" s="45"/>
      <c r="BN118" s="45"/>
      <c r="BO118" s="45"/>
      <c r="BP118" s="45"/>
      <c r="BQ118" s="45"/>
      <c r="BR118" s="45"/>
      <c r="BS118" s="45"/>
      <c r="BT118" s="45"/>
      <c r="BU118" s="45"/>
      <c r="BV118" s="45"/>
      <c r="BW118" s="45"/>
      <c r="BX118" s="45"/>
      <c r="BY118" s="45"/>
      <c r="BZ118" s="45"/>
      <c r="CA118" s="45"/>
      <c r="CB118" s="45"/>
      <c r="CC118" s="45"/>
      <c r="CD118" s="45"/>
      <c r="CE118" s="45"/>
      <c r="CF118" s="45"/>
      <c r="CG118" s="45"/>
      <c r="CH118" s="45"/>
      <c r="CI118" s="45"/>
      <c r="CJ118" s="45"/>
      <c r="CK118" s="45"/>
      <c r="CL118" s="45"/>
      <c r="CM118" s="45"/>
      <c r="CN118" s="45"/>
      <c r="CO118" s="45"/>
      <c r="CP118" s="45"/>
      <c r="CQ118" s="45"/>
      <c r="CR118" s="45"/>
      <c r="CS118" s="45"/>
      <c r="CT118" s="45"/>
      <c r="CU118" s="45"/>
      <c r="CV118" s="45"/>
      <c r="CW118" s="45"/>
      <c r="CX118" s="24"/>
      <c r="CY118" s="24"/>
      <c r="CZ118" s="24"/>
      <c r="DA118" s="24"/>
      <c r="DB118" s="24"/>
      <c r="DC118" s="24"/>
      <c r="DD118" s="24"/>
      <c r="DE118" s="24"/>
      <c r="DF118" s="24"/>
      <c r="DG118" s="24"/>
      <c r="DH118" s="24"/>
      <c r="DI118" s="24"/>
      <c r="DJ118" s="24"/>
      <c r="DK118" s="24"/>
      <c r="DL118" s="24"/>
      <c r="DM118" s="24"/>
      <c r="DN118" s="24"/>
      <c r="DO118" s="24"/>
      <c r="DP118" s="24"/>
      <c r="DQ118" s="24"/>
      <c r="DR118" s="24"/>
      <c r="DS118" s="24"/>
      <c r="DT118" s="24"/>
      <c r="DU118" s="24"/>
      <c r="DV118" s="24"/>
      <c r="DW118" s="24"/>
      <c r="DX118" s="24"/>
      <c r="DY118" s="24"/>
      <c r="DZ118" s="24"/>
      <c r="EA118" s="24"/>
    </row>
    <row r="119" spans="1:131">
      <c r="A119" s="24"/>
      <c r="B119" s="225" t="s">
        <v>639</v>
      </c>
      <c r="C119" s="226">
        <v>1135.9206371527505</v>
      </c>
      <c r="D119" s="226">
        <v>244.35049903754691</v>
      </c>
      <c r="E119" s="226">
        <v>48.870099807509384</v>
      </c>
      <c r="F119" s="226">
        <v>293.22059884505632</v>
      </c>
      <c r="G119" s="226">
        <v>341.87412019690532</v>
      </c>
      <c r="H119" s="226">
        <v>749.042869700442</v>
      </c>
      <c r="I119" s="226">
        <v>2261.2604805922588</v>
      </c>
      <c r="J119" s="226">
        <v>0.36355405042601202</v>
      </c>
      <c r="K119" s="226">
        <v>8.8932302273200214</v>
      </c>
      <c r="L119" s="199">
        <v>8.7597770477964723</v>
      </c>
      <c r="M119" s="45">
        <v>10.791274643514125</v>
      </c>
      <c r="N119" s="198">
        <v>2.3324643552196047</v>
      </c>
      <c r="O119" s="198">
        <v>1.7243034013797049</v>
      </c>
      <c r="P119" s="198">
        <v>1.6062681479222329</v>
      </c>
      <c r="Q119" s="198">
        <v>0.92211613717042895</v>
      </c>
      <c r="R119" s="198">
        <v>0.74072567873140338</v>
      </c>
      <c r="S119" s="198">
        <v>0.57458645998436941</v>
      </c>
      <c r="T119" s="198">
        <v>0.59957648515366724</v>
      </c>
      <c r="U119" s="198">
        <v>0.87270337042099422</v>
      </c>
      <c r="V119" s="198">
        <v>1.1025922064726508</v>
      </c>
      <c r="W119" s="198">
        <v>1.7987547026192785</v>
      </c>
      <c r="X119" s="198">
        <v>2.083006290334299</v>
      </c>
      <c r="Y119" s="198">
        <v>2.4537394067516205</v>
      </c>
      <c r="Z119" s="198"/>
      <c r="AA119" s="198">
        <v>3.8656929199433874</v>
      </c>
      <c r="AB119" s="198">
        <v>3.3531646884843336</v>
      </c>
      <c r="AC119" s="198">
        <v>3.3803528187030327</v>
      </c>
      <c r="AD119" s="198">
        <v>3.2189409221453618</v>
      </c>
      <c r="AE119" s="198">
        <v>2.9648084428796104</v>
      </c>
      <c r="AF119" s="198">
        <v>2.6938038344246991</v>
      </c>
      <c r="AG119" s="198">
        <v>2.9415642838184675</v>
      </c>
      <c r="AH119" s="198">
        <v>3.1763114937977504</v>
      </c>
      <c r="AI119" s="198">
        <v>3.4237363244459806</v>
      </c>
      <c r="AJ119" s="198">
        <v>3.5334898457911859</v>
      </c>
      <c r="AK119" s="198">
        <v>3.7040841615690807</v>
      </c>
      <c r="AL119" s="198">
        <v>3.8816671437563213</v>
      </c>
      <c r="AM119" s="45"/>
      <c r="AN119" s="45"/>
      <c r="AO119" s="45"/>
      <c r="AP119" s="45"/>
      <c r="AQ119" s="45"/>
      <c r="AR119" s="45"/>
      <c r="AS119" s="45"/>
      <c r="AT119" s="45"/>
      <c r="AU119" s="45"/>
      <c r="AV119" s="45"/>
      <c r="AW119" s="45"/>
      <c r="AX119" s="45"/>
      <c r="AY119" s="45"/>
      <c r="AZ119" s="45"/>
      <c r="BA119" s="45"/>
      <c r="BB119" s="45"/>
      <c r="BC119" s="45"/>
      <c r="BD119" s="45"/>
      <c r="BE119" s="45"/>
      <c r="BF119" s="45"/>
      <c r="BG119" s="45"/>
      <c r="BH119" s="45"/>
      <c r="BI119" s="45"/>
      <c r="BJ119" s="45"/>
      <c r="BK119" s="45"/>
      <c r="BL119" s="45"/>
      <c r="BM119" s="45"/>
      <c r="BN119" s="45"/>
      <c r="BO119" s="45"/>
      <c r="BP119" s="45"/>
      <c r="BQ119" s="45"/>
      <c r="BR119" s="45"/>
      <c r="BS119" s="45"/>
      <c r="BT119" s="45"/>
      <c r="BU119" s="45"/>
      <c r="BV119" s="45"/>
      <c r="BW119" s="45"/>
      <c r="BX119" s="45"/>
      <c r="BY119" s="45"/>
      <c r="BZ119" s="45"/>
      <c r="CA119" s="45"/>
      <c r="CB119" s="45"/>
      <c r="CC119" s="45"/>
      <c r="CD119" s="45"/>
      <c r="CE119" s="45"/>
      <c r="CF119" s="45"/>
      <c r="CG119" s="45"/>
      <c r="CH119" s="45"/>
      <c r="CI119" s="45"/>
      <c r="CJ119" s="45"/>
      <c r="CK119" s="45"/>
      <c r="CL119" s="45"/>
      <c r="CM119" s="45"/>
      <c r="CN119" s="45"/>
      <c r="CO119" s="45"/>
      <c r="CP119" s="45"/>
      <c r="CQ119" s="45"/>
      <c r="CR119" s="45"/>
      <c r="CS119" s="45"/>
      <c r="CT119" s="45"/>
      <c r="CU119" s="45"/>
      <c r="CV119" s="45"/>
      <c r="CW119" s="45"/>
      <c r="CX119" s="24"/>
      <c r="CY119" s="24"/>
      <c r="CZ119" s="24"/>
      <c r="DA119" s="24"/>
      <c r="DB119" s="24"/>
      <c r="DC119" s="24"/>
      <c r="DD119" s="24"/>
      <c r="DE119" s="24"/>
      <c r="DF119" s="24"/>
      <c r="DG119" s="24"/>
      <c r="DH119" s="24"/>
      <c r="DI119" s="24"/>
      <c r="DJ119" s="24"/>
      <c r="DK119" s="24"/>
      <c r="DL119" s="24"/>
      <c r="DM119" s="24"/>
      <c r="DN119" s="24"/>
      <c r="DO119" s="24"/>
      <c r="DP119" s="24"/>
      <c r="DQ119" s="24"/>
      <c r="DR119" s="24"/>
      <c r="DS119" s="24"/>
      <c r="DT119" s="24"/>
      <c r="DU119" s="24"/>
      <c r="DV119" s="24"/>
      <c r="DW119" s="24"/>
      <c r="DX119" s="24"/>
      <c r="DY119" s="24"/>
      <c r="DZ119" s="24"/>
      <c r="EA119" s="24"/>
    </row>
    <row r="120" spans="1:131">
      <c r="A120" s="24"/>
      <c r="B120" s="225" t="s">
        <v>640</v>
      </c>
      <c r="C120" s="227"/>
      <c r="D120" s="227"/>
      <c r="E120" s="227"/>
      <c r="F120" s="227"/>
      <c r="G120" s="227"/>
      <c r="H120" s="227"/>
      <c r="I120" s="227"/>
      <c r="J120" s="227"/>
      <c r="K120" s="227"/>
      <c r="L120" s="200"/>
      <c r="M120" s="228"/>
      <c r="N120" s="228"/>
      <c r="O120" s="228"/>
      <c r="P120" s="228"/>
      <c r="Q120" s="228"/>
      <c r="R120" s="228"/>
      <c r="S120" s="228"/>
      <c r="T120" s="228"/>
      <c r="U120" s="228"/>
      <c r="V120" s="228"/>
      <c r="W120" s="228"/>
      <c r="X120" s="228"/>
      <c r="Y120" s="228"/>
      <c r="Z120" s="228"/>
      <c r="AA120" s="228"/>
      <c r="AB120" s="228"/>
      <c r="AC120" s="228"/>
      <c r="AD120" s="228"/>
      <c r="AE120" s="228"/>
      <c r="AF120" s="228"/>
      <c r="AG120" s="228"/>
      <c r="AH120" s="228"/>
      <c r="AI120" s="228"/>
      <c r="AJ120" s="228"/>
      <c r="AK120" s="228"/>
      <c r="AL120" s="228"/>
      <c r="AM120" s="45"/>
      <c r="AN120" s="45"/>
      <c r="AO120" s="45"/>
      <c r="AP120" s="45"/>
      <c r="AQ120" s="45"/>
      <c r="AR120" s="45"/>
      <c r="AS120" s="45"/>
      <c r="AT120" s="45"/>
      <c r="AU120" s="45"/>
      <c r="AV120" s="45"/>
      <c r="AW120" s="45"/>
      <c r="AX120" s="45"/>
      <c r="AY120" s="45"/>
      <c r="AZ120" s="45"/>
      <c r="BA120" s="45"/>
      <c r="BB120" s="45"/>
      <c r="BC120" s="45"/>
      <c r="BD120" s="45"/>
      <c r="BE120" s="45"/>
      <c r="BF120" s="45"/>
      <c r="BG120" s="45"/>
      <c r="BH120" s="45"/>
      <c r="BI120" s="45"/>
      <c r="BJ120" s="45"/>
      <c r="BK120" s="45"/>
      <c r="BL120" s="45"/>
      <c r="BM120" s="45"/>
      <c r="BN120" s="45"/>
      <c r="BO120" s="45"/>
      <c r="BP120" s="45"/>
      <c r="BQ120" s="45"/>
      <c r="BR120" s="45"/>
      <c r="BS120" s="45"/>
      <c r="BT120" s="45"/>
      <c r="BU120" s="45"/>
      <c r="BV120" s="45"/>
      <c r="BW120" s="45"/>
      <c r="BX120" s="45"/>
      <c r="BY120" s="45"/>
      <c r="BZ120" s="45"/>
      <c r="CA120" s="45"/>
      <c r="CB120" s="45"/>
      <c r="CC120" s="45"/>
      <c r="CD120" s="45"/>
      <c r="CE120" s="45"/>
      <c r="CF120" s="45"/>
      <c r="CG120" s="45"/>
      <c r="CH120" s="45"/>
      <c r="CI120" s="45"/>
      <c r="CJ120" s="45"/>
      <c r="CK120" s="45"/>
      <c r="CL120" s="45"/>
      <c r="CM120" s="45"/>
      <c r="CN120" s="45"/>
      <c r="CO120" s="45"/>
      <c r="CP120" s="45"/>
      <c r="CQ120" s="45"/>
      <c r="CR120" s="45"/>
      <c r="CS120" s="45"/>
      <c r="CT120" s="45"/>
      <c r="CU120" s="45"/>
      <c r="CV120" s="45"/>
      <c r="CW120" s="45"/>
      <c r="CX120" s="24"/>
      <c r="CY120" s="24"/>
      <c r="CZ120" s="24"/>
      <c r="DA120" s="24"/>
      <c r="DB120" s="24"/>
      <c r="DC120" s="24"/>
      <c r="DD120" s="24"/>
      <c r="DE120" s="24"/>
      <c r="DF120" s="24"/>
      <c r="DG120" s="24"/>
      <c r="DH120" s="24"/>
      <c r="DI120" s="24"/>
      <c r="DJ120" s="24"/>
      <c r="DK120" s="24"/>
      <c r="DL120" s="24"/>
      <c r="DM120" s="24"/>
      <c r="DN120" s="24"/>
      <c r="DO120" s="24"/>
      <c r="DP120" s="24"/>
      <c r="DQ120" s="24"/>
      <c r="DR120" s="24"/>
      <c r="DS120" s="24"/>
      <c r="DT120" s="24"/>
      <c r="DU120" s="24"/>
      <c r="DV120" s="24"/>
      <c r="DW120" s="24"/>
      <c r="DX120" s="24"/>
      <c r="DY120" s="24"/>
      <c r="DZ120" s="24"/>
      <c r="EA120" s="24"/>
    </row>
    <row r="121" spans="1:131">
      <c r="A121" s="24"/>
      <c r="B121" s="24" t="s">
        <v>641</v>
      </c>
      <c r="C121" s="45">
        <v>379.48793446114723</v>
      </c>
      <c r="D121" s="45">
        <v>22.734144708604074</v>
      </c>
      <c r="E121" s="45">
        <v>4.5468289417208139</v>
      </c>
      <c r="F121" s="45">
        <v>27.280973650324889</v>
      </c>
      <c r="G121" s="45">
        <v>8.4264635061105189</v>
      </c>
      <c r="H121" s="45">
        <v>250.23995704309647</v>
      </c>
      <c r="I121" s="45">
        <v>629.74684430003515</v>
      </c>
      <c r="J121" s="45">
        <v>-9.4604535776173702</v>
      </c>
      <c r="K121" s="45">
        <v>-11.618545679720418</v>
      </c>
      <c r="L121" s="199">
        <v>23.158701817190359</v>
      </c>
      <c r="M121" s="45">
        <v>3.6051449289053097</v>
      </c>
      <c r="N121" s="198">
        <v>15.542864215370633</v>
      </c>
      <c r="O121" s="198">
        <v>11.490256463629068</v>
      </c>
      <c r="P121" s="198">
        <v>10.703703857579232</v>
      </c>
      <c r="Q121" s="198">
        <v>6.1447137997067696</v>
      </c>
      <c r="R121" s="198">
        <v>4.9359805304619488</v>
      </c>
      <c r="S121" s="198">
        <v>3.8288770876786691</v>
      </c>
      <c r="T121" s="198">
        <v>3.9954033486592011</v>
      </c>
      <c r="U121" s="198">
        <v>5.8154414906257861</v>
      </c>
      <c r="V121" s="198">
        <v>7.3473538456354248</v>
      </c>
      <c r="W121" s="198">
        <v>11.986378285698844</v>
      </c>
      <c r="X121" s="198">
        <v>13.880548209869932</v>
      </c>
      <c r="Y121" s="198">
        <v>16.35100589370154</v>
      </c>
      <c r="Z121" s="198"/>
      <c r="AA121" s="198">
        <v>25.759853529398388</v>
      </c>
      <c r="AB121" s="198">
        <v>22.344514430952831</v>
      </c>
      <c r="AC121" s="198">
        <v>22.525688224804565</v>
      </c>
      <c r="AD121" s="198">
        <v>21.450086282452425</v>
      </c>
      <c r="AE121" s="198">
        <v>19.756621338774362</v>
      </c>
      <c r="AF121" s="198">
        <v>17.950725432357476</v>
      </c>
      <c r="AG121" s="198">
        <v>19.601729021865271</v>
      </c>
      <c r="AH121" s="198">
        <v>21.166016167981848</v>
      </c>
      <c r="AI121" s="198">
        <v>22.814783291762577</v>
      </c>
      <c r="AJ121" s="198">
        <v>23.546148843227435</v>
      </c>
      <c r="AK121" s="198">
        <v>24.68293975714484</v>
      </c>
      <c r="AL121" s="198">
        <v>25.866301111808287</v>
      </c>
      <c r="AM121" s="45"/>
      <c r="AN121" s="45"/>
      <c r="AO121" s="45"/>
      <c r="AP121" s="45"/>
      <c r="AQ121" s="45"/>
      <c r="AR121" s="45"/>
      <c r="AS121" s="45"/>
      <c r="AT121" s="45"/>
      <c r="AU121" s="45"/>
      <c r="AV121" s="45"/>
      <c r="AW121" s="45"/>
      <c r="AX121" s="45"/>
      <c r="AY121" s="45"/>
      <c r="AZ121" s="45"/>
      <c r="BA121" s="45"/>
      <c r="BB121" s="45"/>
      <c r="BC121" s="45"/>
      <c r="BD121" s="45"/>
      <c r="BE121" s="45"/>
      <c r="BF121" s="45"/>
      <c r="BG121" s="45"/>
      <c r="BH121" s="45"/>
      <c r="BI121" s="45"/>
      <c r="BJ121" s="45"/>
      <c r="BK121" s="45"/>
      <c r="BL121" s="45"/>
      <c r="BM121" s="45"/>
      <c r="BN121" s="45"/>
      <c r="BO121" s="45"/>
      <c r="BP121" s="45"/>
      <c r="BQ121" s="45"/>
      <c r="BR121" s="45"/>
      <c r="BS121" s="45"/>
      <c r="BT121" s="45"/>
      <c r="BU121" s="45"/>
      <c r="BV121" s="45"/>
      <c r="BW121" s="45"/>
      <c r="BX121" s="45"/>
      <c r="BY121" s="45"/>
      <c r="BZ121" s="45"/>
      <c r="CA121" s="45"/>
      <c r="CB121" s="45"/>
      <c r="CC121" s="45"/>
      <c r="CD121" s="45"/>
      <c r="CE121" s="45"/>
      <c r="CF121" s="45"/>
      <c r="CG121" s="45"/>
      <c r="CH121" s="45"/>
      <c r="CI121" s="45"/>
      <c r="CJ121" s="45"/>
      <c r="CK121" s="45"/>
      <c r="CL121" s="45"/>
      <c r="CM121" s="45"/>
      <c r="CN121" s="45"/>
      <c r="CO121" s="45"/>
      <c r="CP121" s="45"/>
      <c r="CQ121" s="45"/>
      <c r="CR121" s="45"/>
      <c r="CS121" s="45"/>
      <c r="CT121" s="45"/>
      <c r="CU121" s="45"/>
      <c r="CV121" s="45"/>
      <c r="CW121" s="45"/>
      <c r="CX121" s="24"/>
      <c r="CY121" s="24"/>
      <c r="CZ121" s="24"/>
      <c r="DA121" s="24"/>
      <c r="DB121" s="24"/>
      <c r="DC121" s="24"/>
      <c r="DD121" s="24"/>
      <c r="DE121" s="24"/>
      <c r="DF121" s="24"/>
      <c r="DG121" s="24"/>
      <c r="DH121" s="24"/>
      <c r="DI121" s="24"/>
      <c r="DJ121" s="24"/>
      <c r="DK121" s="24"/>
      <c r="DL121" s="24"/>
      <c r="DM121" s="24"/>
      <c r="DN121" s="24"/>
      <c r="DO121" s="24"/>
      <c r="DP121" s="24"/>
      <c r="DQ121" s="24"/>
      <c r="DR121" s="24"/>
      <c r="DS121" s="24"/>
      <c r="DT121" s="24"/>
      <c r="DU121" s="24"/>
      <c r="DV121" s="24"/>
      <c r="DW121" s="24"/>
      <c r="DX121" s="24"/>
      <c r="DY121" s="24"/>
      <c r="DZ121" s="24"/>
      <c r="EA121" s="24"/>
    </row>
    <row r="122" spans="1:131">
      <c r="A122" s="24"/>
      <c r="B122" s="24" t="s">
        <v>642</v>
      </c>
      <c r="C122" s="45">
        <v>211.13576644990843</v>
      </c>
      <c r="D122" s="45">
        <v>48.874893244132885</v>
      </c>
      <c r="E122" s="45">
        <v>9.7749786488265773</v>
      </c>
      <c r="F122" s="45">
        <v>58.64987189295946</v>
      </c>
      <c r="G122" s="45">
        <v>58.16140499465547</v>
      </c>
      <c r="H122" s="45">
        <v>139.22604733588872</v>
      </c>
      <c r="I122" s="45">
        <v>2433.3768097231246</v>
      </c>
      <c r="J122" s="45">
        <v>1.3999365192450413</v>
      </c>
      <c r="K122" s="45">
        <v>7.0170917696321995</v>
      </c>
      <c r="L122" s="199">
        <v>2.1268126081063543</v>
      </c>
      <c r="M122" s="45">
        <v>2.005795095457386</v>
      </c>
      <c r="N122" s="198">
        <v>8.6475859992727013</v>
      </c>
      <c r="O122" s="198">
        <v>6.3928359371929337</v>
      </c>
      <c r="P122" s="198">
        <v>5.9552215303809852</v>
      </c>
      <c r="Q122" s="198">
        <v>3.4187354587665948</v>
      </c>
      <c r="R122" s="198">
        <v>2.7462323247792426</v>
      </c>
      <c r="S122" s="198">
        <v>2.1302729945747352</v>
      </c>
      <c r="T122" s="198">
        <v>2.222923238636084</v>
      </c>
      <c r="U122" s="198">
        <v>3.2355381683250406</v>
      </c>
      <c r="V122" s="198">
        <v>4.0878485050642412</v>
      </c>
      <c r="W122" s="198">
        <v>6.6688633194704874</v>
      </c>
      <c r="X122" s="198">
        <v>7.7227229613958688</v>
      </c>
      <c r="Y122" s="198">
        <v>9.0972119218907519</v>
      </c>
      <c r="Z122" s="198"/>
      <c r="AA122" s="198">
        <v>14.33201407652065</v>
      </c>
      <c r="AB122" s="198">
        <v>12.431821283143529</v>
      </c>
      <c r="AC122" s="198">
        <v>12.532620977552359</v>
      </c>
      <c r="AD122" s="198">
        <v>11.934188142484768</v>
      </c>
      <c r="AE122" s="198">
        <v>10.991994764591944</v>
      </c>
      <c r="AF122" s="198">
        <v>9.987248152894022</v>
      </c>
      <c r="AG122" s="198">
        <v>10.905817299966515</v>
      </c>
      <c r="AH122" s="198">
        <v>11.776140004724011</v>
      </c>
      <c r="AI122" s="198">
        <v>12.693464848980678</v>
      </c>
      <c r="AJ122" s="198">
        <v>13.100374824874528</v>
      </c>
      <c r="AK122" s="198">
        <v>13.73285137842835</v>
      </c>
      <c r="AL122" s="198">
        <v>14.391238335997478</v>
      </c>
      <c r="AM122" s="45"/>
      <c r="AN122" s="45"/>
      <c r="AO122" s="45"/>
      <c r="AP122" s="45"/>
      <c r="AQ122" s="45"/>
      <c r="AR122" s="45"/>
      <c r="AS122" s="45"/>
      <c r="AT122" s="45"/>
      <c r="AU122" s="45"/>
      <c r="AV122" s="45"/>
      <c r="AW122" s="45"/>
      <c r="AX122" s="45"/>
      <c r="AY122" s="45"/>
      <c r="AZ122" s="45"/>
      <c r="BA122" s="45"/>
      <c r="BB122" s="45"/>
      <c r="BC122" s="45"/>
      <c r="BD122" s="45"/>
      <c r="BE122" s="45"/>
      <c r="BF122" s="45"/>
      <c r="BG122" s="45"/>
      <c r="BH122" s="45"/>
      <c r="BI122" s="45"/>
      <c r="BJ122" s="45"/>
      <c r="BK122" s="45"/>
      <c r="BL122" s="45"/>
      <c r="BM122" s="45"/>
      <c r="BN122" s="45"/>
      <c r="BO122" s="45"/>
      <c r="BP122" s="45"/>
      <c r="BQ122" s="45"/>
      <c r="BR122" s="45"/>
      <c r="BS122" s="45"/>
      <c r="BT122" s="45"/>
      <c r="BU122" s="45"/>
      <c r="BV122" s="45"/>
      <c r="BW122" s="45"/>
      <c r="BX122" s="45"/>
      <c r="BY122" s="45"/>
      <c r="BZ122" s="45"/>
      <c r="CA122" s="45"/>
      <c r="CB122" s="45"/>
      <c r="CC122" s="45"/>
      <c r="CD122" s="45"/>
      <c r="CE122" s="45"/>
      <c r="CF122" s="45"/>
      <c r="CG122" s="45"/>
      <c r="CH122" s="45"/>
      <c r="CI122" s="45"/>
      <c r="CJ122" s="45"/>
      <c r="CK122" s="45"/>
      <c r="CL122" s="45"/>
      <c r="CM122" s="45"/>
      <c r="CN122" s="45"/>
      <c r="CO122" s="45"/>
      <c r="CP122" s="45"/>
      <c r="CQ122" s="45"/>
      <c r="CR122" s="45"/>
      <c r="CS122" s="45"/>
      <c r="CT122" s="45"/>
      <c r="CU122" s="45"/>
      <c r="CV122" s="45"/>
      <c r="CW122" s="45"/>
      <c r="CX122" s="24"/>
      <c r="CY122" s="24"/>
      <c r="CZ122" s="24"/>
      <c r="DA122" s="24"/>
      <c r="DB122" s="24"/>
      <c r="DC122" s="24"/>
      <c r="DD122" s="24"/>
      <c r="DE122" s="24"/>
      <c r="DF122" s="24"/>
      <c r="DG122" s="24"/>
      <c r="DH122" s="24"/>
      <c r="DI122" s="24"/>
      <c r="DJ122" s="24"/>
      <c r="DK122" s="24"/>
      <c r="DL122" s="24"/>
      <c r="DM122" s="24"/>
      <c r="DN122" s="24"/>
      <c r="DO122" s="24"/>
      <c r="DP122" s="24"/>
      <c r="DQ122" s="24"/>
      <c r="DR122" s="24"/>
      <c r="DS122" s="24"/>
      <c r="DT122" s="24"/>
      <c r="DU122" s="24"/>
      <c r="DV122" s="24"/>
      <c r="DW122" s="24"/>
      <c r="DX122" s="24"/>
      <c r="DY122" s="24"/>
      <c r="DZ122" s="24"/>
      <c r="EA122" s="24"/>
    </row>
    <row r="123" spans="1:131">
      <c r="A123" s="24"/>
      <c r="B123" s="24" t="s">
        <v>643</v>
      </c>
      <c r="C123" s="45">
        <v>252.72494170668389</v>
      </c>
      <c r="D123" s="45">
        <v>73.174875044588291</v>
      </c>
      <c r="E123" s="45">
        <v>14.63497500891766</v>
      </c>
      <c r="F123" s="45">
        <v>87.809850053505954</v>
      </c>
      <c r="G123" s="45">
        <v>103.93136371763812</v>
      </c>
      <c r="H123" s="45">
        <v>166.65056465154748</v>
      </c>
      <c r="I123" s="45">
        <v>3043.6817247799509</v>
      </c>
      <c r="J123" s="45">
        <v>5.0748308061088165</v>
      </c>
      <c r="K123" s="45">
        <v>17.007564267149689</v>
      </c>
      <c r="L123" s="199">
        <v>1.5228654041542009</v>
      </c>
      <c r="M123" s="45">
        <v>2.4008933071758114</v>
      </c>
      <c r="N123" s="198">
        <v>10.350973235452392</v>
      </c>
      <c r="O123" s="198">
        <v>7.6520862226854529</v>
      </c>
      <c r="P123" s="198">
        <v>7.1282712513466517</v>
      </c>
      <c r="Q123" s="198">
        <v>4.0921523342770225</v>
      </c>
      <c r="R123" s="198">
        <v>3.2871806414547251</v>
      </c>
      <c r="S123" s="198">
        <v>2.5498906576823441</v>
      </c>
      <c r="T123" s="198">
        <v>2.6607909941019892</v>
      </c>
      <c r="U123" s="198">
        <v>3.8728691435313718</v>
      </c>
      <c r="V123" s="198">
        <v>4.8930661655244299</v>
      </c>
      <c r="W123" s="198">
        <v>7.9824850237436031</v>
      </c>
      <c r="X123" s="198">
        <v>9.2439322008414102</v>
      </c>
      <c r="Y123" s="198">
        <v>10.889165731182004</v>
      </c>
      <c r="Z123" s="198"/>
      <c r="AA123" s="198">
        <v>17.155110585621127</v>
      </c>
      <c r="AB123" s="198">
        <v>14.880620947923353</v>
      </c>
      <c r="AC123" s="198">
        <v>15.001275999987055</v>
      </c>
      <c r="AD123" s="198">
        <v>14.284964851474452</v>
      </c>
      <c r="AE123" s="198">
        <v>13.157179775037012</v>
      </c>
      <c r="AF123" s="198">
        <v>11.954519831907062</v>
      </c>
      <c r="AG123" s="198">
        <v>13.054027215477385</v>
      </c>
      <c r="AH123" s="198">
        <v>14.095784652050906</v>
      </c>
      <c r="AI123" s="198">
        <v>15.193802632087749</v>
      </c>
      <c r="AJ123" s="198">
        <v>15.680865064316819</v>
      </c>
      <c r="AK123" s="198">
        <v>16.43792580686825</v>
      </c>
      <c r="AL123" s="198">
        <v>17.226000742109388</v>
      </c>
      <c r="AM123" s="45"/>
      <c r="AN123" s="45"/>
      <c r="AO123" s="45"/>
      <c r="AP123" s="45"/>
      <c r="AQ123" s="45"/>
      <c r="AR123" s="45"/>
      <c r="AS123" s="45"/>
      <c r="AT123" s="45"/>
      <c r="AU123" s="45"/>
      <c r="AV123" s="45"/>
      <c r="AW123" s="45"/>
      <c r="AX123" s="45"/>
      <c r="AY123" s="45"/>
      <c r="AZ123" s="45"/>
      <c r="BA123" s="45"/>
      <c r="BB123" s="45"/>
      <c r="BC123" s="45"/>
      <c r="BD123" s="45"/>
      <c r="BE123" s="45"/>
      <c r="BF123" s="45"/>
      <c r="BG123" s="45"/>
      <c r="BH123" s="45"/>
      <c r="BI123" s="45"/>
      <c r="BJ123" s="45"/>
      <c r="BK123" s="45"/>
      <c r="BL123" s="45"/>
      <c r="BM123" s="45"/>
      <c r="BN123" s="45"/>
      <c r="BO123" s="45"/>
      <c r="BP123" s="45"/>
      <c r="BQ123" s="45"/>
      <c r="BR123" s="45"/>
      <c r="BS123" s="45"/>
      <c r="BT123" s="45"/>
      <c r="BU123" s="45"/>
      <c r="BV123" s="45"/>
      <c r="BW123" s="45"/>
      <c r="BX123" s="45"/>
      <c r="BY123" s="45"/>
      <c r="BZ123" s="45"/>
      <c r="CA123" s="45"/>
      <c r="CB123" s="45"/>
      <c r="CC123" s="45"/>
      <c r="CD123" s="45"/>
      <c r="CE123" s="45"/>
      <c r="CF123" s="45"/>
      <c r="CG123" s="45"/>
      <c r="CH123" s="45"/>
      <c r="CI123" s="45"/>
      <c r="CJ123" s="45"/>
      <c r="CK123" s="45"/>
      <c r="CL123" s="45"/>
      <c r="CM123" s="45"/>
      <c r="CN123" s="45"/>
      <c r="CO123" s="45"/>
      <c r="CP123" s="45"/>
      <c r="CQ123" s="45"/>
      <c r="CR123" s="45"/>
      <c r="CS123" s="45"/>
      <c r="CT123" s="45"/>
      <c r="CU123" s="45"/>
      <c r="CV123" s="45"/>
      <c r="CW123" s="45"/>
      <c r="CX123" s="24"/>
      <c r="CY123" s="24"/>
      <c r="CZ123" s="24"/>
      <c r="DA123" s="24"/>
      <c r="DB123" s="24"/>
      <c r="DC123" s="24"/>
      <c r="DD123" s="24"/>
      <c r="DE123" s="24"/>
      <c r="DF123" s="24"/>
      <c r="DG123" s="24"/>
      <c r="DH123" s="24"/>
      <c r="DI123" s="24"/>
      <c r="DJ123" s="24"/>
      <c r="DK123" s="24"/>
      <c r="DL123" s="24"/>
      <c r="DM123" s="24"/>
      <c r="DN123" s="24"/>
      <c r="DO123" s="24"/>
      <c r="DP123" s="24"/>
      <c r="DQ123" s="24"/>
      <c r="DR123" s="24"/>
      <c r="DS123" s="24"/>
      <c r="DT123" s="24"/>
      <c r="DU123" s="24"/>
      <c r="DV123" s="24"/>
      <c r="DW123" s="24"/>
      <c r="DX123" s="24"/>
      <c r="DY123" s="24"/>
      <c r="DZ123" s="24"/>
      <c r="EA123" s="24"/>
    </row>
    <row r="124" spans="1:131">
      <c r="A124" s="24"/>
      <c r="B124" s="24" t="s">
        <v>644</v>
      </c>
      <c r="C124" s="45">
        <v>152.98860288332344</v>
      </c>
      <c r="D124" s="45">
        <v>49.499083395202696</v>
      </c>
      <c r="E124" s="45">
        <v>9.8998166790405406</v>
      </c>
      <c r="F124" s="45">
        <v>59.398900074243237</v>
      </c>
      <c r="G124" s="45">
        <v>85.029678675086899</v>
      </c>
      <c r="H124" s="45">
        <v>100.88294761720753</v>
      </c>
      <c r="I124" s="45">
        <v>3401.1315538792333</v>
      </c>
      <c r="J124" s="45">
        <v>7.2271817087311154</v>
      </c>
      <c r="K124" s="45">
        <v>27.643654197249713</v>
      </c>
      <c r="L124" s="199">
        <v>1.1751451364474739</v>
      </c>
      <c r="M124" s="45">
        <v>1.4533955780393606</v>
      </c>
      <c r="N124" s="198">
        <v>6.2660255180213342</v>
      </c>
      <c r="O124" s="198">
        <v>4.6322376115535331</v>
      </c>
      <c r="P124" s="198">
        <v>4.3151429864907627</v>
      </c>
      <c r="Q124" s="198">
        <v>2.4772096658879752</v>
      </c>
      <c r="R124" s="198">
        <v>1.9899150846177245</v>
      </c>
      <c r="S124" s="198">
        <v>1.5435920435459867</v>
      </c>
      <c r="T124" s="198">
        <v>1.610726246500215</v>
      </c>
      <c r="U124" s="198">
        <v>2.3444652332988465</v>
      </c>
      <c r="V124" s="198">
        <v>2.9620477956151219</v>
      </c>
      <c r="W124" s="198">
        <v>4.8322465644762618</v>
      </c>
      <c r="X124" s="198">
        <v>5.5958713968020284</v>
      </c>
      <c r="Y124" s="198">
        <v>6.5918236661895682</v>
      </c>
      <c r="Z124" s="198"/>
      <c r="AA124" s="198">
        <v>10.384952047388984</v>
      </c>
      <c r="AB124" s="198">
        <v>9.0080757106329585</v>
      </c>
      <c r="AC124" s="198">
        <v>9.081114990893095</v>
      </c>
      <c r="AD124" s="198">
        <v>8.647491617194266</v>
      </c>
      <c r="AE124" s="198">
        <v>7.964779962255685</v>
      </c>
      <c r="AF124" s="198">
        <v>7.2367423447547843</v>
      </c>
      <c r="AG124" s="198">
        <v>7.9023359238307727</v>
      </c>
      <c r="AH124" s="198">
        <v>8.5329702161503267</v>
      </c>
      <c r="AI124" s="198">
        <v>9.197662175607066</v>
      </c>
      <c r="AJ124" s="198">
        <v>9.4925084243408442</v>
      </c>
      <c r="AK124" s="198">
        <v>9.9507998162335358</v>
      </c>
      <c r="AL124" s="198">
        <v>10.427865841041797</v>
      </c>
      <c r="AM124" s="45"/>
      <c r="AN124" s="45"/>
      <c r="AO124" s="45"/>
      <c r="AP124" s="45"/>
      <c r="AQ124" s="45"/>
      <c r="AR124" s="45"/>
      <c r="AS124" s="45"/>
      <c r="AT124" s="45"/>
      <c r="AU124" s="45"/>
      <c r="AV124" s="45"/>
      <c r="AW124" s="45"/>
      <c r="AX124" s="45"/>
      <c r="AY124" s="45"/>
      <c r="AZ124" s="45"/>
      <c r="BA124" s="45"/>
      <c r="BB124" s="45"/>
      <c r="BC124" s="45"/>
      <c r="BD124" s="45"/>
      <c r="BE124" s="45"/>
      <c r="BF124" s="45"/>
      <c r="BG124" s="45"/>
      <c r="BH124" s="45"/>
      <c r="BI124" s="45"/>
      <c r="BJ124" s="45"/>
      <c r="BK124" s="45"/>
      <c r="BL124" s="45"/>
      <c r="BM124" s="45"/>
      <c r="BN124" s="45"/>
      <c r="BO124" s="45"/>
      <c r="BP124" s="45"/>
      <c r="BQ124" s="45"/>
      <c r="BR124" s="45"/>
      <c r="BS124" s="45"/>
      <c r="BT124" s="45"/>
      <c r="BU124" s="45"/>
      <c r="BV124" s="45"/>
      <c r="BW124" s="45"/>
      <c r="BX124" s="45"/>
      <c r="BY124" s="45"/>
      <c r="BZ124" s="45"/>
      <c r="CA124" s="45"/>
      <c r="CB124" s="45"/>
      <c r="CC124" s="45"/>
      <c r="CD124" s="45"/>
      <c r="CE124" s="45"/>
      <c r="CF124" s="45"/>
      <c r="CG124" s="45"/>
      <c r="CH124" s="45"/>
      <c r="CI124" s="45"/>
      <c r="CJ124" s="45"/>
      <c r="CK124" s="45"/>
      <c r="CL124" s="45"/>
      <c r="CM124" s="45"/>
      <c r="CN124" s="45"/>
      <c r="CO124" s="45"/>
      <c r="CP124" s="45"/>
      <c r="CQ124" s="45"/>
      <c r="CR124" s="45"/>
      <c r="CS124" s="45"/>
      <c r="CT124" s="45"/>
      <c r="CU124" s="45"/>
      <c r="CV124" s="45"/>
      <c r="CW124" s="45"/>
      <c r="CX124" s="24"/>
      <c r="CY124" s="24"/>
      <c r="CZ124" s="24"/>
      <c r="DA124" s="24"/>
      <c r="DB124" s="24"/>
      <c r="DC124" s="24"/>
      <c r="DD124" s="24"/>
      <c r="DE124" s="24"/>
      <c r="DF124" s="24"/>
      <c r="DG124" s="24"/>
      <c r="DH124" s="24"/>
      <c r="DI124" s="24"/>
      <c r="DJ124" s="24"/>
      <c r="DK124" s="24"/>
      <c r="DL124" s="24"/>
      <c r="DM124" s="24"/>
      <c r="DN124" s="24"/>
      <c r="DO124" s="24"/>
      <c r="DP124" s="24"/>
      <c r="DQ124" s="24"/>
      <c r="DR124" s="24"/>
      <c r="DS124" s="24"/>
      <c r="DT124" s="24"/>
      <c r="DU124" s="24"/>
      <c r="DV124" s="24"/>
      <c r="DW124" s="24"/>
      <c r="DX124" s="24"/>
      <c r="DY124" s="24"/>
      <c r="DZ124" s="24"/>
      <c r="EA124" s="24"/>
    </row>
    <row r="125" spans="1:131">
      <c r="A125" s="24"/>
      <c r="B125" s="24" t="s">
        <v>645</v>
      </c>
      <c r="C125" s="45">
        <v>142.06125506467893</v>
      </c>
      <c r="D125" s="45">
        <v>51.099054884152991</v>
      </c>
      <c r="E125" s="45">
        <v>10.219810976830599</v>
      </c>
      <c r="F125" s="45">
        <v>61.318865860983593</v>
      </c>
      <c r="G125" s="45">
        <v>87.960742110877305</v>
      </c>
      <c r="H125" s="45">
        <v>93.677292837654733</v>
      </c>
      <c r="I125" s="45">
        <v>3781.138387786707</v>
      </c>
      <c r="J125" s="45">
        <v>9.5153575179751471</v>
      </c>
      <c r="K125" s="45">
        <v>32.307546242142436</v>
      </c>
      <c r="L125" s="199">
        <v>1.06112000623378</v>
      </c>
      <c r="M125" s="45">
        <v>1.3495854987262745</v>
      </c>
      <c r="N125" s="198">
        <v>5.8184690400519212</v>
      </c>
      <c r="O125" s="198">
        <v>4.3013758963272268</v>
      </c>
      <c r="P125" s="198">
        <v>4.0069300385201858</v>
      </c>
      <c r="Q125" s="198">
        <v>2.3002727494857087</v>
      </c>
      <c r="R125" s="198">
        <v>1.8477836195976227</v>
      </c>
      <c r="S125" s="198">
        <v>1.4333396009978112</v>
      </c>
      <c r="T125" s="198">
        <v>1.4956786834503653</v>
      </c>
      <c r="U125" s="198">
        <v>2.1770097067423078</v>
      </c>
      <c r="V125" s="198">
        <v>2.7504808820796045</v>
      </c>
      <c r="W125" s="198">
        <v>4.4870990308671548</v>
      </c>
      <c r="X125" s="198">
        <v>5.196181276434733</v>
      </c>
      <c r="Y125" s="198">
        <v>6.1209967640407834</v>
      </c>
      <c r="Z125" s="198"/>
      <c r="AA125" s="198">
        <v>9.6431975574266886</v>
      </c>
      <c r="AB125" s="198">
        <v>8.364665844723925</v>
      </c>
      <c r="AC125" s="198">
        <v>8.4324882290533552</v>
      </c>
      <c r="AD125" s="198">
        <v>8.0298367927237102</v>
      </c>
      <c r="AE125" s="198">
        <v>7.3958884284666322</v>
      </c>
      <c r="AF125" s="198">
        <v>6.7198515490701043</v>
      </c>
      <c r="AG125" s="198">
        <v>7.3379045113462471</v>
      </c>
      <c r="AH125" s="198">
        <v>7.9234951851957645</v>
      </c>
      <c r="AI125" s="198">
        <v>8.5407109268405161</v>
      </c>
      <c r="AJ125" s="198">
        <v>8.8144975185004046</v>
      </c>
      <c r="AK125" s="198">
        <v>9.2400550377573563</v>
      </c>
      <c r="AL125" s="198">
        <v>9.6830461949788234</v>
      </c>
      <c r="AM125" s="45"/>
      <c r="AN125" s="45"/>
      <c r="AO125" s="45"/>
      <c r="AP125" s="45"/>
      <c r="AQ125" s="45"/>
      <c r="AR125" s="45"/>
      <c r="AS125" s="45"/>
      <c r="AT125" s="45"/>
      <c r="AU125" s="45"/>
      <c r="AV125" s="45"/>
      <c r="AW125" s="45"/>
      <c r="AX125" s="45"/>
      <c r="AY125" s="45"/>
      <c r="AZ125" s="45"/>
      <c r="BA125" s="45"/>
      <c r="BB125" s="45"/>
      <c r="BC125" s="45"/>
      <c r="BD125" s="45"/>
      <c r="BE125" s="45"/>
      <c r="BF125" s="45"/>
      <c r="BG125" s="45"/>
      <c r="BH125" s="45"/>
      <c r="BI125" s="45"/>
      <c r="BJ125" s="45"/>
      <c r="BK125" s="45"/>
      <c r="BL125" s="45"/>
      <c r="BM125" s="45"/>
      <c r="BN125" s="45"/>
      <c r="BO125" s="45"/>
      <c r="BP125" s="45"/>
      <c r="BQ125" s="45"/>
      <c r="BR125" s="45"/>
      <c r="BS125" s="45"/>
      <c r="BT125" s="45"/>
      <c r="BU125" s="45"/>
      <c r="BV125" s="45"/>
      <c r="BW125" s="45"/>
      <c r="BX125" s="45"/>
      <c r="BY125" s="45"/>
      <c r="BZ125" s="45"/>
      <c r="CA125" s="45"/>
      <c r="CB125" s="45"/>
      <c r="CC125" s="45"/>
      <c r="CD125" s="45"/>
      <c r="CE125" s="45"/>
      <c r="CF125" s="45"/>
      <c r="CG125" s="45"/>
      <c r="CH125" s="45"/>
      <c r="CI125" s="45"/>
      <c r="CJ125" s="45"/>
      <c r="CK125" s="45"/>
      <c r="CL125" s="45"/>
      <c r="CM125" s="45"/>
      <c r="CN125" s="45"/>
      <c r="CO125" s="45"/>
      <c r="CP125" s="45"/>
      <c r="CQ125" s="45"/>
      <c r="CR125" s="45"/>
      <c r="CS125" s="45"/>
      <c r="CT125" s="45"/>
      <c r="CU125" s="45"/>
      <c r="CV125" s="45"/>
      <c r="CW125" s="45"/>
      <c r="CX125" s="24"/>
      <c r="CY125" s="24"/>
      <c r="CZ125" s="24"/>
      <c r="DA125" s="24"/>
      <c r="DB125" s="24"/>
      <c r="DC125" s="24"/>
      <c r="DD125" s="24"/>
      <c r="DE125" s="24"/>
      <c r="DF125" s="24"/>
      <c r="DG125" s="24"/>
      <c r="DH125" s="24"/>
      <c r="DI125" s="24"/>
      <c r="DJ125" s="24"/>
      <c r="DK125" s="24"/>
      <c r="DL125" s="24"/>
      <c r="DM125" s="24"/>
      <c r="DN125" s="24"/>
      <c r="DO125" s="24"/>
      <c r="DP125" s="24"/>
      <c r="DQ125" s="24"/>
      <c r="DR125" s="24"/>
      <c r="DS125" s="24"/>
      <c r="DT125" s="24"/>
      <c r="DU125" s="24"/>
      <c r="DV125" s="24"/>
      <c r="DW125" s="24"/>
      <c r="DX125" s="24"/>
      <c r="DY125" s="24"/>
      <c r="DZ125" s="24"/>
      <c r="EA125" s="24"/>
    </row>
    <row r="126" spans="1:131">
      <c r="A126" s="24"/>
      <c r="B126" s="24" t="s">
        <v>646</v>
      </c>
      <c r="C126" s="228">
        <v>0</v>
      </c>
      <c r="D126" s="228">
        <v>0</v>
      </c>
      <c r="E126" s="228">
        <v>0</v>
      </c>
      <c r="F126" s="228">
        <v>0</v>
      </c>
      <c r="G126" s="228">
        <v>0</v>
      </c>
      <c r="H126" s="228">
        <v>0</v>
      </c>
      <c r="I126" s="228">
        <v>0</v>
      </c>
      <c r="J126" s="228">
        <v>0</v>
      </c>
      <c r="K126" s="228">
        <v>0</v>
      </c>
      <c r="L126" s="229">
        <v>0</v>
      </c>
      <c r="M126" s="228">
        <v>0</v>
      </c>
      <c r="N126" s="228">
        <v>0</v>
      </c>
      <c r="O126" s="228">
        <v>0</v>
      </c>
      <c r="P126" s="228">
        <v>0</v>
      </c>
      <c r="Q126" s="228">
        <v>0</v>
      </c>
      <c r="R126" s="228">
        <v>0</v>
      </c>
      <c r="S126" s="228">
        <v>0</v>
      </c>
      <c r="T126" s="228">
        <v>0</v>
      </c>
      <c r="U126" s="228">
        <v>0</v>
      </c>
      <c r="V126" s="228">
        <v>0</v>
      </c>
      <c r="W126" s="228">
        <v>0</v>
      </c>
      <c r="X126" s="228">
        <v>0</v>
      </c>
      <c r="Y126" s="228">
        <v>0</v>
      </c>
      <c r="Z126" s="228"/>
      <c r="AA126" s="228">
        <v>0</v>
      </c>
      <c r="AB126" s="228">
        <v>0</v>
      </c>
      <c r="AC126" s="228">
        <v>0</v>
      </c>
      <c r="AD126" s="228">
        <v>0</v>
      </c>
      <c r="AE126" s="228">
        <v>0</v>
      </c>
      <c r="AF126" s="228">
        <v>0</v>
      </c>
      <c r="AG126" s="228">
        <v>0</v>
      </c>
      <c r="AH126" s="228">
        <v>0</v>
      </c>
      <c r="AI126" s="228">
        <v>0</v>
      </c>
      <c r="AJ126" s="228">
        <v>0</v>
      </c>
      <c r="AK126" s="228">
        <v>0</v>
      </c>
      <c r="AL126" s="228">
        <v>0</v>
      </c>
      <c r="AM126" s="45"/>
      <c r="AN126" s="45"/>
      <c r="AO126" s="45"/>
      <c r="AP126" s="45"/>
      <c r="AQ126" s="45"/>
      <c r="AR126" s="45"/>
      <c r="AS126" s="45"/>
      <c r="AT126" s="45"/>
      <c r="AU126" s="45"/>
      <c r="AV126" s="45"/>
      <c r="AW126" s="45"/>
      <c r="AX126" s="45"/>
      <c r="AY126" s="45"/>
      <c r="AZ126" s="45"/>
      <c r="BA126" s="45"/>
      <c r="BB126" s="45"/>
      <c r="BC126" s="45"/>
      <c r="BD126" s="45"/>
      <c r="BE126" s="45"/>
      <c r="BF126" s="45"/>
      <c r="BG126" s="45"/>
      <c r="BH126" s="45"/>
      <c r="BI126" s="45"/>
      <c r="BJ126" s="45"/>
      <c r="BK126" s="45"/>
      <c r="BL126" s="45"/>
      <c r="BM126" s="45"/>
      <c r="BN126" s="45"/>
      <c r="BO126" s="45"/>
      <c r="BP126" s="45"/>
      <c r="BQ126" s="45"/>
      <c r="BR126" s="45"/>
      <c r="BS126" s="45"/>
      <c r="BT126" s="45"/>
      <c r="BU126" s="45"/>
      <c r="BV126" s="45"/>
      <c r="BW126" s="45"/>
      <c r="BX126" s="45"/>
      <c r="BY126" s="45"/>
      <c r="BZ126" s="45"/>
      <c r="CA126" s="45"/>
      <c r="CB126" s="45"/>
      <c r="CC126" s="45"/>
      <c r="CD126" s="45"/>
      <c r="CE126" s="45"/>
      <c r="CF126" s="45"/>
      <c r="CG126" s="45"/>
      <c r="CH126" s="45"/>
      <c r="CI126" s="45"/>
      <c r="CJ126" s="45"/>
      <c r="CK126" s="45"/>
      <c r="CL126" s="45"/>
      <c r="CM126" s="45"/>
      <c r="CN126" s="45"/>
      <c r="CO126" s="45"/>
      <c r="CP126" s="45"/>
      <c r="CQ126" s="45"/>
      <c r="CR126" s="45"/>
      <c r="CS126" s="45"/>
      <c r="CT126" s="45"/>
      <c r="CU126" s="45"/>
      <c r="CV126" s="45"/>
      <c r="CW126" s="45"/>
      <c r="CX126" s="24"/>
      <c r="CY126" s="24"/>
      <c r="CZ126" s="24"/>
      <c r="DA126" s="24"/>
      <c r="DB126" s="24"/>
      <c r="DC126" s="24"/>
      <c r="DD126" s="24"/>
      <c r="DE126" s="24"/>
      <c r="DF126" s="24"/>
      <c r="DG126" s="24"/>
      <c r="DH126" s="24"/>
      <c r="DI126" s="24"/>
      <c r="DJ126" s="24"/>
      <c r="DK126" s="24"/>
      <c r="DL126" s="24"/>
      <c r="DM126" s="24"/>
      <c r="DN126" s="24"/>
      <c r="DO126" s="24"/>
      <c r="DP126" s="24"/>
      <c r="DQ126" s="24"/>
      <c r="DR126" s="24"/>
      <c r="DS126" s="24"/>
      <c r="DT126" s="24"/>
      <c r="DU126" s="24"/>
      <c r="DV126" s="24"/>
      <c r="DW126" s="24"/>
      <c r="DX126" s="24"/>
      <c r="DY126" s="24"/>
      <c r="DZ126" s="24"/>
      <c r="EA126" s="24"/>
    </row>
    <row r="127" spans="1:131">
      <c r="A127" s="24"/>
      <c r="B127" s="24" t="s">
        <v>647</v>
      </c>
      <c r="C127" s="228">
        <v>0</v>
      </c>
      <c r="D127" s="228">
        <v>0</v>
      </c>
      <c r="E127" s="228">
        <v>0</v>
      </c>
      <c r="F127" s="228">
        <v>0</v>
      </c>
      <c r="G127" s="228">
        <v>0</v>
      </c>
      <c r="H127" s="228">
        <v>0</v>
      </c>
      <c r="I127" s="228">
        <v>0</v>
      </c>
      <c r="J127" s="228">
        <v>0</v>
      </c>
      <c r="K127" s="228">
        <v>0</v>
      </c>
      <c r="L127" s="229">
        <v>0</v>
      </c>
      <c r="M127" s="228">
        <v>0</v>
      </c>
      <c r="N127" s="228">
        <v>0</v>
      </c>
      <c r="O127" s="228">
        <v>0</v>
      </c>
      <c r="P127" s="228">
        <v>0</v>
      </c>
      <c r="Q127" s="228">
        <v>0</v>
      </c>
      <c r="R127" s="228">
        <v>0</v>
      </c>
      <c r="S127" s="228">
        <v>0</v>
      </c>
      <c r="T127" s="228">
        <v>0</v>
      </c>
      <c r="U127" s="228">
        <v>0</v>
      </c>
      <c r="V127" s="228">
        <v>0</v>
      </c>
      <c r="W127" s="228">
        <v>0</v>
      </c>
      <c r="X127" s="228">
        <v>0</v>
      </c>
      <c r="Y127" s="228">
        <v>0</v>
      </c>
      <c r="Z127" s="228"/>
      <c r="AA127" s="228">
        <v>0</v>
      </c>
      <c r="AB127" s="228">
        <v>0</v>
      </c>
      <c r="AC127" s="228">
        <v>0</v>
      </c>
      <c r="AD127" s="228">
        <v>0</v>
      </c>
      <c r="AE127" s="228">
        <v>0</v>
      </c>
      <c r="AF127" s="228">
        <v>0</v>
      </c>
      <c r="AG127" s="228">
        <v>0</v>
      </c>
      <c r="AH127" s="228">
        <v>0</v>
      </c>
      <c r="AI127" s="228">
        <v>0</v>
      </c>
      <c r="AJ127" s="228">
        <v>0</v>
      </c>
      <c r="AK127" s="228">
        <v>0</v>
      </c>
      <c r="AL127" s="228">
        <v>0</v>
      </c>
      <c r="AM127" s="45"/>
      <c r="AN127" s="45"/>
      <c r="AO127" s="45"/>
      <c r="AP127" s="45"/>
      <c r="AQ127" s="45"/>
      <c r="AR127" s="45"/>
      <c r="AS127" s="45"/>
      <c r="AT127" s="45"/>
      <c r="AU127" s="45"/>
      <c r="AV127" s="45"/>
      <c r="AW127" s="45"/>
      <c r="AX127" s="45"/>
      <c r="AY127" s="45"/>
      <c r="AZ127" s="45"/>
      <c r="BA127" s="45"/>
      <c r="BB127" s="45"/>
      <c r="BC127" s="45"/>
      <c r="BD127" s="45"/>
      <c r="BE127" s="45"/>
      <c r="BF127" s="45"/>
      <c r="BG127" s="45"/>
      <c r="BH127" s="45"/>
      <c r="BI127" s="45"/>
      <c r="BJ127" s="45"/>
      <c r="BK127" s="45"/>
      <c r="BL127" s="45"/>
      <c r="BM127" s="45"/>
      <c r="BN127" s="45"/>
      <c r="BO127" s="45"/>
      <c r="BP127" s="45"/>
      <c r="BQ127" s="45"/>
      <c r="BR127" s="45"/>
      <c r="BS127" s="45"/>
      <c r="BT127" s="45"/>
      <c r="BU127" s="45"/>
      <c r="BV127" s="45"/>
      <c r="BW127" s="45"/>
      <c r="BX127" s="45"/>
      <c r="BY127" s="45"/>
      <c r="BZ127" s="45"/>
      <c r="CA127" s="45"/>
      <c r="CB127" s="45"/>
      <c r="CC127" s="45"/>
      <c r="CD127" s="45"/>
      <c r="CE127" s="45"/>
      <c r="CF127" s="45"/>
      <c r="CG127" s="45"/>
      <c r="CH127" s="45"/>
      <c r="CI127" s="45"/>
      <c r="CJ127" s="45"/>
      <c r="CK127" s="45"/>
      <c r="CL127" s="45"/>
      <c r="CM127" s="45"/>
      <c r="CN127" s="45"/>
      <c r="CO127" s="45"/>
      <c r="CP127" s="45"/>
      <c r="CQ127" s="45"/>
      <c r="CR127" s="45"/>
      <c r="CS127" s="45"/>
      <c r="CT127" s="45"/>
      <c r="CU127" s="45"/>
      <c r="CV127" s="45"/>
      <c r="CW127" s="45"/>
      <c r="CX127" s="24"/>
      <c r="CY127" s="24"/>
      <c r="CZ127" s="24"/>
      <c r="DA127" s="24"/>
      <c r="DB127" s="24"/>
      <c r="DC127" s="24"/>
      <c r="DD127" s="24"/>
      <c r="DE127" s="24"/>
      <c r="DF127" s="24"/>
      <c r="DG127" s="24"/>
      <c r="DH127" s="24"/>
      <c r="DI127" s="24"/>
      <c r="DJ127" s="24"/>
      <c r="DK127" s="24"/>
      <c r="DL127" s="24"/>
      <c r="DM127" s="24"/>
      <c r="DN127" s="24"/>
      <c r="DO127" s="24"/>
      <c r="DP127" s="24"/>
      <c r="DQ127" s="24"/>
      <c r="DR127" s="24"/>
      <c r="DS127" s="24"/>
      <c r="DT127" s="24"/>
      <c r="DU127" s="24"/>
      <c r="DV127" s="24"/>
      <c r="DW127" s="24"/>
      <c r="DX127" s="24"/>
      <c r="DY127" s="24"/>
      <c r="DZ127" s="24"/>
      <c r="EA127" s="24"/>
    </row>
    <row r="128" spans="1:131">
      <c r="A128" s="24"/>
      <c r="B128" s="24" t="s">
        <v>648</v>
      </c>
      <c r="C128" s="228">
        <v>0</v>
      </c>
      <c r="D128" s="228">
        <v>0</v>
      </c>
      <c r="E128" s="228">
        <v>0</v>
      </c>
      <c r="F128" s="228">
        <v>0</v>
      </c>
      <c r="G128" s="228">
        <v>0</v>
      </c>
      <c r="H128" s="228">
        <v>0</v>
      </c>
      <c r="I128" s="228">
        <v>0</v>
      </c>
      <c r="J128" s="228">
        <v>0</v>
      </c>
      <c r="K128" s="228">
        <v>0</v>
      </c>
      <c r="L128" s="229">
        <v>0</v>
      </c>
      <c r="M128" s="228">
        <v>0</v>
      </c>
      <c r="N128" s="228">
        <v>0</v>
      </c>
      <c r="O128" s="228">
        <v>0</v>
      </c>
      <c r="P128" s="228">
        <v>0</v>
      </c>
      <c r="Q128" s="228">
        <v>0</v>
      </c>
      <c r="R128" s="228">
        <v>0</v>
      </c>
      <c r="S128" s="228">
        <v>0</v>
      </c>
      <c r="T128" s="228">
        <v>0</v>
      </c>
      <c r="U128" s="228">
        <v>0</v>
      </c>
      <c r="V128" s="228">
        <v>0</v>
      </c>
      <c r="W128" s="228">
        <v>0</v>
      </c>
      <c r="X128" s="228">
        <v>0</v>
      </c>
      <c r="Y128" s="228">
        <v>0</v>
      </c>
      <c r="Z128" s="228"/>
      <c r="AA128" s="228">
        <v>0</v>
      </c>
      <c r="AB128" s="228">
        <v>0</v>
      </c>
      <c r="AC128" s="228">
        <v>0</v>
      </c>
      <c r="AD128" s="228">
        <v>0</v>
      </c>
      <c r="AE128" s="228">
        <v>0</v>
      </c>
      <c r="AF128" s="228">
        <v>0</v>
      </c>
      <c r="AG128" s="228">
        <v>0</v>
      </c>
      <c r="AH128" s="228">
        <v>0</v>
      </c>
      <c r="AI128" s="228">
        <v>0</v>
      </c>
      <c r="AJ128" s="228">
        <v>0</v>
      </c>
      <c r="AK128" s="228">
        <v>0</v>
      </c>
      <c r="AL128" s="228">
        <v>0</v>
      </c>
      <c r="AM128" s="45"/>
      <c r="AN128" s="45"/>
      <c r="AO128" s="45"/>
      <c r="AP128" s="45"/>
      <c r="AQ128" s="45"/>
      <c r="AR128" s="45"/>
      <c r="AS128" s="45"/>
      <c r="AT128" s="45"/>
      <c r="AU128" s="45"/>
      <c r="AV128" s="45"/>
      <c r="AW128" s="45"/>
      <c r="AX128" s="45"/>
      <c r="AY128" s="45"/>
      <c r="AZ128" s="45"/>
      <c r="BA128" s="45"/>
      <c r="BB128" s="45"/>
      <c r="BC128" s="45"/>
      <c r="BD128" s="45"/>
      <c r="BE128" s="45"/>
      <c r="BF128" s="45"/>
      <c r="BG128" s="45"/>
      <c r="BH128" s="45"/>
      <c r="BI128" s="45"/>
      <c r="BJ128" s="45"/>
      <c r="BK128" s="45"/>
      <c r="BL128" s="45"/>
      <c r="BM128" s="45"/>
      <c r="BN128" s="45"/>
      <c r="BO128" s="45"/>
      <c r="BP128" s="45"/>
      <c r="BQ128" s="45"/>
      <c r="BR128" s="45"/>
      <c r="BS128" s="45"/>
      <c r="BT128" s="45"/>
      <c r="BU128" s="45"/>
      <c r="BV128" s="45"/>
      <c r="BW128" s="45"/>
      <c r="BX128" s="45"/>
      <c r="BY128" s="45"/>
      <c r="BZ128" s="45"/>
      <c r="CA128" s="45"/>
      <c r="CB128" s="45"/>
      <c r="CC128" s="45"/>
      <c r="CD128" s="45"/>
      <c r="CE128" s="45"/>
      <c r="CF128" s="45"/>
      <c r="CG128" s="45"/>
      <c r="CH128" s="45"/>
      <c r="CI128" s="45"/>
      <c r="CJ128" s="45"/>
      <c r="CK128" s="45"/>
      <c r="CL128" s="45"/>
      <c r="CM128" s="45"/>
      <c r="CN128" s="45"/>
      <c r="CO128" s="45"/>
      <c r="CP128" s="45"/>
      <c r="CQ128" s="45"/>
      <c r="CR128" s="45"/>
      <c r="CS128" s="45"/>
      <c r="CT128" s="45"/>
      <c r="CU128" s="45"/>
      <c r="CV128" s="45"/>
      <c r="CW128" s="45"/>
      <c r="CX128" s="24"/>
      <c r="CY128" s="24"/>
      <c r="CZ128" s="24"/>
      <c r="DA128" s="24"/>
      <c r="DB128" s="24"/>
      <c r="DC128" s="24"/>
      <c r="DD128" s="24"/>
      <c r="DE128" s="24"/>
      <c r="DF128" s="24"/>
      <c r="DG128" s="24"/>
      <c r="DH128" s="24"/>
      <c r="DI128" s="24"/>
      <c r="DJ128" s="24"/>
      <c r="DK128" s="24"/>
      <c r="DL128" s="24"/>
      <c r="DM128" s="24"/>
      <c r="DN128" s="24"/>
      <c r="DO128" s="24"/>
      <c r="DP128" s="24"/>
      <c r="DQ128" s="24"/>
      <c r="DR128" s="24"/>
      <c r="DS128" s="24"/>
      <c r="DT128" s="24"/>
      <c r="DU128" s="24"/>
      <c r="DV128" s="24"/>
      <c r="DW128" s="24"/>
      <c r="DX128" s="24"/>
      <c r="DY128" s="24"/>
      <c r="DZ128" s="24"/>
      <c r="EA128" s="24"/>
    </row>
    <row r="129" spans="1:131">
      <c r="A129" s="24"/>
      <c r="B129" s="24" t="s">
        <v>649</v>
      </c>
      <c r="C129" s="228">
        <v>0</v>
      </c>
      <c r="D129" s="228">
        <v>0</v>
      </c>
      <c r="E129" s="228">
        <v>0</v>
      </c>
      <c r="F129" s="228">
        <v>0</v>
      </c>
      <c r="G129" s="228">
        <v>0</v>
      </c>
      <c r="H129" s="228">
        <v>0</v>
      </c>
      <c r="I129" s="228">
        <v>0</v>
      </c>
      <c r="J129" s="228">
        <v>0</v>
      </c>
      <c r="K129" s="228">
        <v>0</v>
      </c>
      <c r="L129" s="229">
        <v>0</v>
      </c>
      <c r="M129" s="228">
        <v>0</v>
      </c>
      <c r="N129" s="228">
        <v>0</v>
      </c>
      <c r="O129" s="228">
        <v>0</v>
      </c>
      <c r="P129" s="228">
        <v>0</v>
      </c>
      <c r="Q129" s="228">
        <v>0</v>
      </c>
      <c r="R129" s="228">
        <v>0</v>
      </c>
      <c r="S129" s="228">
        <v>0</v>
      </c>
      <c r="T129" s="228">
        <v>0</v>
      </c>
      <c r="U129" s="228">
        <v>0</v>
      </c>
      <c r="V129" s="228">
        <v>0</v>
      </c>
      <c r="W129" s="228">
        <v>0</v>
      </c>
      <c r="X129" s="228">
        <v>0</v>
      </c>
      <c r="Y129" s="228">
        <v>0</v>
      </c>
      <c r="Z129" s="228"/>
      <c r="AA129" s="228">
        <v>0</v>
      </c>
      <c r="AB129" s="228">
        <v>0</v>
      </c>
      <c r="AC129" s="228">
        <v>0</v>
      </c>
      <c r="AD129" s="228">
        <v>0</v>
      </c>
      <c r="AE129" s="228">
        <v>0</v>
      </c>
      <c r="AF129" s="228">
        <v>0</v>
      </c>
      <c r="AG129" s="228">
        <v>0</v>
      </c>
      <c r="AH129" s="228">
        <v>0</v>
      </c>
      <c r="AI129" s="228">
        <v>0</v>
      </c>
      <c r="AJ129" s="228">
        <v>0</v>
      </c>
      <c r="AK129" s="228">
        <v>0</v>
      </c>
      <c r="AL129" s="228">
        <v>0</v>
      </c>
      <c r="AM129" s="45"/>
      <c r="AN129" s="45"/>
      <c r="AO129" s="45"/>
      <c r="AP129" s="45"/>
      <c r="AQ129" s="45"/>
      <c r="AR129" s="45"/>
      <c r="AS129" s="45"/>
      <c r="AT129" s="45"/>
      <c r="AU129" s="45"/>
      <c r="AV129" s="45"/>
      <c r="AW129" s="45"/>
      <c r="AX129" s="45"/>
      <c r="AY129" s="45"/>
      <c r="AZ129" s="45"/>
      <c r="BA129" s="45"/>
      <c r="BB129" s="45"/>
      <c r="BC129" s="45"/>
      <c r="BD129" s="45"/>
      <c r="BE129" s="45"/>
      <c r="BF129" s="45"/>
      <c r="BG129" s="45"/>
      <c r="BH129" s="45"/>
      <c r="BI129" s="45"/>
      <c r="BJ129" s="45"/>
      <c r="BK129" s="45"/>
      <c r="BL129" s="45"/>
      <c r="BM129" s="45"/>
      <c r="BN129" s="45"/>
      <c r="BO129" s="45"/>
      <c r="BP129" s="45"/>
      <c r="BQ129" s="45"/>
      <c r="BR129" s="45"/>
      <c r="BS129" s="45"/>
      <c r="BT129" s="45"/>
      <c r="BU129" s="45"/>
      <c r="BV129" s="45"/>
      <c r="BW129" s="45"/>
      <c r="BX129" s="45"/>
      <c r="BY129" s="45"/>
      <c r="BZ129" s="45"/>
      <c r="CA129" s="45"/>
      <c r="CB129" s="45"/>
      <c r="CC129" s="45"/>
      <c r="CD129" s="45"/>
      <c r="CE129" s="45"/>
      <c r="CF129" s="45"/>
      <c r="CG129" s="45"/>
      <c r="CH129" s="45"/>
      <c r="CI129" s="45"/>
      <c r="CJ129" s="45"/>
      <c r="CK129" s="45"/>
      <c r="CL129" s="45"/>
      <c r="CM129" s="45"/>
      <c r="CN129" s="45"/>
      <c r="CO129" s="45"/>
      <c r="CP129" s="45"/>
      <c r="CQ129" s="45"/>
      <c r="CR129" s="45"/>
      <c r="CS129" s="45"/>
      <c r="CT129" s="45"/>
      <c r="CU129" s="45"/>
      <c r="CV129" s="45"/>
      <c r="CW129" s="45"/>
      <c r="CX129" s="24"/>
      <c r="CY129" s="24"/>
      <c r="CZ129" s="24"/>
      <c r="DA129" s="24"/>
      <c r="DB129" s="24"/>
      <c r="DC129" s="24"/>
      <c r="DD129" s="24"/>
      <c r="DE129" s="24"/>
      <c r="DF129" s="24"/>
      <c r="DG129" s="24"/>
      <c r="DH129" s="24"/>
      <c r="DI129" s="24"/>
      <c r="DJ129" s="24"/>
      <c r="DK129" s="24"/>
      <c r="DL129" s="24"/>
      <c r="DM129" s="24"/>
      <c r="DN129" s="24"/>
      <c r="DO129" s="24"/>
      <c r="DP129" s="24"/>
      <c r="DQ129" s="24"/>
      <c r="DR129" s="24"/>
      <c r="DS129" s="24"/>
      <c r="DT129" s="24"/>
      <c r="DU129" s="24"/>
      <c r="DV129" s="24"/>
      <c r="DW129" s="24"/>
      <c r="DX129" s="24"/>
      <c r="DY129" s="24"/>
      <c r="DZ129" s="24"/>
      <c r="EA129" s="24"/>
    </row>
    <row r="130" spans="1:131">
      <c r="A130" s="24"/>
      <c r="B130" s="24" t="s">
        <v>650</v>
      </c>
      <c r="C130" s="228">
        <v>0</v>
      </c>
      <c r="D130" s="228">
        <v>0</v>
      </c>
      <c r="E130" s="228">
        <v>0</v>
      </c>
      <c r="F130" s="228">
        <v>0</v>
      </c>
      <c r="G130" s="228">
        <v>0</v>
      </c>
      <c r="H130" s="228">
        <v>0</v>
      </c>
      <c r="I130" s="228">
        <v>0</v>
      </c>
      <c r="J130" s="228">
        <v>0</v>
      </c>
      <c r="K130" s="228">
        <v>0</v>
      </c>
      <c r="L130" s="229">
        <v>0</v>
      </c>
      <c r="M130" s="228">
        <v>0</v>
      </c>
      <c r="N130" s="228">
        <v>0</v>
      </c>
      <c r="O130" s="228">
        <v>0</v>
      </c>
      <c r="P130" s="228">
        <v>0</v>
      </c>
      <c r="Q130" s="228">
        <v>0</v>
      </c>
      <c r="R130" s="228">
        <v>0</v>
      </c>
      <c r="S130" s="228">
        <v>0</v>
      </c>
      <c r="T130" s="228">
        <v>0</v>
      </c>
      <c r="U130" s="228">
        <v>0</v>
      </c>
      <c r="V130" s="228">
        <v>0</v>
      </c>
      <c r="W130" s="228">
        <v>0</v>
      </c>
      <c r="X130" s="228">
        <v>0</v>
      </c>
      <c r="Y130" s="228">
        <v>0</v>
      </c>
      <c r="Z130" s="228"/>
      <c r="AA130" s="228">
        <v>0</v>
      </c>
      <c r="AB130" s="228">
        <v>0</v>
      </c>
      <c r="AC130" s="228">
        <v>0</v>
      </c>
      <c r="AD130" s="228">
        <v>0</v>
      </c>
      <c r="AE130" s="228">
        <v>0</v>
      </c>
      <c r="AF130" s="228">
        <v>0</v>
      </c>
      <c r="AG130" s="228">
        <v>0</v>
      </c>
      <c r="AH130" s="228">
        <v>0</v>
      </c>
      <c r="AI130" s="228">
        <v>0</v>
      </c>
      <c r="AJ130" s="228">
        <v>0</v>
      </c>
      <c r="AK130" s="228">
        <v>0</v>
      </c>
      <c r="AL130" s="228">
        <v>0</v>
      </c>
      <c r="AM130" s="45"/>
      <c r="AN130" s="45"/>
      <c r="AO130" s="45"/>
      <c r="AP130" s="45"/>
      <c r="AQ130" s="45"/>
      <c r="AR130" s="45"/>
      <c r="AS130" s="45"/>
      <c r="AT130" s="45"/>
      <c r="AU130" s="45"/>
      <c r="AV130" s="45"/>
      <c r="AW130" s="45"/>
      <c r="AX130" s="45"/>
      <c r="AY130" s="45"/>
      <c r="AZ130" s="45"/>
      <c r="BA130" s="45"/>
      <c r="BB130" s="45"/>
      <c r="BC130" s="45"/>
      <c r="BD130" s="45"/>
      <c r="BE130" s="45"/>
      <c r="BF130" s="45"/>
      <c r="BG130" s="45"/>
      <c r="BH130" s="45"/>
      <c r="BI130" s="45"/>
      <c r="BJ130" s="45"/>
      <c r="BK130" s="45"/>
      <c r="BL130" s="45"/>
      <c r="BM130" s="45"/>
      <c r="BN130" s="45"/>
      <c r="BO130" s="45"/>
      <c r="BP130" s="45"/>
      <c r="BQ130" s="45"/>
      <c r="BR130" s="45"/>
      <c r="BS130" s="45"/>
      <c r="BT130" s="45"/>
      <c r="BU130" s="45"/>
      <c r="BV130" s="45"/>
      <c r="BW130" s="45"/>
      <c r="BX130" s="45"/>
      <c r="BY130" s="45"/>
      <c r="BZ130" s="45"/>
      <c r="CA130" s="45"/>
      <c r="CB130" s="45"/>
      <c r="CC130" s="45"/>
      <c r="CD130" s="45"/>
      <c r="CE130" s="45"/>
      <c r="CF130" s="45"/>
      <c r="CG130" s="45"/>
      <c r="CH130" s="45"/>
      <c r="CI130" s="45"/>
      <c r="CJ130" s="45"/>
      <c r="CK130" s="45"/>
      <c r="CL130" s="45"/>
      <c r="CM130" s="45"/>
      <c r="CN130" s="45"/>
      <c r="CO130" s="45"/>
      <c r="CP130" s="45"/>
      <c r="CQ130" s="45"/>
      <c r="CR130" s="45"/>
      <c r="CS130" s="45"/>
      <c r="CT130" s="45"/>
      <c r="CU130" s="45"/>
      <c r="CV130" s="45"/>
      <c r="CW130" s="45"/>
      <c r="CX130" s="24"/>
      <c r="CY130" s="24"/>
      <c r="CZ130" s="24"/>
      <c r="DA130" s="24"/>
      <c r="DB130" s="24"/>
      <c r="DC130" s="24"/>
      <c r="DD130" s="24"/>
      <c r="DE130" s="24"/>
      <c r="DF130" s="24"/>
      <c r="DG130" s="24"/>
      <c r="DH130" s="24"/>
      <c r="DI130" s="24"/>
      <c r="DJ130" s="24"/>
      <c r="DK130" s="24"/>
      <c r="DL130" s="24"/>
      <c r="DM130" s="24"/>
      <c r="DN130" s="24"/>
      <c r="DO130" s="24"/>
      <c r="DP130" s="24"/>
      <c r="DQ130" s="24"/>
      <c r="DR130" s="24"/>
      <c r="DS130" s="24"/>
      <c r="DT130" s="24"/>
      <c r="DU130" s="24"/>
      <c r="DV130" s="24"/>
      <c r="DW130" s="24"/>
      <c r="DX130" s="24"/>
      <c r="DY130" s="24"/>
      <c r="DZ130" s="24"/>
      <c r="EA130" s="24"/>
    </row>
    <row r="131" spans="1:131">
      <c r="A131" s="24"/>
      <c r="B131" s="24" t="s">
        <v>651</v>
      </c>
      <c r="C131" s="228">
        <v>0</v>
      </c>
      <c r="D131" s="228">
        <v>0</v>
      </c>
      <c r="E131" s="228">
        <v>0</v>
      </c>
      <c r="F131" s="228">
        <v>0</v>
      </c>
      <c r="G131" s="228">
        <v>0</v>
      </c>
      <c r="H131" s="228">
        <v>0</v>
      </c>
      <c r="I131" s="228">
        <v>0</v>
      </c>
      <c r="J131" s="228">
        <v>0</v>
      </c>
      <c r="K131" s="228">
        <v>0</v>
      </c>
      <c r="L131" s="229">
        <v>0</v>
      </c>
      <c r="M131" s="228">
        <v>0</v>
      </c>
      <c r="N131" s="228">
        <v>0</v>
      </c>
      <c r="O131" s="228">
        <v>0</v>
      </c>
      <c r="P131" s="228">
        <v>0</v>
      </c>
      <c r="Q131" s="228">
        <v>0</v>
      </c>
      <c r="R131" s="228">
        <v>0</v>
      </c>
      <c r="S131" s="228">
        <v>0</v>
      </c>
      <c r="T131" s="228">
        <v>0</v>
      </c>
      <c r="U131" s="228">
        <v>0</v>
      </c>
      <c r="V131" s="228">
        <v>0</v>
      </c>
      <c r="W131" s="228">
        <v>0</v>
      </c>
      <c r="X131" s="228">
        <v>0</v>
      </c>
      <c r="Y131" s="228">
        <v>0</v>
      </c>
      <c r="Z131" s="228"/>
      <c r="AA131" s="228">
        <v>0</v>
      </c>
      <c r="AB131" s="228">
        <v>0</v>
      </c>
      <c r="AC131" s="228">
        <v>0</v>
      </c>
      <c r="AD131" s="228">
        <v>0</v>
      </c>
      <c r="AE131" s="228">
        <v>0</v>
      </c>
      <c r="AF131" s="228">
        <v>0</v>
      </c>
      <c r="AG131" s="228">
        <v>0</v>
      </c>
      <c r="AH131" s="228">
        <v>0</v>
      </c>
      <c r="AI131" s="228">
        <v>0</v>
      </c>
      <c r="AJ131" s="228">
        <v>0</v>
      </c>
      <c r="AK131" s="228">
        <v>0</v>
      </c>
      <c r="AL131" s="228">
        <v>0</v>
      </c>
      <c r="AM131" s="45"/>
      <c r="AN131" s="45"/>
      <c r="AO131" s="45"/>
      <c r="AP131" s="45"/>
      <c r="AQ131" s="45"/>
      <c r="AR131" s="45"/>
      <c r="AS131" s="45"/>
      <c r="AT131" s="45"/>
      <c r="AU131" s="45"/>
      <c r="AV131" s="45"/>
      <c r="AW131" s="45"/>
      <c r="AX131" s="45"/>
      <c r="AY131" s="45"/>
      <c r="AZ131" s="45"/>
      <c r="BA131" s="45"/>
      <c r="BB131" s="45"/>
      <c r="BC131" s="45"/>
      <c r="BD131" s="45"/>
      <c r="BE131" s="45"/>
      <c r="BF131" s="45"/>
      <c r="BG131" s="45"/>
      <c r="BH131" s="45"/>
      <c r="BI131" s="45"/>
      <c r="BJ131" s="45"/>
      <c r="BK131" s="45"/>
      <c r="BL131" s="45"/>
      <c r="BM131" s="45"/>
      <c r="BN131" s="45"/>
      <c r="BO131" s="45"/>
      <c r="BP131" s="45"/>
      <c r="BQ131" s="45"/>
      <c r="BR131" s="45"/>
      <c r="BS131" s="45"/>
      <c r="BT131" s="45"/>
      <c r="BU131" s="45"/>
      <c r="BV131" s="45"/>
      <c r="BW131" s="45"/>
      <c r="BX131" s="45"/>
      <c r="BY131" s="45"/>
      <c r="BZ131" s="45"/>
      <c r="CA131" s="45"/>
      <c r="CB131" s="45"/>
      <c r="CC131" s="45"/>
      <c r="CD131" s="45"/>
      <c r="CE131" s="45"/>
      <c r="CF131" s="45"/>
      <c r="CG131" s="45"/>
      <c r="CH131" s="45"/>
      <c r="CI131" s="45"/>
      <c r="CJ131" s="45"/>
      <c r="CK131" s="45"/>
      <c r="CL131" s="45"/>
      <c r="CM131" s="45"/>
      <c r="CN131" s="45"/>
      <c r="CO131" s="45"/>
      <c r="CP131" s="45"/>
      <c r="CQ131" s="45"/>
      <c r="CR131" s="45"/>
      <c r="CS131" s="45"/>
      <c r="CT131" s="45"/>
      <c r="CU131" s="45"/>
      <c r="CV131" s="45"/>
      <c r="CW131" s="45"/>
      <c r="CX131" s="24"/>
      <c r="CY131" s="24"/>
      <c r="CZ131" s="24"/>
      <c r="DA131" s="24"/>
      <c r="DB131" s="24"/>
      <c r="DC131" s="24"/>
      <c r="DD131" s="24"/>
      <c r="DE131" s="24"/>
      <c r="DF131" s="24"/>
      <c r="DG131" s="24"/>
      <c r="DH131" s="24"/>
      <c r="DI131" s="24"/>
      <c r="DJ131" s="24"/>
      <c r="DK131" s="24"/>
      <c r="DL131" s="24"/>
      <c r="DM131" s="24"/>
      <c r="DN131" s="24"/>
      <c r="DO131" s="24"/>
      <c r="DP131" s="24"/>
      <c r="DQ131" s="24"/>
      <c r="DR131" s="24"/>
      <c r="DS131" s="24"/>
      <c r="DT131" s="24"/>
      <c r="DU131" s="24"/>
      <c r="DV131" s="24"/>
      <c r="DW131" s="24"/>
      <c r="DX131" s="24"/>
      <c r="DY131" s="24"/>
      <c r="DZ131" s="24"/>
      <c r="EA131" s="24"/>
    </row>
    <row r="132" spans="1:131">
      <c r="A132" s="24"/>
      <c r="B132" s="24" t="s">
        <v>652</v>
      </c>
      <c r="C132" s="228">
        <v>0</v>
      </c>
      <c r="D132" s="228">
        <v>0</v>
      </c>
      <c r="E132" s="228">
        <v>0</v>
      </c>
      <c r="F132" s="228">
        <v>0</v>
      </c>
      <c r="G132" s="228">
        <v>0</v>
      </c>
      <c r="H132" s="228">
        <v>0</v>
      </c>
      <c r="I132" s="228">
        <v>0</v>
      </c>
      <c r="J132" s="228">
        <v>0</v>
      </c>
      <c r="K132" s="228">
        <v>0</v>
      </c>
      <c r="L132" s="229">
        <v>0</v>
      </c>
      <c r="M132" s="228">
        <v>0</v>
      </c>
      <c r="N132" s="228">
        <v>0</v>
      </c>
      <c r="O132" s="228">
        <v>0</v>
      </c>
      <c r="P132" s="228">
        <v>0</v>
      </c>
      <c r="Q132" s="228">
        <v>0</v>
      </c>
      <c r="R132" s="228">
        <v>0</v>
      </c>
      <c r="S132" s="228">
        <v>0</v>
      </c>
      <c r="T132" s="228">
        <v>0</v>
      </c>
      <c r="U132" s="228">
        <v>0</v>
      </c>
      <c r="V132" s="228">
        <v>0</v>
      </c>
      <c r="W132" s="228">
        <v>0</v>
      </c>
      <c r="X132" s="228">
        <v>0</v>
      </c>
      <c r="Y132" s="228">
        <v>0</v>
      </c>
      <c r="Z132" s="228"/>
      <c r="AA132" s="228">
        <v>0</v>
      </c>
      <c r="AB132" s="228">
        <v>0</v>
      </c>
      <c r="AC132" s="228">
        <v>0</v>
      </c>
      <c r="AD132" s="228">
        <v>0</v>
      </c>
      <c r="AE132" s="228">
        <v>0</v>
      </c>
      <c r="AF132" s="228">
        <v>0</v>
      </c>
      <c r="AG132" s="228">
        <v>0</v>
      </c>
      <c r="AH132" s="228">
        <v>0</v>
      </c>
      <c r="AI132" s="228">
        <v>0</v>
      </c>
      <c r="AJ132" s="228">
        <v>0</v>
      </c>
      <c r="AK132" s="228">
        <v>0</v>
      </c>
      <c r="AL132" s="228">
        <v>0</v>
      </c>
      <c r="AM132" s="45"/>
      <c r="AN132" s="45"/>
      <c r="AO132" s="45"/>
      <c r="AP132" s="45"/>
      <c r="AQ132" s="45"/>
      <c r="AR132" s="45"/>
      <c r="AS132" s="45"/>
      <c r="AT132" s="45"/>
      <c r="AU132" s="45"/>
      <c r="AV132" s="45"/>
      <c r="AW132" s="45"/>
      <c r="AX132" s="45"/>
      <c r="AY132" s="45"/>
      <c r="AZ132" s="45"/>
      <c r="BA132" s="45"/>
      <c r="BB132" s="45"/>
      <c r="BC132" s="45"/>
      <c r="BD132" s="45"/>
      <c r="BE132" s="45"/>
      <c r="BF132" s="45"/>
      <c r="BG132" s="45"/>
      <c r="BH132" s="45"/>
      <c r="BI132" s="45"/>
      <c r="BJ132" s="45"/>
      <c r="BK132" s="45"/>
      <c r="BL132" s="45"/>
      <c r="BM132" s="45"/>
      <c r="BN132" s="45"/>
      <c r="BO132" s="45"/>
      <c r="BP132" s="45"/>
      <c r="BQ132" s="45"/>
      <c r="BR132" s="45"/>
      <c r="BS132" s="45"/>
      <c r="BT132" s="45"/>
      <c r="BU132" s="45"/>
      <c r="BV132" s="45"/>
      <c r="BW132" s="45"/>
      <c r="BX132" s="45"/>
      <c r="BY132" s="45"/>
      <c r="BZ132" s="45"/>
      <c r="CA132" s="45"/>
      <c r="CB132" s="45"/>
      <c r="CC132" s="45"/>
      <c r="CD132" s="45"/>
      <c r="CE132" s="45"/>
      <c r="CF132" s="45"/>
      <c r="CG132" s="45"/>
      <c r="CH132" s="45"/>
      <c r="CI132" s="45"/>
      <c r="CJ132" s="45"/>
      <c r="CK132" s="45"/>
      <c r="CL132" s="45"/>
      <c r="CM132" s="45"/>
      <c r="CN132" s="45"/>
      <c r="CO132" s="45"/>
      <c r="CP132" s="45"/>
      <c r="CQ132" s="45"/>
      <c r="CR132" s="45"/>
      <c r="CS132" s="45"/>
      <c r="CT132" s="45"/>
      <c r="CU132" s="45"/>
      <c r="CV132" s="45"/>
      <c r="CW132" s="45"/>
      <c r="CX132" s="24"/>
      <c r="CY132" s="24"/>
      <c r="CZ132" s="24"/>
      <c r="DA132" s="24"/>
      <c r="DB132" s="24"/>
      <c r="DC132" s="24"/>
      <c r="DD132" s="24"/>
      <c r="DE132" s="24"/>
      <c r="DF132" s="24"/>
      <c r="DG132" s="24"/>
      <c r="DH132" s="24"/>
      <c r="DI132" s="24"/>
      <c r="DJ132" s="24"/>
      <c r="DK132" s="24"/>
      <c r="DL132" s="24"/>
      <c r="DM132" s="24"/>
      <c r="DN132" s="24"/>
      <c r="DO132" s="24"/>
      <c r="DP132" s="24"/>
      <c r="DQ132" s="24"/>
      <c r="DR132" s="24"/>
      <c r="DS132" s="24"/>
      <c r="DT132" s="24"/>
      <c r="DU132" s="24"/>
      <c r="DV132" s="24"/>
      <c r="DW132" s="24"/>
      <c r="DX132" s="24"/>
      <c r="DY132" s="24"/>
      <c r="DZ132" s="24"/>
      <c r="EA132" s="24"/>
    </row>
    <row r="133" spans="1:131">
      <c r="A133" s="24"/>
      <c r="B133" s="24" t="s">
        <v>653</v>
      </c>
      <c r="C133" s="228">
        <v>0</v>
      </c>
      <c r="D133" s="228">
        <v>0</v>
      </c>
      <c r="E133" s="228">
        <v>0</v>
      </c>
      <c r="F133" s="228">
        <v>0</v>
      </c>
      <c r="G133" s="228">
        <v>0</v>
      </c>
      <c r="H133" s="228">
        <v>0</v>
      </c>
      <c r="I133" s="228">
        <v>0</v>
      </c>
      <c r="J133" s="228">
        <v>0</v>
      </c>
      <c r="K133" s="228">
        <v>0</v>
      </c>
      <c r="L133" s="229">
        <v>0</v>
      </c>
      <c r="M133" s="228">
        <v>0</v>
      </c>
      <c r="N133" s="228">
        <v>0</v>
      </c>
      <c r="O133" s="228">
        <v>0</v>
      </c>
      <c r="P133" s="228">
        <v>0</v>
      </c>
      <c r="Q133" s="228">
        <v>0</v>
      </c>
      <c r="R133" s="228">
        <v>0</v>
      </c>
      <c r="S133" s="228">
        <v>0</v>
      </c>
      <c r="T133" s="228">
        <v>0</v>
      </c>
      <c r="U133" s="228">
        <v>0</v>
      </c>
      <c r="V133" s="228">
        <v>0</v>
      </c>
      <c r="W133" s="228">
        <v>0</v>
      </c>
      <c r="X133" s="228">
        <v>0</v>
      </c>
      <c r="Y133" s="228">
        <v>0</v>
      </c>
      <c r="Z133" s="228"/>
      <c r="AA133" s="228">
        <v>0</v>
      </c>
      <c r="AB133" s="228">
        <v>0</v>
      </c>
      <c r="AC133" s="228">
        <v>0</v>
      </c>
      <c r="AD133" s="228">
        <v>0</v>
      </c>
      <c r="AE133" s="228">
        <v>0</v>
      </c>
      <c r="AF133" s="228">
        <v>0</v>
      </c>
      <c r="AG133" s="228">
        <v>0</v>
      </c>
      <c r="AH133" s="228">
        <v>0</v>
      </c>
      <c r="AI133" s="228">
        <v>0</v>
      </c>
      <c r="AJ133" s="228">
        <v>0</v>
      </c>
      <c r="AK133" s="228">
        <v>0</v>
      </c>
      <c r="AL133" s="228">
        <v>0</v>
      </c>
      <c r="AM133" s="45"/>
      <c r="AN133" s="45"/>
      <c r="AO133" s="45"/>
      <c r="AP133" s="45"/>
      <c r="AQ133" s="45"/>
      <c r="AR133" s="45"/>
      <c r="AS133" s="45"/>
      <c r="AT133" s="45"/>
      <c r="AU133" s="45"/>
      <c r="AV133" s="45"/>
      <c r="AW133" s="45"/>
      <c r="AX133" s="45"/>
      <c r="AY133" s="45"/>
      <c r="AZ133" s="45"/>
      <c r="BA133" s="45"/>
      <c r="BB133" s="45"/>
      <c r="BC133" s="45"/>
      <c r="BD133" s="45"/>
      <c r="BE133" s="45"/>
      <c r="BF133" s="45"/>
      <c r="BG133" s="45"/>
      <c r="BH133" s="45"/>
      <c r="BI133" s="45"/>
      <c r="BJ133" s="45"/>
      <c r="BK133" s="45"/>
      <c r="BL133" s="45"/>
      <c r="BM133" s="45"/>
      <c r="BN133" s="45"/>
      <c r="BO133" s="45"/>
      <c r="BP133" s="45"/>
      <c r="BQ133" s="45"/>
      <c r="BR133" s="45"/>
      <c r="BS133" s="45"/>
      <c r="BT133" s="45"/>
      <c r="BU133" s="45"/>
      <c r="BV133" s="45"/>
      <c r="BW133" s="45"/>
      <c r="BX133" s="45"/>
      <c r="BY133" s="45"/>
      <c r="BZ133" s="45"/>
      <c r="CA133" s="45"/>
      <c r="CB133" s="45"/>
      <c r="CC133" s="45"/>
      <c r="CD133" s="45"/>
      <c r="CE133" s="45"/>
      <c r="CF133" s="45"/>
      <c r="CG133" s="45"/>
      <c r="CH133" s="45"/>
      <c r="CI133" s="45"/>
      <c r="CJ133" s="45"/>
      <c r="CK133" s="45"/>
      <c r="CL133" s="45"/>
      <c r="CM133" s="45"/>
      <c r="CN133" s="45"/>
      <c r="CO133" s="45"/>
      <c r="CP133" s="45"/>
      <c r="CQ133" s="45"/>
      <c r="CR133" s="45"/>
      <c r="CS133" s="45"/>
      <c r="CT133" s="45"/>
      <c r="CU133" s="45"/>
      <c r="CV133" s="45"/>
      <c r="CW133" s="45"/>
      <c r="CX133" s="24"/>
      <c r="CY133" s="24"/>
      <c r="CZ133" s="24"/>
      <c r="DA133" s="24"/>
      <c r="DB133" s="24"/>
      <c r="DC133" s="24"/>
      <c r="DD133" s="24"/>
      <c r="DE133" s="24"/>
      <c r="DF133" s="24"/>
      <c r="DG133" s="24"/>
      <c r="DH133" s="24"/>
      <c r="DI133" s="24"/>
      <c r="DJ133" s="24"/>
      <c r="DK133" s="24"/>
      <c r="DL133" s="24"/>
      <c r="DM133" s="24"/>
      <c r="DN133" s="24"/>
      <c r="DO133" s="24"/>
      <c r="DP133" s="24"/>
      <c r="DQ133" s="24"/>
      <c r="DR133" s="24"/>
      <c r="DS133" s="24"/>
      <c r="DT133" s="24"/>
      <c r="DU133" s="24"/>
      <c r="DV133" s="24"/>
      <c r="DW133" s="24"/>
      <c r="DX133" s="24"/>
      <c r="DY133" s="24"/>
      <c r="DZ133" s="24"/>
      <c r="EA133" s="24"/>
    </row>
    <row r="134" spans="1:131">
      <c r="A134" s="24"/>
      <c r="B134" s="24" t="s">
        <v>654</v>
      </c>
      <c r="C134" s="228">
        <v>0</v>
      </c>
      <c r="D134" s="228">
        <v>0</v>
      </c>
      <c r="E134" s="228">
        <v>0</v>
      </c>
      <c r="F134" s="228">
        <v>0</v>
      </c>
      <c r="G134" s="228">
        <v>0</v>
      </c>
      <c r="H134" s="228">
        <v>0</v>
      </c>
      <c r="I134" s="228">
        <v>0</v>
      </c>
      <c r="J134" s="228">
        <v>0</v>
      </c>
      <c r="K134" s="228">
        <v>0</v>
      </c>
      <c r="L134" s="229">
        <v>0</v>
      </c>
      <c r="M134" s="228">
        <v>0</v>
      </c>
      <c r="N134" s="228">
        <v>0</v>
      </c>
      <c r="O134" s="228">
        <v>0</v>
      </c>
      <c r="P134" s="228">
        <v>0</v>
      </c>
      <c r="Q134" s="228">
        <v>0</v>
      </c>
      <c r="R134" s="228">
        <v>0</v>
      </c>
      <c r="S134" s="228">
        <v>0</v>
      </c>
      <c r="T134" s="228">
        <v>0</v>
      </c>
      <c r="U134" s="228">
        <v>0</v>
      </c>
      <c r="V134" s="228">
        <v>0</v>
      </c>
      <c r="W134" s="228">
        <v>0</v>
      </c>
      <c r="X134" s="228">
        <v>0</v>
      </c>
      <c r="Y134" s="228">
        <v>0</v>
      </c>
      <c r="Z134" s="228"/>
      <c r="AA134" s="228">
        <v>0</v>
      </c>
      <c r="AB134" s="228">
        <v>0</v>
      </c>
      <c r="AC134" s="228">
        <v>0</v>
      </c>
      <c r="AD134" s="228">
        <v>0</v>
      </c>
      <c r="AE134" s="228">
        <v>0</v>
      </c>
      <c r="AF134" s="228">
        <v>0</v>
      </c>
      <c r="AG134" s="228">
        <v>0</v>
      </c>
      <c r="AH134" s="228">
        <v>0</v>
      </c>
      <c r="AI134" s="228">
        <v>0</v>
      </c>
      <c r="AJ134" s="228">
        <v>0</v>
      </c>
      <c r="AK134" s="228">
        <v>0</v>
      </c>
      <c r="AL134" s="228">
        <v>0</v>
      </c>
      <c r="AM134" s="45"/>
      <c r="AN134" s="45"/>
      <c r="AO134" s="45"/>
      <c r="AP134" s="45"/>
      <c r="AQ134" s="45"/>
      <c r="AR134" s="45"/>
      <c r="AS134" s="45"/>
      <c r="AT134" s="45"/>
      <c r="AU134" s="45"/>
      <c r="AV134" s="45"/>
      <c r="AW134" s="45"/>
      <c r="AX134" s="45"/>
      <c r="AY134" s="45"/>
      <c r="AZ134" s="45"/>
      <c r="BA134" s="45"/>
      <c r="BB134" s="45"/>
      <c r="BC134" s="45"/>
      <c r="BD134" s="45"/>
      <c r="BE134" s="45"/>
      <c r="BF134" s="45"/>
      <c r="BG134" s="45"/>
      <c r="BH134" s="45"/>
      <c r="BI134" s="45"/>
      <c r="BJ134" s="45"/>
      <c r="BK134" s="45"/>
      <c r="BL134" s="45"/>
      <c r="BM134" s="45"/>
      <c r="BN134" s="45"/>
      <c r="BO134" s="45"/>
      <c r="BP134" s="45"/>
      <c r="BQ134" s="45"/>
      <c r="BR134" s="45"/>
      <c r="BS134" s="45"/>
      <c r="BT134" s="45"/>
      <c r="BU134" s="45"/>
      <c r="BV134" s="45"/>
      <c r="BW134" s="45"/>
      <c r="BX134" s="45"/>
      <c r="BY134" s="45"/>
      <c r="BZ134" s="45"/>
      <c r="CA134" s="45"/>
      <c r="CB134" s="45"/>
      <c r="CC134" s="45"/>
      <c r="CD134" s="45"/>
      <c r="CE134" s="45"/>
      <c r="CF134" s="45"/>
      <c r="CG134" s="45"/>
      <c r="CH134" s="45"/>
      <c r="CI134" s="45"/>
      <c r="CJ134" s="45"/>
      <c r="CK134" s="45"/>
      <c r="CL134" s="45"/>
      <c r="CM134" s="45"/>
      <c r="CN134" s="45"/>
      <c r="CO134" s="45"/>
      <c r="CP134" s="45"/>
      <c r="CQ134" s="45"/>
      <c r="CR134" s="45"/>
      <c r="CS134" s="45"/>
      <c r="CT134" s="45"/>
      <c r="CU134" s="45"/>
      <c r="CV134" s="45"/>
      <c r="CW134" s="45"/>
      <c r="CX134" s="24"/>
      <c r="CY134" s="24"/>
      <c r="CZ134" s="24"/>
      <c r="DA134" s="24"/>
      <c r="DB134" s="24"/>
      <c r="DC134" s="24"/>
      <c r="DD134" s="24"/>
      <c r="DE134" s="24"/>
      <c r="DF134" s="24"/>
      <c r="DG134" s="24"/>
      <c r="DH134" s="24"/>
      <c r="DI134" s="24"/>
      <c r="DJ134" s="24"/>
      <c r="DK134" s="24"/>
      <c r="DL134" s="24"/>
      <c r="DM134" s="24"/>
      <c r="DN134" s="24"/>
      <c r="DO134" s="24"/>
      <c r="DP134" s="24"/>
      <c r="DQ134" s="24"/>
      <c r="DR134" s="24"/>
      <c r="DS134" s="24"/>
      <c r="DT134" s="24"/>
      <c r="DU134" s="24"/>
      <c r="DV134" s="24"/>
      <c r="DW134" s="24"/>
      <c r="DX134" s="24"/>
      <c r="DY134" s="24"/>
      <c r="DZ134" s="24"/>
      <c r="EA134" s="24"/>
    </row>
    <row r="135" spans="1:131">
      <c r="A135" s="24"/>
      <c r="B135" s="24" t="s">
        <v>655</v>
      </c>
      <c r="C135" s="228">
        <v>0</v>
      </c>
      <c r="D135" s="228">
        <v>0</v>
      </c>
      <c r="E135" s="228">
        <v>0</v>
      </c>
      <c r="F135" s="228">
        <v>0</v>
      </c>
      <c r="G135" s="228">
        <v>0</v>
      </c>
      <c r="H135" s="228">
        <v>0</v>
      </c>
      <c r="I135" s="228">
        <v>0</v>
      </c>
      <c r="J135" s="228">
        <v>0</v>
      </c>
      <c r="K135" s="228">
        <v>0</v>
      </c>
      <c r="L135" s="229">
        <v>0</v>
      </c>
      <c r="M135" s="228">
        <v>0</v>
      </c>
      <c r="N135" s="228">
        <v>0</v>
      </c>
      <c r="O135" s="228">
        <v>0</v>
      </c>
      <c r="P135" s="228">
        <v>0</v>
      </c>
      <c r="Q135" s="228">
        <v>0</v>
      </c>
      <c r="R135" s="228">
        <v>0</v>
      </c>
      <c r="S135" s="228">
        <v>0</v>
      </c>
      <c r="T135" s="228">
        <v>0</v>
      </c>
      <c r="U135" s="228">
        <v>0</v>
      </c>
      <c r="V135" s="228">
        <v>0</v>
      </c>
      <c r="W135" s="228">
        <v>0</v>
      </c>
      <c r="X135" s="228">
        <v>0</v>
      </c>
      <c r="Y135" s="228">
        <v>0</v>
      </c>
      <c r="Z135" s="228"/>
      <c r="AA135" s="228">
        <v>0</v>
      </c>
      <c r="AB135" s="228">
        <v>0</v>
      </c>
      <c r="AC135" s="228">
        <v>0</v>
      </c>
      <c r="AD135" s="228">
        <v>0</v>
      </c>
      <c r="AE135" s="228">
        <v>0</v>
      </c>
      <c r="AF135" s="228">
        <v>0</v>
      </c>
      <c r="AG135" s="228">
        <v>0</v>
      </c>
      <c r="AH135" s="228">
        <v>0</v>
      </c>
      <c r="AI135" s="228">
        <v>0</v>
      </c>
      <c r="AJ135" s="228">
        <v>0</v>
      </c>
      <c r="AK135" s="228">
        <v>0</v>
      </c>
      <c r="AL135" s="228">
        <v>0</v>
      </c>
      <c r="AM135" s="45"/>
      <c r="AN135" s="45"/>
      <c r="AO135" s="45"/>
      <c r="AP135" s="45"/>
      <c r="AQ135" s="45"/>
      <c r="AR135" s="45"/>
      <c r="AS135" s="45"/>
      <c r="AT135" s="45"/>
      <c r="AU135" s="45"/>
      <c r="AV135" s="45"/>
      <c r="AW135" s="45"/>
      <c r="AX135" s="45"/>
      <c r="AY135" s="45"/>
      <c r="AZ135" s="45"/>
      <c r="BA135" s="45"/>
      <c r="BB135" s="45"/>
      <c r="BC135" s="45"/>
      <c r="BD135" s="45"/>
      <c r="BE135" s="45"/>
      <c r="BF135" s="45"/>
      <c r="BG135" s="45"/>
      <c r="BH135" s="45"/>
      <c r="BI135" s="45"/>
      <c r="BJ135" s="45"/>
      <c r="BK135" s="45"/>
      <c r="BL135" s="45"/>
      <c r="BM135" s="45"/>
      <c r="BN135" s="45"/>
      <c r="BO135" s="45"/>
      <c r="BP135" s="45"/>
      <c r="BQ135" s="45"/>
      <c r="BR135" s="45"/>
      <c r="BS135" s="45"/>
      <c r="BT135" s="45"/>
      <c r="BU135" s="45"/>
      <c r="BV135" s="45"/>
      <c r="BW135" s="45"/>
      <c r="BX135" s="45"/>
      <c r="BY135" s="45"/>
      <c r="BZ135" s="45"/>
      <c r="CA135" s="45"/>
      <c r="CB135" s="45"/>
      <c r="CC135" s="45"/>
      <c r="CD135" s="45"/>
      <c r="CE135" s="45"/>
      <c r="CF135" s="45"/>
      <c r="CG135" s="45"/>
      <c r="CH135" s="45"/>
      <c r="CI135" s="45"/>
      <c r="CJ135" s="45"/>
      <c r="CK135" s="45"/>
      <c r="CL135" s="45"/>
      <c r="CM135" s="45"/>
      <c r="CN135" s="45"/>
      <c r="CO135" s="45"/>
      <c r="CP135" s="45"/>
      <c r="CQ135" s="45"/>
      <c r="CR135" s="45"/>
      <c r="CS135" s="45"/>
      <c r="CT135" s="45"/>
      <c r="CU135" s="45"/>
      <c r="CV135" s="45"/>
      <c r="CW135" s="45"/>
      <c r="CX135" s="24"/>
      <c r="CY135" s="24"/>
      <c r="CZ135" s="24"/>
      <c r="DA135" s="24"/>
      <c r="DB135" s="24"/>
      <c r="DC135" s="24"/>
      <c r="DD135" s="24"/>
      <c r="DE135" s="24"/>
      <c r="DF135" s="24"/>
      <c r="DG135" s="24"/>
      <c r="DH135" s="24"/>
      <c r="DI135" s="24"/>
      <c r="DJ135" s="24"/>
      <c r="DK135" s="24"/>
      <c r="DL135" s="24"/>
      <c r="DM135" s="24"/>
      <c r="DN135" s="24"/>
      <c r="DO135" s="24"/>
      <c r="DP135" s="24"/>
      <c r="DQ135" s="24"/>
      <c r="DR135" s="24"/>
      <c r="DS135" s="24"/>
      <c r="DT135" s="24"/>
      <c r="DU135" s="24"/>
      <c r="DV135" s="24"/>
      <c r="DW135" s="24"/>
      <c r="DX135" s="24"/>
      <c r="DY135" s="24"/>
      <c r="DZ135" s="24"/>
      <c r="EA135" s="24"/>
    </row>
    <row r="136" spans="1:131">
      <c r="A136" s="24"/>
      <c r="B136" s="24" t="s">
        <v>656</v>
      </c>
      <c r="C136" s="228">
        <v>0</v>
      </c>
      <c r="D136" s="228">
        <v>0</v>
      </c>
      <c r="E136" s="228">
        <v>0</v>
      </c>
      <c r="F136" s="228">
        <v>0</v>
      </c>
      <c r="G136" s="228">
        <v>0</v>
      </c>
      <c r="H136" s="228">
        <v>0</v>
      </c>
      <c r="I136" s="228">
        <v>0</v>
      </c>
      <c r="J136" s="228">
        <v>0</v>
      </c>
      <c r="K136" s="228">
        <v>0</v>
      </c>
      <c r="L136" s="229">
        <v>0</v>
      </c>
      <c r="M136" s="228">
        <v>0</v>
      </c>
      <c r="N136" s="228">
        <v>0</v>
      </c>
      <c r="O136" s="228">
        <v>0</v>
      </c>
      <c r="P136" s="228">
        <v>0</v>
      </c>
      <c r="Q136" s="228">
        <v>0</v>
      </c>
      <c r="R136" s="228">
        <v>0</v>
      </c>
      <c r="S136" s="228">
        <v>0</v>
      </c>
      <c r="T136" s="228">
        <v>0</v>
      </c>
      <c r="U136" s="228">
        <v>0</v>
      </c>
      <c r="V136" s="228">
        <v>0</v>
      </c>
      <c r="W136" s="228">
        <v>0</v>
      </c>
      <c r="X136" s="228">
        <v>0</v>
      </c>
      <c r="Y136" s="228">
        <v>0</v>
      </c>
      <c r="Z136" s="228"/>
      <c r="AA136" s="228">
        <v>0</v>
      </c>
      <c r="AB136" s="228">
        <v>0</v>
      </c>
      <c r="AC136" s="228">
        <v>0</v>
      </c>
      <c r="AD136" s="228">
        <v>0</v>
      </c>
      <c r="AE136" s="228">
        <v>0</v>
      </c>
      <c r="AF136" s="228">
        <v>0</v>
      </c>
      <c r="AG136" s="228">
        <v>0</v>
      </c>
      <c r="AH136" s="228">
        <v>0</v>
      </c>
      <c r="AI136" s="228">
        <v>0</v>
      </c>
      <c r="AJ136" s="228">
        <v>0</v>
      </c>
      <c r="AK136" s="228">
        <v>0</v>
      </c>
      <c r="AL136" s="228">
        <v>0</v>
      </c>
      <c r="AM136" s="45"/>
      <c r="AN136" s="45"/>
      <c r="AO136" s="45"/>
      <c r="AP136" s="45"/>
      <c r="AQ136" s="45"/>
      <c r="AR136" s="45"/>
      <c r="AS136" s="45"/>
      <c r="AT136" s="45"/>
      <c r="AU136" s="45"/>
      <c r="AV136" s="45"/>
      <c r="AW136" s="45"/>
      <c r="AX136" s="45"/>
      <c r="AY136" s="45"/>
      <c r="AZ136" s="45"/>
      <c r="BA136" s="45"/>
      <c r="BB136" s="45"/>
      <c r="BC136" s="45"/>
      <c r="BD136" s="45"/>
      <c r="BE136" s="45"/>
      <c r="BF136" s="45"/>
      <c r="BG136" s="45"/>
      <c r="BH136" s="45"/>
      <c r="BI136" s="45"/>
      <c r="BJ136" s="45"/>
      <c r="BK136" s="45"/>
      <c r="BL136" s="45"/>
      <c r="BM136" s="45"/>
      <c r="BN136" s="45"/>
      <c r="BO136" s="45"/>
      <c r="BP136" s="45"/>
      <c r="BQ136" s="45"/>
      <c r="BR136" s="45"/>
      <c r="BS136" s="45"/>
      <c r="BT136" s="45"/>
      <c r="BU136" s="45"/>
      <c r="BV136" s="45"/>
      <c r="BW136" s="45"/>
      <c r="BX136" s="45"/>
      <c r="BY136" s="45"/>
      <c r="BZ136" s="45"/>
      <c r="CA136" s="45"/>
      <c r="CB136" s="45"/>
      <c r="CC136" s="45"/>
      <c r="CD136" s="45"/>
      <c r="CE136" s="45"/>
      <c r="CF136" s="45"/>
      <c r="CG136" s="45"/>
      <c r="CH136" s="45"/>
      <c r="CI136" s="45"/>
      <c r="CJ136" s="45"/>
      <c r="CK136" s="45"/>
      <c r="CL136" s="45"/>
      <c r="CM136" s="45"/>
      <c r="CN136" s="45"/>
      <c r="CO136" s="45"/>
      <c r="CP136" s="45"/>
      <c r="CQ136" s="45"/>
      <c r="CR136" s="45"/>
      <c r="CS136" s="45"/>
      <c r="CT136" s="45"/>
      <c r="CU136" s="45"/>
      <c r="CV136" s="45"/>
      <c r="CW136" s="45"/>
      <c r="CX136" s="24"/>
      <c r="CY136" s="24"/>
      <c r="CZ136" s="24"/>
      <c r="DA136" s="24"/>
      <c r="DB136" s="24"/>
      <c r="DC136" s="24"/>
      <c r="DD136" s="24"/>
      <c r="DE136" s="24"/>
      <c r="DF136" s="24"/>
      <c r="DG136" s="24"/>
      <c r="DH136" s="24"/>
      <c r="DI136" s="24"/>
      <c r="DJ136" s="24"/>
      <c r="DK136" s="24"/>
      <c r="DL136" s="24"/>
      <c r="DM136" s="24"/>
      <c r="DN136" s="24"/>
      <c r="DO136" s="24"/>
      <c r="DP136" s="24"/>
      <c r="DQ136" s="24"/>
      <c r="DR136" s="24"/>
      <c r="DS136" s="24"/>
      <c r="DT136" s="24"/>
      <c r="DU136" s="24"/>
      <c r="DV136" s="24"/>
      <c r="DW136" s="24"/>
      <c r="DX136" s="24"/>
      <c r="DY136" s="24"/>
      <c r="DZ136" s="24"/>
      <c r="EA136" s="24"/>
    </row>
    <row r="137" spans="1:131">
      <c r="A137" s="24"/>
      <c r="B137" s="24" t="s">
        <v>657</v>
      </c>
      <c r="C137" s="228">
        <v>0</v>
      </c>
      <c r="D137" s="228">
        <v>0</v>
      </c>
      <c r="E137" s="228">
        <v>0</v>
      </c>
      <c r="F137" s="228">
        <v>0</v>
      </c>
      <c r="G137" s="228">
        <v>0</v>
      </c>
      <c r="H137" s="228">
        <v>0</v>
      </c>
      <c r="I137" s="228">
        <v>0</v>
      </c>
      <c r="J137" s="228">
        <v>0</v>
      </c>
      <c r="K137" s="228">
        <v>0</v>
      </c>
      <c r="L137" s="229">
        <v>0</v>
      </c>
      <c r="M137" s="228">
        <v>0</v>
      </c>
      <c r="N137" s="228">
        <v>0</v>
      </c>
      <c r="O137" s="228">
        <v>0</v>
      </c>
      <c r="P137" s="228">
        <v>0</v>
      </c>
      <c r="Q137" s="228">
        <v>0</v>
      </c>
      <c r="R137" s="228">
        <v>0</v>
      </c>
      <c r="S137" s="228">
        <v>0</v>
      </c>
      <c r="T137" s="228">
        <v>0</v>
      </c>
      <c r="U137" s="228">
        <v>0</v>
      </c>
      <c r="V137" s="228">
        <v>0</v>
      </c>
      <c r="W137" s="228">
        <v>0</v>
      </c>
      <c r="X137" s="228">
        <v>0</v>
      </c>
      <c r="Y137" s="228">
        <v>0</v>
      </c>
      <c r="Z137" s="228"/>
      <c r="AA137" s="228">
        <v>0</v>
      </c>
      <c r="AB137" s="228">
        <v>0</v>
      </c>
      <c r="AC137" s="228">
        <v>0</v>
      </c>
      <c r="AD137" s="228">
        <v>0</v>
      </c>
      <c r="AE137" s="228">
        <v>0</v>
      </c>
      <c r="AF137" s="228">
        <v>0</v>
      </c>
      <c r="AG137" s="228">
        <v>0</v>
      </c>
      <c r="AH137" s="228">
        <v>0</v>
      </c>
      <c r="AI137" s="228">
        <v>0</v>
      </c>
      <c r="AJ137" s="228">
        <v>0</v>
      </c>
      <c r="AK137" s="228">
        <v>0</v>
      </c>
      <c r="AL137" s="228">
        <v>0</v>
      </c>
      <c r="AM137" s="45"/>
      <c r="AN137" s="45"/>
      <c r="AO137" s="45"/>
      <c r="AP137" s="45"/>
      <c r="AQ137" s="45"/>
      <c r="AR137" s="45"/>
      <c r="AS137" s="45"/>
      <c r="AT137" s="45"/>
      <c r="AU137" s="45"/>
      <c r="AV137" s="45"/>
      <c r="AW137" s="45"/>
      <c r="AX137" s="45"/>
      <c r="AY137" s="45"/>
      <c r="AZ137" s="45"/>
      <c r="BA137" s="45"/>
      <c r="BB137" s="45"/>
      <c r="BC137" s="45"/>
      <c r="BD137" s="45"/>
      <c r="BE137" s="45"/>
      <c r="BF137" s="45"/>
      <c r="BG137" s="45"/>
      <c r="BH137" s="45"/>
      <c r="BI137" s="45"/>
      <c r="BJ137" s="45"/>
      <c r="BK137" s="45"/>
      <c r="BL137" s="45"/>
      <c r="BM137" s="45"/>
      <c r="BN137" s="45"/>
      <c r="BO137" s="45"/>
      <c r="BP137" s="45"/>
      <c r="BQ137" s="45"/>
      <c r="BR137" s="45"/>
      <c r="BS137" s="45"/>
      <c r="BT137" s="45"/>
      <c r="BU137" s="45"/>
      <c r="BV137" s="45"/>
      <c r="BW137" s="45"/>
      <c r="BX137" s="45"/>
      <c r="BY137" s="45"/>
      <c r="BZ137" s="45"/>
      <c r="CA137" s="45"/>
      <c r="CB137" s="45"/>
      <c r="CC137" s="45"/>
      <c r="CD137" s="45"/>
      <c r="CE137" s="45"/>
      <c r="CF137" s="45"/>
      <c r="CG137" s="45"/>
      <c r="CH137" s="45"/>
      <c r="CI137" s="45"/>
      <c r="CJ137" s="45"/>
      <c r="CK137" s="45"/>
      <c r="CL137" s="45"/>
      <c r="CM137" s="45"/>
      <c r="CN137" s="45"/>
      <c r="CO137" s="45"/>
      <c r="CP137" s="45"/>
      <c r="CQ137" s="45"/>
      <c r="CR137" s="45"/>
      <c r="CS137" s="45"/>
      <c r="CT137" s="45"/>
      <c r="CU137" s="45"/>
      <c r="CV137" s="45"/>
      <c r="CW137" s="45"/>
      <c r="CX137" s="24"/>
      <c r="CY137" s="24"/>
      <c r="CZ137" s="24"/>
      <c r="DA137" s="24"/>
      <c r="DB137" s="24"/>
      <c r="DC137" s="24"/>
      <c r="DD137" s="24"/>
      <c r="DE137" s="24"/>
      <c r="DF137" s="24"/>
      <c r="DG137" s="24"/>
      <c r="DH137" s="24"/>
      <c r="DI137" s="24"/>
      <c r="DJ137" s="24"/>
      <c r="DK137" s="24"/>
      <c r="DL137" s="24"/>
      <c r="DM137" s="24"/>
      <c r="DN137" s="24"/>
      <c r="DO137" s="24"/>
      <c r="DP137" s="24"/>
      <c r="DQ137" s="24"/>
      <c r="DR137" s="24"/>
      <c r="DS137" s="24"/>
      <c r="DT137" s="24"/>
      <c r="DU137" s="24"/>
      <c r="DV137" s="24"/>
      <c r="DW137" s="24"/>
      <c r="DX137" s="24"/>
      <c r="DY137" s="24"/>
      <c r="DZ137" s="24"/>
      <c r="EA137" s="24"/>
    </row>
    <row r="138" spans="1:131">
      <c r="A138" s="24"/>
      <c r="B138" s="24" t="s">
        <v>658</v>
      </c>
      <c r="C138" s="228">
        <v>0</v>
      </c>
      <c r="D138" s="228">
        <v>0</v>
      </c>
      <c r="E138" s="228">
        <v>0</v>
      </c>
      <c r="F138" s="228">
        <v>0</v>
      </c>
      <c r="G138" s="228">
        <v>0</v>
      </c>
      <c r="H138" s="228">
        <v>0</v>
      </c>
      <c r="I138" s="228">
        <v>0</v>
      </c>
      <c r="J138" s="228">
        <v>0</v>
      </c>
      <c r="K138" s="228">
        <v>0</v>
      </c>
      <c r="L138" s="229">
        <v>0</v>
      </c>
      <c r="M138" s="228">
        <v>0</v>
      </c>
      <c r="N138" s="228">
        <v>0</v>
      </c>
      <c r="O138" s="228">
        <v>0</v>
      </c>
      <c r="P138" s="228">
        <v>0</v>
      </c>
      <c r="Q138" s="228">
        <v>0</v>
      </c>
      <c r="R138" s="228">
        <v>0</v>
      </c>
      <c r="S138" s="228">
        <v>0</v>
      </c>
      <c r="T138" s="228">
        <v>0</v>
      </c>
      <c r="U138" s="228">
        <v>0</v>
      </c>
      <c r="V138" s="228">
        <v>0</v>
      </c>
      <c r="W138" s="228">
        <v>0</v>
      </c>
      <c r="X138" s="228">
        <v>0</v>
      </c>
      <c r="Y138" s="228">
        <v>0</v>
      </c>
      <c r="Z138" s="228"/>
      <c r="AA138" s="228">
        <v>0</v>
      </c>
      <c r="AB138" s="228">
        <v>0</v>
      </c>
      <c r="AC138" s="228">
        <v>0</v>
      </c>
      <c r="AD138" s="228">
        <v>0</v>
      </c>
      <c r="AE138" s="228">
        <v>0</v>
      </c>
      <c r="AF138" s="228">
        <v>0</v>
      </c>
      <c r="AG138" s="228">
        <v>0</v>
      </c>
      <c r="AH138" s="228">
        <v>0</v>
      </c>
      <c r="AI138" s="228">
        <v>0</v>
      </c>
      <c r="AJ138" s="228">
        <v>0</v>
      </c>
      <c r="AK138" s="228">
        <v>0</v>
      </c>
      <c r="AL138" s="228">
        <v>0</v>
      </c>
      <c r="AM138" s="45"/>
      <c r="AN138" s="45"/>
      <c r="AO138" s="45"/>
      <c r="AP138" s="45"/>
      <c r="AQ138" s="45"/>
      <c r="AR138" s="45"/>
      <c r="AS138" s="45"/>
      <c r="AT138" s="45"/>
      <c r="AU138" s="45"/>
      <c r="AV138" s="45"/>
      <c r="AW138" s="45"/>
      <c r="AX138" s="45"/>
      <c r="AY138" s="45"/>
      <c r="AZ138" s="45"/>
      <c r="BA138" s="45"/>
      <c r="BB138" s="45"/>
      <c r="BC138" s="45"/>
      <c r="BD138" s="45"/>
      <c r="BE138" s="45"/>
      <c r="BF138" s="45"/>
      <c r="BG138" s="45"/>
      <c r="BH138" s="45"/>
      <c r="BI138" s="45"/>
      <c r="BJ138" s="45"/>
      <c r="BK138" s="45"/>
      <c r="BL138" s="45"/>
      <c r="BM138" s="45"/>
      <c r="BN138" s="45"/>
      <c r="BO138" s="45"/>
      <c r="BP138" s="45"/>
      <c r="BQ138" s="45"/>
      <c r="BR138" s="45"/>
      <c r="BS138" s="45"/>
      <c r="BT138" s="45"/>
      <c r="BU138" s="45"/>
      <c r="BV138" s="45"/>
      <c r="BW138" s="45"/>
      <c r="BX138" s="45"/>
      <c r="BY138" s="45"/>
      <c r="BZ138" s="45"/>
      <c r="CA138" s="45"/>
      <c r="CB138" s="45"/>
      <c r="CC138" s="45"/>
      <c r="CD138" s="45"/>
      <c r="CE138" s="45"/>
      <c r="CF138" s="45"/>
      <c r="CG138" s="45"/>
      <c r="CH138" s="45"/>
      <c r="CI138" s="45"/>
      <c r="CJ138" s="45"/>
      <c r="CK138" s="45"/>
      <c r="CL138" s="45"/>
      <c r="CM138" s="45"/>
      <c r="CN138" s="45"/>
      <c r="CO138" s="45"/>
      <c r="CP138" s="45"/>
      <c r="CQ138" s="45"/>
      <c r="CR138" s="45"/>
      <c r="CS138" s="45"/>
      <c r="CT138" s="45"/>
      <c r="CU138" s="45"/>
      <c r="CV138" s="45"/>
      <c r="CW138" s="45"/>
      <c r="CX138" s="24"/>
      <c r="CY138" s="24"/>
      <c r="CZ138" s="24"/>
      <c r="DA138" s="24"/>
      <c r="DB138" s="24"/>
      <c r="DC138" s="24"/>
      <c r="DD138" s="24"/>
      <c r="DE138" s="24"/>
      <c r="DF138" s="24"/>
      <c r="DG138" s="24"/>
      <c r="DH138" s="24"/>
      <c r="DI138" s="24"/>
      <c r="DJ138" s="24"/>
      <c r="DK138" s="24"/>
      <c r="DL138" s="24"/>
      <c r="DM138" s="24"/>
      <c r="DN138" s="24"/>
      <c r="DO138" s="24"/>
      <c r="DP138" s="24"/>
      <c r="DQ138" s="24"/>
      <c r="DR138" s="24"/>
      <c r="DS138" s="24"/>
      <c r="DT138" s="24"/>
      <c r="DU138" s="24"/>
      <c r="DV138" s="24"/>
      <c r="DW138" s="24"/>
      <c r="DX138" s="24"/>
      <c r="DY138" s="24"/>
      <c r="DZ138" s="24"/>
      <c r="EA138" s="24"/>
    </row>
    <row r="139" spans="1:131">
      <c r="A139" s="24"/>
      <c r="B139" s="24" t="s">
        <v>659</v>
      </c>
      <c r="C139" s="228">
        <v>0</v>
      </c>
      <c r="D139" s="228">
        <v>0</v>
      </c>
      <c r="E139" s="228">
        <v>0</v>
      </c>
      <c r="F139" s="228">
        <v>0</v>
      </c>
      <c r="G139" s="228">
        <v>0</v>
      </c>
      <c r="H139" s="228">
        <v>0</v>
      </c>
      <c r="I139" s="228">
        <v>0</v>
      </c>
      <c r="J139" s="228">
        <v>0</v>
      </c>
      <c r="K139" s="228">
        <v>0</v>
      </c>
      <c r="L139" s="229">
        <v>0</v>
      </c>
      <c r="M139" s="228">
        <v>0</v>
      </c>
      <c r="N139" s="228">
        <v>0</v>
      </c>
      <c r="O139" s="228">
        <v>0</v>
      </c>
      <c r="P139" s="228">
        <v>0</v>
      </c>
      <c r="Q139" s="228">
        <v>0</v>
      </c>
      <c r="R139" s="228">
        <v>0</v>
      </c>
      <c r="S139" s="228">
        <v>0</v>
      </c>
      <c r="T139" s="228">
        <v>0</v>
      </c>
      <c r="U139" s="228">
        <v>0</v>
      </c>
      <c r="V139" s="228">
        <v>0</v>
      </c>
      <c r="W139" s="228">
        <v>0</v>
      </c>
      <c r="X139" s="228">
        <v>0</v>
      </c>
      <c r="Y139" s="228">
        <v>0</v>
      </c>
      <c r="Z139" s="228"/>
      <c r="AA139" s="228">
        <v>0</v>
      </c>
      <c r="AB139" s="228">
        <v>0</v>
      </c>
      <c r="AC139" s="228">
        <v>0</v>
      </c>
      <c r="AD139" s="228">
        <v>0</v>
      </c>
      <c r="AE139" s="228">
        <v>0</v>
      </c>
      <c r="AF139" s="228">
        <v>0</v>
      </c>
      <c r="AG139" s="228">
        <v>0</v>
      </c>
      <c r="AH139" s="228">
        <v>0</v>
      </c>
      <c r="AI139" s="228">
        <v>0</v>
      </c>
      <c r="AJ139" s="228">
        <v>0</v>
      </c>
      <c r="AK139" s="228">
        <v>0</v>
      </c>
      <c r="AL139" s="228">
        <v>0</v>
      </c>
      <c r="AM139" s="45"/>
      <c r="AN139" s="45"/>
      <c r="AO139" s="45"/>
      <c r="AP139" s="45"/>
      <c r="AQ139" s="45"/>
      <c r="AR139" s="45"/>
      <c r="AS139" s="45"/>
      <c r="AT139" s="45"/>
      <c r="AU139" s="45"/>
      <c r="AV139" s="45"/>
      <c r="AW139" s="45"/>
      <c r="AX139" s="45"/>
      <c r="AY139" s="45"/>
      <c r="AZ139" s="45"/>
      <c r="BA139" s="45"/>
      <c r="BB139" s="45"/>
      <c r="BC139" s="45"/>
      <c r="BD139" s="45"/>
      <c r="BE139" s="45"/>
      <c r="BF139" s="45"/>
      <c r="BG139" s="45"/>
      <c r="BH139" s="45"/>
      <c r="BI139" s="45"/>
      <c r="BJ139" s="45"/>
      <c r="BK139" s="45"/>
      <c r="BL139" s="45"/>
      <c r="BM139" s="45"/>
      <c r="BN139" s="45"/>
      <c r="BO139" s="45"/>
      <c r="BP139" s="45"/>
      <c r="BQ139" s="45"/>
      <c r="BR139" s="45"/>
      <c r="BS139" s="45"/>
      <c r="BT139" s="45"/>
      <c r="BU139" s="45"/>
      <c r="BV139" s="45"/>
      <c r="BW139" s="45"/>
      <c r="BX139" s="45"/>
      <c r="BY139" s="45"/>
      <c r="BZ139" s="45"/>
      <c r="CA139" s="45"/>
      <c r="CB139" s="45"/>
      <c r="CC139" s="45"/>
      <c r="CD139" s="45"/>
      <c r="CE139" s="45"/>
      <c r="CF139" s="45"/>
      <c r="CG139" s="45"/>
      <c r="CH139" s="45"/>
      <c r="CI139" s="45"/>
      <c r="CJ139" s="45"/>
      <c r="CK139" s="45"/>
      <c r="CL139" s="45"/>
      <c r="CM139" s="45"/>
      <c r="CN139" s="45"/>
      <c r="CO139" s="45"/>
      <c r="CP139" s="45"/>
      <c r="CQ139" s="45"/>
      <c r="CR139" s="45"/>
      <c r="CS139" s="45"/>
      <c r="CT139" s="45"/>
      <c r="CU139" s="45"/>
      <c r="CV139" s="45"/>
      <c r="CW139" s="45"/>
      <c r="CX139" s="24"/>
      <c r="CY139" s="24"/>
      <c r="CZ139" s="24"/>
      <c r="DA139" s="24"/>
      <c r="DB139" s="24"/>
      <c r="DC139" s="24"/>
      <c r="DD139" s="24"/>
      <c r="DE139" s="24"/>
      <c r="DF139" s="24"/>
      <c r="DG139" s="24"/>
      <c r="DH139" s="24"/>
      <c r="DI139" s="24"/>
      <c r="DJ139" s="24"/>
      <c r="DK139" s="24"/>
      <c r="DL139" s="24"/>
      <c r="DM139" s="24"/>
      <c r="DN139" s="24"/>
      <c r="DO139" s="24"/>
      <c r="DP139" s="24"/>
      <c r="DQ139" s="24"/>
      <c r="DR139" s="24"/>
      <c r="DS139" s="24"/>
      <c r="DT139" s="24"/>
      <c r="DU139" s="24"/>
      <c r="DV139" s="24"/>
      <c r="DW139" s="24"/>
      <c r="DX139" s="24"/>
      <c r="DY139" s="24"/>
      <c r="DZ139" s="24"/>
      <c r="EA139" s="24"/>
    </row>
    <row r="140" spans="1:131">
      <c r="A140" s="24"/>
      <c r="B140" s="24" t="s">
        <v>660</v>
      </c>
      <c r="C140" s="228">
        <v>0</v>
      </c>
      <c r="D140" s="228">
        <v>0</v>
      </c>
      <c r="E140" s="228">
        <v>0</v>
      </c>
      <c r="F140" s="228">
        <v>0</v>
      </c>
      <c r="G140" s="228">
        <v>0</v>
      </c>
      <c r="H140" s="228">
        <v>0</v>
      </c>
      <c r="I140" s="228">
        <v>0</v>
      </c>
      <c r="J140" s="228">
        <v>0</v>
      </c>
      <c r="K140" s="228">
        <v>0</v>
      </c>
      <c r="L140" s="229">
        <v>0</v>
      </c>
      <c r="M140" s="228">
        <v>0</v>
      </c>
      <c r="N140" s="228">
        <v>0</v>
      </c>
      <c r="O140" s="228">
        <v>0</v>
      </c>
      <c r="P140" s="228">
        <v>0</v>
      </c>
      <c r="Q140" s="228">
        <v>0</v>
      </c>
      <c r="R140" s="228">
        <v>0</v>
      </c>
      <c r="S140" s="228">
        <v>0</v>
      </c>
      <c r="T140" s="228">
        <v>0</v>
      </c>
      <c r="U140" s="228">
        <v>0</v>
      </c>
      <c r="V140" s="228">
        <v>0</v>
      </c>
      <c r="W140" s="228">
        <v>0</v>
      </c>
      <c r="X140" s="228">
        <v>0</v>
      </c>
      <c r="Y140" s="228">
        <v>0</v>
      </c>
      <c r="Z140" s="228"/>
      <c r="AA140" s="228">
        <v>0</v>
      </c>
      <c r="AB140" s="228">
        <v>0</v>
      </c>
      <c r="AC140" s="228">
        <v>0</v>
      </c>
      <c r="AD140" s="228">
        <v>0</v>
      </c>
      <c r="AE140" s="228">
        <v>0</v>
      </c>
      <c r="AF140" s="228">
        <v>0</v>
      </c>
      <c r="AG140" s="228">
        <v>0</v>
      </c>
      <c r="AH140" s="228">
        <v>0</v>
      </c>
      <c r="AI140" s="228">
        <v>0</v>
      </c>
      <c r="AJ140" s="228">
        <v>0</v>
      </c>
      <c r="AK140" s="228">
        <v>0</v>
      </c>
      <c r="AL140" s="228">
        <v>0</v>
      </c>
      <c r="AM140" s="45"/>
      <c r="AN140" s="45"/>
      <c r="AO140" s="45"/>
      <c r="AP140" s="45"/>
      <c r="AQ140" s="45"/>
      <c r="AR140" s="45"/>
      <c r="AS140" s="45"/>
      <c r="AT140" s="45"/>
      <c r="AU140" s="45"/>
      <c r="AV140" s="45"/>
      <c r="AW140" s="45"/>
      <c r="AX140" s="45"/>
      <c r="AY140" s="45"/>
      <c r="AZ140" s="45"/>
      <c r="BA140" s="45"/>
      <c r="BB140" s="45"/>
      <c r="BC140" s="45"/>
      <c r="BD140" s="45"/>
      <c r="BE140" s="45"/>
      <c r="BF140" s="45"/>
      <c r="BG140" s="45"/>
      <c r="BH140" s="45"/>
      <c r="BI140" s="45"/>
      <c r="BJ140" s="45"/>
      <c r="BK140" s="45"/>
      <c r="BL140" s="45"/>
      <c r="BM140" s="45"/>
      <c r="BN140" s="45"/>
      <c r="BO140" s="45"/>
      <c r="BP140" s="45"/>
      <c r="BQ140" s="45"/>
      <c r="BR140" s="45"/>
      <c r="BS140" s="45"/>
      <c r="BT140" s="45"/>
      <c r="BU140" s="45"/>
      <c r="BV140" s="45"/>
      <c r="BW140" s="45"/>
      <c r="BX140" s="45"/>
      <c r="BY140" s="45"/>
      <c r="BZ140" s="45"/>
      <c r="CA140" s="45"/>
      <c r="CB140" s="45"/>
      <c r="CC140" s="45"/>
      <c r="CD140" s="45"/>
      <c r="CE140" s="45"/>
      <c r="CF140" s="45"/>
      <c r="CG140" s="45"/>
      <c r="CH140" s="45"/>
      <c r="CI140" s="45"/>
      <c r="CJ140" s="45"/>
      <c r="CK140" s="45"/>
      <c r="CL140" s="45"/>
      <c r="CM140" s="45"/>
      <c r="CN140" s="45"/>
      <c r="CO140" s="45"/>
      <c r="CP140" s="45"/>
      <c r="CQ140" s="45"/>
      <c r="CR140" s="45"/>
      <c r="CS140" s="45"/>
      <c r="CT140" s="45"/>
      <c r="CU140" s="45"/>
      <c r="CV140" s="45"/>
      <c r="CW140" s="45"/>
      <c r="CX140" s="24"/>
      <c r="CY140" s="24"/>
      <c r="CZ140" s="24"/>
      <c r="DA140" s="24"/>
      <c r="DB140" s="24"/>
      <c r="DC140" s="24"/>
      <c r="DD140" s="24"/>
      <c r="DE140" s="24"/>
      <c r="DF140" s="24"/>
      <c r="DG140" s="24"/>
      <c r="DH140" s="24"/>
      <c r="DI140" s="24"/>
      <c r="DJ140" s="24"/>
      <c r="DK140" s="24"/>
      <c r="DL140" s="24"/>
      <c r="DM140" s="24"/>
      <c r="DN140" s="24"/>
      <c r="DO140" s="24"/>
      <c r="DP140" s="24"/>
      <c r="DQ140" s="24"/>
      <c r="DR140" s="24"/>
      <c r="DS140" s="24"/>
      <c r="DT140" s="24"/>
      <c r="DU140" s="24"/>
      <c r="DV140" s="24"/>
      <c r="DW140" s="24"/>
      <c r="DX140" s="24"/>
      <c r="DY140" s="24"/>
      <c r="DZ140" s="24"/>
      <c r="EA140" s="24"/>
    </row>
    <row r="141" spans="1:131">
      <c r="A141" s="24"/>
      <c r="B141" s="24" t="s">
        <v>661</v>
      </c>
      <c r="C141" s="228">
        <v>0</v>
      </c>
      <c r="D141" s="228">
        <v>0</v>
      </c>
      <c r="E141" s="228">
        <v>0</v>
      </c>
      <c r="F141" s="228">
        <v>0</v>
      </c>
      <c r="G141" s="228">
        <v>0</v>
      </c>
      <c r="H141" s="228">
        <v>0</v>
      </c>
      <c r="I141" s="228">
        <v>0</v>
      </c>
      <c r="J141" s="228">
        <v>0</v>
      </c>
      <c r="K141" s="228">
        <v>0</v>
      </c>
      <c r="L141" s="229">
        <v>0</v>
      </c>
      <c r="M141" s="228">
        <v>0</v>
      </c>
      <c r="N141" s="228">
        <v>0</v>
      </c>
      <c r="O141" s="228">
        <v>0</v>
      </c>
      <c r="P141" s="228">
        <v>0</v>
      </c>
      <c r="Q141" s="228">
        <v>0</v>
      </c>
      <c r="R141" s="228">
        <v>0</v>
      </c>
      <c r="S141" s="228">
        <v>0</v>
      </c>
      <c r="T141" s="228">
        <v>0</v>
      </c>
      <c r="U141" s="228">
        <v>0</v>
      </c>
      <c r="V141" s="228">
        <v>0</v>
      </c>
      <c r="W141" s="228">
        <v>0</v>
      </c>
      <c r="X141" s="228">
        <v>0</v>
      </c>
      <c r="Y141" s="228">
        <v>0</v>
      </c>
      <c r="Z141" s="228"/>
      <c r="AA141" s="228">
        <v>0</v>
      </c>
      <c r="AB141" s="228">
        <v>0</v>
      </c>
      <c r="AC141" s="228">
        <v>0</v>
      </c>
      <c r="AD141" s="228">
        <v>0</v>
      </c>
      <c r="AE141" s="228">
        <v>0</v>
      </c>
      <c r="AF141" s="228">
        <v>0</v>
      </c>
      <c r="AG141" s="228">
        <v>0</v>
      </c>
      <c r="AH141" s="228">
        <v>0</v>
      </c>
      <c r="AI141" s="228">
        <v>0</v>
      </c>
      <c r="AJ141" s="228">
        <v>0</v>
      </c>
      <c r="AK141" s="228">
        <v>0</v>
      </c>
      <c r="AL141" s="228">
        <v>0</v>
      </c>
      <c r="AM141" s="45"/>
      <c r="AN141" s="45"/>
      <c r="AO141" s="45"/>
      <c r="AP141" s="45"/>
      <c r="AQ141" s="45"/>
      <c r="AR141" s="45"/>
      <c r="AS141" s="45"/>
      <c r="AT141" s="45"/>
      <c r="AU141" s="45"/>
      <c r="AV141" s="45"/>
      <c r="AW141" s="45"/>
      <c r="AX141" s="45"/>
      <c r="AY141" s="45"/>
      <c r="AZ141" s="45"/>
      <c r="BA141" s="45"/>
      <c r="BB141" s="45"/>
      <c r="BC141" s="45"/>
      <c r="BD141" s="45"/>
      <c r="BE141" s="45"/>
      <c r="BF141" s="45"/>
      <c r="BG141" s="45"/>
      <c r="BH141" s="45"/>
      <c r="BI141" s="45"/>
      <c r="BJ141" s="45"/>
      <c r="BK141" s="45"/>
      <c r="BL141" s="45"/>
      <c r="BM141" s="45"/>
      <c r="BN141" s="45"/>
      <c r="BO141" s="45"/>
      <c r="BP141" s="45"/>
      <c r="BQ141" s="45"/>
      <c r="BR141" s="45"/>
      <c r="BS141" s="45"/>
      <c r="BT141" s="45"/>
      <c r="BU141" s="45"/>
      <c r="BV141" s="45"/>
      <c r="BW141" s="45"/>
      <c r="BX141" s="45"/>
      <c r="BY141" s="45"/>
      <c r="BZ141" s="45"/>
      <c r="CA141" s="45"/>
      <c r="CB141" s="45"/>
      <c r="CC141" s="45"/>
      <c r="CD141" s="45"/>
      <c r="CE141" s="45"/>
      <c r="CF141" s="45"/>
      <c r="CG141" s="45"/>
      <c r="CH141" s="45"/>
      <c r="CI141" s="45"/>
      <c r="CJ141" s="45"/>
      <c r="CK141" s="45"/>
      <c r="CL141" s="45"/>
      <c r="CM141" s="45"/>
      <c r="CN141" s="45"/>
      <c r="CO141" s="45"/>
      <c r="CP141" s="45"/>
      <c r="CQ141" s="45"/>
      <c r="CR141" s="45"/>
      <c r="CS141" s="45"/>
      <c r="CT141" s="45"/>
      <c r="CU141" s="45"/>
      <c r="CV141" s="45"/>
      <c r="CW141" s="45"/>
      <c r="CX141" s="24"/>
      <c r="CY141" s="24"/>
      <c r="CZ141" s="24"/>
      <c r="DA141" s="24"/>
      <c r="DB141" s="24"/>
      <c r="DC141" s="24"/>
      <c r="DD141" s="24"/>
      <c r="DE141" s="24"/>
      <c r="DF141" s="24"/>
      <c r="DG141" s="24"/>
      <c r="DH141" s="24"/>
      <c r="DI141" s="24"/>
      <c r="DJ141" s="24"/>
      <c r="DK141" s="24"/>
      <c r="DL141" s="24"/>
      <c r="DM141" s="24"/>
      <c r="DN141" s="24"/>
      <c r="DO141" s="24"/>
      <c r="DP141" s="24"/>
      <c r="DQ141" s="24"/>
      <c r="DR141" s="24"/>
      <c r="DS141" s="24"/>
      <c r="DT141" s="24"/>
      <c r="DU141" s="24"/>
      <c r="DV141" s="24"/>
      <c r="DW141" s="24"/>
      <c r="DX141" s="24"/>
      <c r="DY141" s="24"/>
      <c r="DZ141" s="24"/>
      <c r="EA141" s="24"/>
    </row>
    <row r="142" spans="1:131">
      <c r="A142" s="24"/>
      <c r="B142" s="24" t="s">
        <v>662</v>
      </c>
      <c r="C142" s="228">
        <v>0</v>
      </c>
      <c r="D142" s="228">
        <v>0</v>
      </c>
      <c r="E142" s="228">
        <v>0</v>
      </c>
      <c r="F142" s="228">
        <v>0</v>
      </c>
      <c r="G142" s="228">
        <v>0</v>
      </c>
      <c r="H142" s="228">
        <v>0</v>
      </c>
      <c r="I142" s="228">
        <v>0</v>
      </c>
      <c r="J142" s="228">
        <v>0</v>
      </c>
      <c r="K142" s="228">
        <v>0</v>
      </c>
      <c r="L142" s="229">
        <v>0</v>
      </c>
      <c r="M142" s="228">
        <v>0</v>
      </c>
      <c r="N142" s="228">
        <v>0</v>
      </c>
      <c r="O142" s="228">
        <v>0</v>
      </c>
      <c r="P142" s="228">
        <v>0</v>
      </c>
      <c r="Q142" s="228">
        <v>0</v>
      </c>
      <c r="R142" s="228">
        <v>0</v>
      </c>
      <c r="S142" s="228">
        <v>0</v>
      </c>
      <c r="T142" s="228">
        <v>0</v>
      </c>
      <c r="U142" s="228">
        <v>0</v>
      </c>
      <c r="V142" s="228">
        <v>0</v>
      </c>
      <c r="W142" s="228">
        <v>0</v>
      </c>
      <c r="X142" s="228">
        <v>0</v>
      </c>
      <c r="Y142" s="228">
        <v>0</v>
      </c>
      <c r="Z142" s="228"/>
      <c r="AA142" s="228">
        <v>0</v>
      </c>
      <c r="AB142" s="228">
        <v>0</v>
      </c>
      <c r="AC142" s="228">
        <v>0</v>
      </c>
      <c r="AD142" s="228">
        <v>0</v>
      </c>
      <c r="AE142" s="228">
        <v>0</v>
      </c>
      <c r="AF142" s="228">
        <v>0</v>
      </c>
      <c r="AG142" s="228">
        <v>0</v>
      </c>
      <c r="AH142" s="228">
        <v>0</v>
      </c>
      <c r="AI142" s="228">
        <v>0</v>
      </c>
      <c r="AJ142" s="228">
        <v>0</v>
      </c>
      <c r="AK142" s="228">
        <v>0</v>
      </c>
      <c r="AL142" s="228">
        <v>0</v>
      </c>
      <c r="AM142" s="45"/>
      <c r="AN142" s="45"/>
      <c r="AO142" s="45"/>
      <c r="AP142" s="45"/>
      <c r="AQ142" s="45"/>
      <c r="AR142" s="45"/>
      <c r="AS142" s="45"/>
      <c r="AT142" s="45"/>
      <c r="AU142" s="45"/>
      <c r="AV142" s="45"/>
      <c r="AW142" s="45"/>
      <c r="AX142" s="45"/>
      <c r="AY142" s="45"/>
      <c r="AZ142" s="45"/>
      <c r="BA142" s="45"/>
      <c r="BB142" s="45"/>
      <c r="BC142" s="45"/>
      <c r="BD142" s="45"/>
      <c r="BE142" s="45"/>
      <c r="BF142" s="45"/>
      <c r="BG142" s="45"/>
      <c r="BH142" s="45"/>
      <c r="BI142" s="45"/>
      <c r="BJ142" s="45"/>
      <c r="BK142" s="45"/>
      <c r="BL142" s="45"/>
      <c r="BM142" s="45"/>
      <c r="BN142" s="45"/>
      <c r="BO142" s="45"/>
      <c r="BP142" s="45"/>
      <c r="BQ142" s="45"/>
      <c r="BR142" s="45"/>
      <c r="BS142" s="45"/>
      <c r="BT142" s="45"/>
      <c r="BU142" s="45"/>
      <c r="BV142" s="45"/>
      <c r="BW142" s="45"/>
      <c r="BX142" s="45"/>
      <c r="BY142" s="45"/>
      <c r="BZ142" s="45"/>
      <c r="CA142" s="45"/>
      <c r="CB142" s="45"/>
      <c r="CC142" s="45"/>
      <c r="CD142" s="45"/>
      <c r="CE142" s="45"/>
      <c r="CF142" s="45"/>
      <c r="CG142" s="45"/>
      <c r="CH142" s="45"/>
      <c r="CI142" s="45"/>
      <c r="CJ142" s="45"/>
      <c r="CK142" s="45"/>
      <c r="CL142" s="45"/>
      <c r="CM142" s="45"/>
      <c r="CN142" s="45"/>
      <c r="CO142" s="45"/>
      <c r="CP142" s="45"/>
      <c r="CQ142" s="45"/>
      <c r="CR142" s="45"/>
      <c r="CS142" s="45"/>
      <c r="CT142" s="45"/>
      <c r="CU142" s="45"/>
      <c r="CV142" s="45"/>
      <c r="CW142" s="45"/>
      <c r="CX142" s="24"/>
      <c r="CY142" s="24"/>
      <c r="CZ142" s="24"/>
      <c r="DA142" s="24"/>
      <c r="DB142" s="24"/>
      <c r="DC142" s="24"/>
      <c r="DD142" s="24"/>
      <c r="DE142" s="24"/>
      <c r="DF142" s="24"/>
      <c r="DG142" s="24"/>
      <c r="DH142" s="24"/>
      <c r="DI142" s="24"/>
      <c r="DJ142" s="24"/>
      <c r="DK142" s="24"/>
      <c r="DL142" s="24"/>
      <c r="DM142" s="24"/>
      <c r="DN142" s="24"/>
      <c r="DO142" s="24"/>
      <c r="DP142" s="24"/>
      <c r="DQ142" s="24"/>
      <c r="DR142" s="24"/>
      <c r="DS142" s="24"/>
      <c r="DT142" s="24"/>
      <c r="DU142" s="24"/>
      <c r="DV142" s="24"/>
      <c r="DW142" s="24"/>
      <c r="DX142" s="24"/>
      <c r="DY142" s="24"/>
      <c r="DZ142" s="24"/>
      <c r="EA142" s="24"/>
    </row>
    <row r="143" spans="1:131">
      <c r="A143" s="24"/>
      <c r="B143" s="24"/>
      <c r="C143" s="45"/>
      <c r="D143" s="45"/>
      <c r="E143" s="45"/>
      <c r="F143" s="45"/>
      <c r="G143" s="45"/>
      <c r="H143" s="45"/>
      <c r="I143" s="45"/>
      <c r="J143" s="45"/>
      <c r="K143" s="45"/>
      <c r="L143" s="45"/>
      <c r="M143" s="45"/>
      <c r="N143" s="45"/>
      <c r="O143" s="45"/>
      <c r="P143" s="45"/>
      <c r="Q143" s="45"/>
      <c r="R143" s="45"/>
      <c r="S143" s="45"/>
      <c r="T143" s="45"/>
      <c r="U143" s="45"/>
      <c r="V143" s="45"/>
      <c r="W143" s="45"/>
      <c r="X143" s="45"/>
      <c r="Y143" s="45"/>
      <c r="Z143" s="45"/>
      <c r="AA143" s="45"/>
      <c r="AB143" s="45"/>
      <c r="AC143" s="45"/>
      <c r="AD143" s="45"/>
      <c r="AE143" s="45"/>
      <c r="AF143" s="45"/>
      <c r="AG143" s="45"/>
      <c r="AH143" s="45"/>
      <c r="AI143" s="45"/>
      <c r="AJ143" s="45"/>
      <c r="AK143" s="45"/>
      <c r="AL143" s="45"/>
      <c r="AM143" s="45"/>
      <c r="AN143" s="45"/>
      <c r="AO143" s="45"/>
      <c r="AP143" s="45"/>
      <c r="AQ143" s="45"/>
      <c r="AR143" s="45"/>
      <c r="AS143" s="45"/>
      <c r="AT143" s="45"/>
      <c r="AU143" s="45"/>
      <c r="AV143" s="45"/>
      <c r="AW143" s="45"/>
      <c r="AX143" s="45"/>
      <c r="AY143" s="45"/>
      <c r="AZ143" s="45"/>
      <c r="BA143" s="45"/>
      <c r="BB143" s="45"/>
      <c r="BC143" s="45"/>
      <c r="BD143" s="45"/>
      <c r="BE143" s="45"/>
      <c r="BF143" s="45"/>
      <c r="BG143" s="45"/>
      <c r="BH143" s="45"/>
      <c r="BI143" s="45"/>
      <c r="BJ143" s="45"/>
      <c r="BK143" s="45"/>
      <c r="BL143" s="45"/>
      <c r="BM143" s="45"/>
      <c r="BN143" s="45"/>
      <c r="BO143" s="45"/>
      <c r="BP143" s="45"/>
      <c r="BQ143" s="45"/>
      <c r="BR143" s="45"/>
      <c r="BS143" s="45"/>
      <c r="BT143" s="45"/>
      <c r="BU143" s="45"/>
      <c r="BV143" s="45"/>
      <c r="BW143" s="45"/>
      <c r="BX143" s="45"/>
      <c r="BY143" s="45"/>
      <c r="BZ143" s="45"/>
      <c r="CA143" s="45"/>
      <c r="CB143" s="45"/>
      <c r="CC143" s="45"/>
      <c r="CD143" s="45"/>
      <c r="CE143" s="45"/>
      <c r="CF143" s="45"/>
      <c r="CG143" s="45"/>
      <c r="CH143" s="45"/>
      <c r="CI143" s="45"/>
      <c r="CJ143" s="45"/>
      <c r="CK143" s="45"/>
      <c r="CL143" s="45"/>
      <c r="CM143" s="45"/>
      <c r="CN143" s="45"/>
      <c r="CO143" s="45"/>
      <c r="CP143" s="45"/>
      <c r="CQ143" s="45"/>
      <c r="CR143" s="45"/>
      <c r="CS143" s="45"/>
      <c r="CT143" s="45"/>
      <c r="CU143" s="45"/>
      <c r="CV143" s="45"/>
      <c r="CW143" s="45"/>
      <c r="CX143" s="24"/>
      <c r="CY143" s="24"/>
      <c r="CZ143" s="24"/>
      <c r="DA143" s="24"/>
      <c r="DB143" s="24"/>
      <c r="DC143" s="24"/>
      <c r="DD143" s="24"/>
      <c r="DE143" s="24"/>
      <c r="DF143" s="24"/>
      <c r="DG143" s="24"/>
      <c r="DH143" s="24"/>
      <c r="DI143" s="24"/>
      <c r="DJ143" s="24"/>
      <c r="DK143" s="24"/>
      <c r="DL143" s="24"/>
      <c r="DM143" s="24"/>
      <c r="DN143" s="24"/>
      <c r="DO143" s="24"/>
      <c r="DP143" s="24"/>
      <c r="DQ143" s="24"/>
      <c r="DR143" s="24"/>
      <c r="DS143" s="24"/>
      <c r="DT143" s="24"/>
      <c r="DU143" s="24"/>
      <c r="DV143" s="24"/>
      <c r="DW143" s="24"/>
      <c r="DX143" s="24"/>
      <c r="DY143" s="24"/>
      <c r="DZ143" s="24"/>
      <c r="EA143" s="24"/>
    </row>
    <row r="144" spans="1:131">
      <c r="A144" s="24"/>
      <c r="B144" s="24"/>
      <c r="C144" s="45"/>
      <c r="D144" s="45"/>
      <c r="E144" s="45"/>
      <c r="F144" s="45"/>
      <c r="G144" s="45"/>
      <c r="H144" s="45"/>
      <c r="I144" s="45"/>
      <c r="J144" s="45"/>
      <c r="K144" s="45"/>
      <c r="L144" s="45"/>
      <c r="M144" s="45"/>
      <c r="N144" s="45"/>
      <c r="O144" s="45"/>
      <c r="P144" s="45"/>
      <c r="Q144" s="45"/>
      <c r="R144" s="45"/>
      <c r="S144" s="45"/>
      <c r="T144" s="45"/>
      <c r="U144" s="45"/>
      <c r="V144" s="45"/>
      <c r="W144" s="45"/>
      <c r="X144" s="45"/>
      <c r="Y144" s="45"/>
      <c r="Z144" s="45"/>
      <c r="AA144" s="45"/>
      <c r="AB144" s="45"/>
      <c r="AC144" s="45"/>
      <c r="AD144" s="45"/>
      <c r="AE144" s="45"/>
      <c r="AF144" s="45"/>
      <c r="AG144" s="45"/>
      <c r="AH144" s="45"/>
      <c r="AI144" s="45"/>
      <c r="AJ144" s="45"/>
      <c r="AK144" s="45"/>
      <c r="AL144" s="45"/>
      <c r="AM144" s="45"/>
      <c r="AN144" s="45"/>
      <c r="AO144" s="45"/>
      <c r="AP144" s="45"/>
      <c r="AQ144" s="45"/>
      <c r="AR144" s="45"/>
      <c r="AS144" s="45"/>
      <c r="AT144" s="45"/>
      <c r="AU144" s="45"/>
      <c r="AV144" s="45"/>
      <c r="AW144" s="45"/>
      <c r="AX144" s="45"/>
      <c r="AY144" s="45"/>
      <c r="AZ144" s="45"/>
      <c r="BA144" s="45"/>
      <c r="BB144" s="45"/>
      <c r="BC144" s="45"/>
      <c r="BD144" s="45"/>
      <c r="BE144" s="45"/>
      <c r="BF144" s="45"/>
      <c r="BG144" s="45"/>
      <c r="BH144" s="45"/>
      <c r="BI144" s="45"/>
      <c r="BJ144" s="45"/>
      <c r="BK144" s="45"/>
      <c r="BL144" s="45"/>
      <c r="BM144" s="45"/>
      <c r="BN144" s="45"/>
      <c r="BO144" s="45"/>
      <c r="BP144" s="45"/>
      <c r="BQ144" s="45"/>
      <c r="BR144" s="45"/>
      <c r="BS144" s="45"/>
      <c r="BT144" s="45"/>
      <c r="BU144" s="45"/>
      <c r="BV144" s="45"/>
      <c r="BW144" s="45"/>
      <c r="BX144" s="45"/>
      <c r="BY144" s="45"/>
      <c r="BZ144" s="45"/>
      <c r="CA144" s="45"/>
      <c r="CB144" s="45"/>
      <c r="CC144" s="45"/>
      <c r="CD144" s="45"/>
      <c r="CE144" s="45"/>
      <c r="CF144" s="45"/>
      <c r="CG144" s="45"/>
      <c r="CH144" s="45"/>
      <c r="CI144" s="45"/>
      <c r="CJ144" s="45"/>
      <c r="CK144" s="45"/>
      <c r="CL144" s="45"/>
      <c r="CM144" s="45"/>
      <c r="CN144" s="45"/>
      <c r="CO144" s="45"/>
      <c r="CP144" s="45"/>
      <c r="CQ144" s="45"/>
      <c r="CR144" s="45"/>
      <c r="CS144" s="45"/>
      <c r="CT144" s="45"/>
      <c r="CU144" s="45"/>
      <c r="CV144" s="45"/>
      <c r="CW144" s="45"/>
      <c r="CX144" s="24"/>
      <c r="CY144" s="24"/>
      <c r="CZ144" s="24"/>
      <c r="DA144" s="24"/>
      <c r="DB144" s="24"/>
      <c r="DC144" s="24"/>
      <c r="DD144" s="24"/>
      <c r="DE144" s="24"/>
      <c r="DF144" s="24"/>
      <c r="DG144" s="24"/>
      <c r="DH144" s="24"/>
      <c r="DI144" s="24"/>
      <c r="DJ144" s="24"/>
      <c r="DK144" s="24"/>
      <c r="DL144" s="24"/>
      <c r="DM144" s="24"/>
      <c r="DN144" s="24"/>
      <c r="DO144" s="24"/>
      <c r="DP144" s="24"/>
      <c r="DQ144" s="24"/>
      <c r="DR144" s="24"/>
      <c r="DS144" s="24"/>
      <c r="DT144" s="24"/>
      <c r="DU144" s="24"/>
      <c r="DV144" s="24"/>
      <c r="DW144" s="24"/>
      <c r="DX144" s="24"/>
      <c r="DY144" s="24"/>
      <c r="DZ144" s="24"/>
      <c r="EA144" s="24"/>
    </row>
    <row r="145" spans="1:131" ht="13.5" thickBot="1">
      <c r="A145" s="187" t="s">
        <v>384</v>
      </c>
      <c r="B145" s="188"/>
      <c r="C145" s="45"/>
      <c r="D145" s="45"/>
      <c r="E145" s="45"/>
      <c r="F145" s="45"/>
      <c r="G145" s="45"/>
      <c r="H145" s="45"/>
      <c r="I145" s="45"/>
      <c r="J145" s="45"/>
      <c r="K145" s="45"/>
      <c r="L145" s="45"/>
      <c r="M145" s="45"/>
      <c r="N145" s="45"/>
      <c r="O145" s="45"/>
      <c r="P145" s="45"/>
      <c r="Q145" s="45"/>
      <c r="R145" s="45"/>
      <c r="S145" s="45"/>
      <c r="T145" s="45"/>
      <c r="U145" s="45"/>
      <c r="V145" s="45"/>
      <c r="W145" s="45"/>
      <c r="X145" s="45"/>
      <c r="Y145" s="45"/>
      <c r="Z145" s="45"/>
      <c r="AA145" s="45"/>
      <c r="AB145" s="45"/>
      <c r="AC145" s="45"/>
      <c r="AD145" s="45"/>
      <c r="AE145" s="45"/>
      <c r="AF145" s="45"/>
      <c r="AG145" s="45"/>
      <c r="AH145" s="45"/>
      <c r="AI145" s="45"/>
      <c r="AJ145" s="45"/>
      <c r="AK145" s="45"/>
      <c r="AL145" s="45"/>
      <c r="AM145" s="45"/>
      <c r="AN145" s="45"/>
      <c r="AO145" s="45"/>
      <c r="AP145" s="45"/>
      <c r="AQ145" s="45"/>
      <c r="AR145" s="45"/>
      <c r="AS145" s="45"/>
      <c r="AT145" s="45"/>
      <c r="AU145" s="45"/>
      <c r="AV145" s="45"/>
      <c r="AW145" s="45"/>
      <c r="AX145" s="45"/>
      <c r="AY145" s="45"/>
      <c r="AZ145" s="45"/>
      <c r="BA145" s="45"/>
      <c r="BB145" s="45"/>
      <c r="BC145" s="45"/>
      <c r="BD145" s="45"/>
      <c r="BE145" s="45"/>
      <c r="BF145" s="45"/>
      <c r="BG145" s="45"/>
      <c r="BH145" s="45"/>
      <c r="BI145" s="45"/>
      <c r="BJ145" s="45"/>
      <c r="BK145" s="45"/>
      <c r="BL145" s="45"/>
      <c r="BM145" s="45"/>
      <c r="BN145" s="45"/>
      <c r="BO145" s="45"/>
      <c r="BP145" s="45"/>
      <c r="BQ145" s="45"/>
      <c r="BR145" s="45"/>
      <c r="BS145" s="45"/>
      <c r="BT145" s="45"/>
      <c r="BU145" s="45"/>
      <c r="BV145" s="45"/>
      <c r="BW145" s="45"/>
      <c r="BX145" s="45"/>
      <c r="BY145" s="45"/>
      <c r="BZ145" s="45"/>
      <c r="CA145" s="45"/>
      <c r="CB145" s="45"/>
      <c r="CC145" s="45"/>
      <c r="CD145" s="45"/>
      <c r="CE145" s="45"/>
      <c r="CF145" s="45"/>
      <c r="CG145" s="45"/>
      <c r="CH145" s="45"/>
      <c r="CI145" s="45"/>
      <c r="CJ145" s="45"/>
      <c r="CK145" s="45"/>
      <c r="CL145" s="45"/>
      <c r="CM145" s="45"/>
      <c r="CN145" s="45"/>
      <c r="CO145" s="45"/>
      <c r="CP145" s="45"/>
      <c r="CQ145" s="45"/>
      <c r="CR145" s="45"/>
      <c r="CS145" s="45"/>
      <c r="CT145" s="45"/>
      <c r="CU145" s="45"/>
      <c r="CV145" s="45"/>
      <c r="CW145" s="45"/>
      <c r="CX145" s="24"/>
      <c r="CY145" s="24"/>
      <c r="CZ145" s="24"/>
      <c r="DA145" s="24"/>
      <c r="DB145" s="24"/>
      <c r="DC145" s="24"/>
      <c r="DD145" s="24"/>
      <c r="DE145" s="24"/>
      <c r="DF145" s="24"/>
      <c r="DG145" s="24"/>
      <c r="DH145" s="24"/>
      <c r="DI145" s="24"/>
      <c r="DJ145" s="24"/>
      <c r="DK145" s="24"/>
      <c r="DL145" s="24"/>
      <c r="DM145" s="24"/>
      <c r="DN145" s="24"/>
      <c r="DO145" s="24"/>
      <c r="DP145" s="24"/>
      <c r="DQ145" s="24"/>
      <c r="DR145" s="24"/>
      <c r="DS145" s="24"/>
      <c r="DT145" s="24"/>
      <c r="DU145" s="24"/>
      <c r="DV145" s="24"/>
      <c r="DW145" s="24"/>
      <c r="DX145" s="24"/>
      <c r="DY145" s="24"/>
      <c r="DZ145" s="24"/>
      <c r="EA145" s="24"/>
    </row>
    <row r="146" spans="1:131" ht="13.5" thickBot="1">
      <c r="A146" s="189"/>
      <c r="B146" s="190"/>
      <c r="C146" s="191"/>
      <c r="D146" s="191"/>
      <c r="E146" s="191"/>
      <c r="F146" s="191"/>
      <c r="G146" s="191"/>
      <c r="H146" s="191"/>
      <c r="I146" s="191"/>
      <c r="J146" s="191"/>
      <c r="K146" s="191"/>
      <c r="L146" s="191"/>
      <c r="M146" s="191"/>
      <c r="N146" s="191"/>
      <c r="O146" s="192" t="s">
        <v>385</v>
      </c>
      <c r="P146" s="193"/>
      <c r="Q146" s="193"/>
      <c r="R146" s="193"/>
      <c r="S146" s="193"/>
      <c r="T146" s="193"/>
      <c r="U146" s="193"/>
      <c r="V146" s="193"/>
      <c r="W146" s="193"/>
      <c r="X146" s="193"/>
      <c r="Y146" s="193"/>
      <c r="Z146" s="194"/>
      <c r="AA146" s="191"/>
      <c r="AB146" s="192" t="s">
        <v>386</v>
      </c>
      <c r="AC146" s="193"/>
      <c r="AD146" s="193"/>
      <c r="AE146" s="193"/>
      <c r="AF146" s="193"/>
      <c r="AG146" s="193"/>
      <c r="AH146" s="193"/>
      <c r="AI146" s="193"/>
      <c r="AJ146" s="193"/>
      <c r="AK146" s="193"/>
      <c r="AL146" s="193"/>
      <c r="AM146" s="194"/>
      <c r="AN146" s="45"/>
      <c r="AO146" s="45"/>
      <c r="AP146" s="45"/>
      <c r="AQ146" s="45"/>
      <c r="AR146" s="45"/>
      <c r="AS146" s="45"/>
      <c r="AT146" s="45"/>
      <c r="AU146" s="45"/>
      <c r="AV146" s="45"/>
      <c r="AW146" s="45"/>
      <c r="AX146" s="45"/>
      <c r="AY146" s="45"/>
      <c r="AZ146" s="45"/>
      <c r="BA146" s="45"/>
      <c r="BB146" s="45"/>
      <c r="BC146" s="45"/>
      <c r="BD146" s="45"/>
      <c r="BE146" s="45"/>
      <c r="BF146" s="45"/>
      <c r="BG146" s="45"/>
      <c r="BH146" s="45"/>
      <c r="BI146" s="45"/>
      <c r="BJ146" s="45"/>
      <c r="BK146" s="45"/>
      <c r="BL146" s="45"/>
      <c r="BM146" s="45"/>
      <c r="BN146" s="45"/>
      <c r="BO146" s="45"/>
      <c r="BP146" s="45"/>
      <c r="BQ146" s="45"/>
      <c r="BR146" s="45"/>
      <c r="BS146" s="45"/>
      <c r="BT146" s="45"/>
      <c r="BU146" s="45"/>
      <c r="BV146" s="45"/>
      <c r="BW146" s="45"/>
      <c r="BX146" s="45"/>
      <c r="BY146" s="45"/>
      <c r="BZ146" s="45"/>
      <c r="CA146" s="45"/>
      <c r="CB146" s="45"/>
      <c r="CC146" s="45"/>
      <c r="CD146" s="45"/>
      <c r="CE146" s="45"/>
      <c r="CF146" s="45"/>
      <c r="CG146" s="45"/>
      <c r="CH146" s="45"/>
      <c r="CI146" s="45"/>
      <c r="CJ146" s="45"/>
      <c r="CK146" s="45"/>
      <c r="CL146" s="45"/>
      <c r="CM146" s="45"/>
      <c r="CN146" s="45"/>
      <c r="CO146" s="45"/>
      <c r="CP146" s="45"/>
      <c r="CQ146" s="45"/>
      <c r="CR146" s="45"/>
      <c r="CS146" s="45"/>
      <c r="CT146" s="45"/>
      <c r="CU146" s="45"/>
      <c r="CV146" s="45"/>
      <c r="CW146" s="45"/>
      <c r="CX146" s="24"/>
      <c r="CY146" s="24"/>
      <c r="CZ146" s="24"/>
      <c r="DA146" s="24"/>
      <c r="DB146" s="24"/>
      <c r="DC146" s="24"/>
      <c r="DD146" s="24"/>
      <c r="DE146" s="24"/>
      <c r="DF146" s="24"/>
      <c r="DG146" s="24"/>
      <c r="DH146" s="24"/>
      <c r="DI146" s="24"/>
      <c r="DJ146" s="24"/>
      <c r="DK146" s="24"/>
      <c r="DL146" s="24"/>
      <c r="DM146" s="24"/>
      <c r="DN146" s="24"/>
      <c r="DO146" s="24"/>
      <c r="DP146" s="24"/>
      <c r="DQ146" s="24"/>
      <c r="DR146" s="24"/>
      <c r="DS146" s="24"/>
      <c r="DT146" s="24"/>
      <c r="DU146" s="24"/>
      <c r="DV146" s="24"/>
      <c r="DW146" s="24"/>
      <c r="DX146" s="24"/>
      <c r="DY146" s="24"/>
      <c r="DZ146" s="24"/>
      <c r="EA146" s="24"/>
    </row>
    <row r="147" spans="1:131" ht="102">
      <c r="A147" s="195" t="s">
        <v>387</v>
      </c>
      <c r="B147" s="196" t="s">
        <v>388</v>
      </c>
      <c r="C147" s="197" t="s">
        <v>389</v>
      </c>
      <c r="D147" s="197" t="s">
        <v>390</v>
      </c>
      <c r="E147" s="197" t="s">
        <v>391</v>
      </c>
      <c r="F147" s="197" t="s">
        <v>392</v>
      </c>
      <c r="G147" s="197" t="s">
        <v>393</v>
      </c>
      <c r="H147" s="197" t="s">
        <v>394</v>
      </c>
      <c r="I147" s="197" t="s">
        <v>395</v>
      </c>
      <c r="J147" s="197" t="s">
        <v>396</v>
      </c>
      <c r="K147" s="197" t="s">
        <v>397</v>
      </c>
      <c r="L147" s="197" t="s">
        <v>398</v>
      </c>
      <c r="M147" s="197" t="s">
        <v>399</v>
      </c>
      <c r="N147" s="197" t="s">
        <v>400</v>
      </c>
      <c r="O147" s="197" t="s">
        <v>401</v>
      </c>
      <c r="P147" s="197" t="s">
        <v>402</v>
      </c>
      <c r="Q147" s="197" t="s">
        <v>403</v>
      </c>
      <c r="R147" s="197" t="s">
        <v>404</v>
      </c>
      <c r="S147" s="197" t="s">
        <v>405</v>
      </c>
      <c r="T147" s="197" t="s">
        <v>406</v>
      </c>
      <c r="U147" s="197" t="s">
        <v>407</v>
      </c>
      <c r="V147" s="197" t="s">
        <v>408</v>
      </c>
      <c r="W147" s="197" t="s">
        <v>409</v>
      </c>
      <c r="X147" s="197" t="s">
        <v>410</v>
      </c>
      <c r="Y147" s="197" t="s">
        <v>411</v>
      </c>
      <c r="Z147" s="197" t="s">
        <v>412</v>
      </c>
      <c r="AA147" s="197"/>
      <c r="AB147" s="197" t="s">
        <v>401</v>
      </c>
      <c r="AC147" s="197" t="s">
        <v>402</v>
      </c>
      <c r="AD147" s="197" t="s">
        <v>403</v>
      </c>
      <c r="AE147" s="197" t="s">
        <v>404</v>
      </c>
      <c r="AF147" s="197" t="s">
        <v>405</v>
      </c>
      <c r="AG147" s="197" t="s">
        <v>406</v>
      </c>
      <c r="AH147" s="197" t="s">
        <v>407</v>
      </c>
      <c r="AI147" s="197" t="s">
        <v>408</v>
      </c>
      <c r="AJ147" s="197" t="s">
        <v>409</v>
      </c>
      <c r="AK147" s="197" t="s">
        <v>410</v>
      </c>
      <c r="AL147" s="197" t="s">
        <v>411</v>
      </c>
      <c r="AM147" s="197" t="s">
        <v>412</v>
      </c>
      <c r="AN147" s="45"/>
      <c r="AO147" s="45"/>
      <c r="AP147" s="45"/>
      <c r="AQ147" s="45"/>
      <c r="AR147" s="45"/>
      <c r="AS147" s="45"/>
      <c r="AT147" s="45"/>
      <c r="AU147" s="45"/>
      <c r="AV147" s="45"/>
      <c r="AW147" s="45"/>
      <c r="AX147" s="45"/>
      <c r="AY147" s="45"/>
      <c r="AZ147" s="45"/>
      <c r="BA147" s="45"/>
      <c r="BB147" s="45"/>
      <c r="BC147" s="45"/>
      <c r="BD147" s="45"/>
      <c r="BE147" s="45"/>
      <c r="BF147" s="45"/>
      <c r="BG147" s="45"/>
      <c r="BH147" s="45"/>
      <c r="BI147" s="45"/>
      <c r="BJ147" s="45"/>
      <c r="BK147" s="45"/>
      <c r="BL147" s="45"/>
      <c r="BM147" s="45"/>
      <c r="BN147" s="45"/>
      <c r="BO147" s="45"/>
      <c r="BP147" s="45"/>
      <c r="BQ147" s="45"/>
      <c r="BR147" s="45"/>
      <c r="BS147" s="45"/>
      <c r="BT147" s="45"/>
      <c r="BU147" s="45"/>
      <c r="BV147" s="45"/>
      <c r="BW147" s="45"/>
      <c r="BX147" s="45"/>
      <c r="BY147" s="45"/>
      <c r="BZ147" s="45"/>
      <c r="CA147" s="45"/>
      <c r="CB147" s="45"/>
      <c r="CC147" s="45"/>
      <c r="CD147" s="45"/>
      <c r="CE147" s="45"/>
      <c r="CF147" s="45"/>
      <c r="CG147" s="45"/>
      <c r="CH147" s="45"/>
      <c r="CI147" s="45"/>
      <c r="CJ147" s="45"/>
      <c r="CK147" s="45"/>
      <c r="CL147" s="45"/>
      <c r="CM147" s="45"/>
      <c r="CN147" s="45"/>
      <c r="CO147" s="45"/>
      <c r="CP147" s="45"/>
      <c r="CQ147" s="45"/>
      <c r="CR147" s="45"/>
      <c r="CS147" s="45"/>
      <c r="CT147" s="45"/>
      <c r="CU147" s="45"/>
      <c r="CV147" s="45"/>
      <c r="CW147" s="45"/>
      <c r="CX147" s="24"/>
      <c r="CY147" s="24"/>
      <c r="CZ147" s="24"/>
      <c r="DA147" s="24"/>
      <c r="DB147" s="24"/>
      <c r="DC147" s="24"/>
      <c r="DD147" s="24"/>
      <c r="DE147" s="24"/>
      <c r="DF147" s="24"/>
      <c r="DG147" s="24"/>
      <c r="DH147" s="24"/>
      <c r="DI147" s="24"/>
      <c r="DJ147" s="24"/>
      <c r="DK147" s="24"/>
      <c r="DL147" s="24"/>
      <c r="DM147" s="24"/>
      <c r="DN147" s="24"/>
      <c r="DO147" s="24"/>
      <c r="DP147" s="24"/>
      <c r="DQ147" s="24"/>
      <c r="DR147" s="24"/>
      <c r="DS147" s="24"/>
      <c r="DT147" s="24"/>
      <c r="DU147" s="24"/>
      <c r="DV147" s="24"/>
      <c r="DW147" s="24"/>
      <c r="DX147" s="24"/>
      <c r="DY147" s="24"/>
      <c r="DZ147" s="24"/>
      <c r="EA147" s="24"/>
    </row>
    <row r="148" spans="1:131">
      <c r="A148" s="24" t="s">
        <v>414</v>
      </c>
      <c r="B148" s="24"/>
      <c r="C148" s="198">
        <v>71.596806262868725</v>
      </c>
      <c r="D148" s="198">
        <v>0.68761315445724391</v>
      </c>
      <c r="E148" s="198">
        <v>0.13752263089144878</v>
      </c>
      <c r="F148" s="198">
        <v>0.8251357853486927</v>
      </c>
      <c r="G148" s="198">
        <v>-4.6182687988272475</v>
      </c>
      <c r="H148" s="198">
        <v>47.211993048167585</v>
      </c>
      <c r="I148" s="198">
        <v>100.95687024245389</v>
      </c>
      <c r="J148" s="198">
        <v>-12.644513228249725</v>
      </c>
      <c r="K148" s="198">
        <v>-17.998720942754002</v>
      </c>
      <c r="L148" s="199">
        <v>53.089279810445447</v>
      </c>
      <c r="M148" s="198">
        <v>0.68017146155360431</v>
      </c>
      <c r="N148" s="198">
        <v>1.6711750705328442E-2</v>
      </c>
      <c r="O148" s="198">
        <v>2.9324237661945984</v>
      </c>
      <c r="P148" s="198">
        <v>2.1678308879708323</v>
      </c>
      <c r="Q148" s="198">
        <v>2.0194344583692723</v>
      </c>
      <c r="R148" s="198">
        <v>1.1593040081315777</v>
      </c>
      <c r="S148" s="198">
        <v>0.93125606815032491</v>
      </c>
      <c r="T148" s="198">
        <v>0.72238231088986893</v>
      </c>
      <c r="U148" s="198">
        <v>0.75380030172015144</v>
      </c>
      <c r="V148" s="198">
        <v>1.0971812274574739</v>
      </c>
      <c r="W148" s="198">
        <v>1.3862023586538053</v>
      </c>
      <c r="X148" s="198">
        <v>2.2614326464244927</v>
      </c>
      <c r="Y148" s="198">
        <v>2.6187997845454936</v>
      </c>
      <c r="Z148" s="198">
        <v>3.0848933388005535</v>
      </c>
      <c r="AA148" s="198"/>
      <c r="AB148" s="198">
        <v>4.8600313080389581</v>
      </c>
      <c r="AC148" s="198">
        <v>4.2156699211594963</v>
      </c>
      <c r="AD148" s="198">
        <v>4.2498514163807597</v>
      </c>
      <c r="AE148" s="198">
        <v>4.046920949060631</v>
      </c>
      <c r="AF148" s="198">
        <v>3.7274201942931775</v>
      </c>
      <c r="AG148" s="198">
        <v>3.3867074400754942</v>
      </c>
      <c r="AH148" s="198">
        <v>3.6981971434441596</v>
      </c>
      <c r="AI148" s="198">
        <v>3.9933263256117955</v>
      </c>
      <c r="AJ148" s="198">
        <v>4.3043940819596651</v>
      </c>
      <c r="AK148" s="198">
        <v>4.4423785419133628</v>
      </c>
      <c r="AL148" s="198">
        <v>4.6568533418584641</v>
      </c>
      <c r="AM148" s="45">
        <v>4.8801144417643396</v>
      </c>
      <c r="AN148" s="45"/>
      <c r="AO148" s="45"/>
      <c r="AP148" s="45"/>
      <c r="AQ148" s="45"/>
      <c r="AR148" s="45"/>
      <c r="AS148" s="45"/>
      <c r="AT148" s="45"/>
      <c r="AU148" s="45"/>
      <c r="AV148" s="45"/>
      <c r="AW148" s="45"/>
      <c r="AX148" s="45"/>
      <c r="AY148" s="45"/>
      <c r="AZ148" s="45"/>
      <c r="BA148" s="45"/>
      <c r="BB148" s="45"/>
      <c r="BC148" s="45"/>
      <c r="BD148" s="45"/>
      <c r="BE148" s="45"/>
      <c r="BF148" s="45"/>
      <c r="BG148" s="45"/>
      <c r="BH148" s="45"/>
      <c r="BI148" s="45"/>
      <c r="BJ148" s="45"/>
      <c r="BK148" s="45"/>
      <c r="BL148" s="45"/>
      <c r="BM148" s="45"/>
      <c r="BN148" s="45"/>
      <c r="BO148" s="45"/>
      <c r="BP148" s="45"/>
      <c r="BQ148" s="45"/>
      <c r="BR148" s="45"/>
      <c r="BS148" s="45"/>
      <c r="BT148" s="45"/>
      <c r="BU148" s="45"/>
      <c r="BV148" s="45"/>
      <c r="BW148" s="45"/>
      <c r="BX148" s="45"/>
      <c r="BY148" s="45"/>
      <c r="BZ148" s="45"/>
      <c r="CA148" s="45"/>
      <c r="CB148" s="45"/>
      <c r="CC148" s="45"/>
      <c r="CD148" s="45"/>
      <c r="CE148" s="45"/>
      <c r="CF148" s="45"/>
      <c r="CG148" s="45"/>
      <c r="CH148" s="45"/>
      <c r="CI148" s="45"/>
      <c r="CJ148" s="45"/>
      <c r="CK148" s="45"/>
      <c r="CL148" s="45"/>
      <c r="CM148" s="45"/>
      <c r="CN148" s="45"/>
      <c r="CO148" s="45"/>
      <c r="CP148" s="45"/>
      <c r="CQ148" s="45"/>
      <c r="CR148" s="45"/>
      <c r="CS148" s="45"/>
      <c r="CT148" s="45"/>
      <c r="CU148" s="45"/>
      <c r="CV148" s="45"/>
      <c r="CW148" s="45"/>
      <c r="CX148" s="24"/>
      <c r="CY148" s="24"/>
      <c r="CZ148" s="24"/>
      <c r="DA148" s="24"/>
      <c r="DB148" s="24"/>
      <c r="DC148" s="24"/>
      <c r="DD148" s="24"/>
      <c r="DE148" s="24"/>
      <c r="DF148" s="24"/>
      <c r="DG148" s="24"/>
      <c r="DH148" s="24"/>
      <c r="DI148" s="24"/>
      <c r="DJ148" s="24"/>
      <c r="DK148" s="24"/>
      <c r="DL148" s="24"/>
      <c r="DM148" s="24"/>
      <c r="DN148" s="24"/>
      <c r="DO148" s="24"/>
      <c r="DP148" s="24"/>
      <c r="DQ148" s="24"/>
      <c r="DR148" s="24"/>
      <c r="DS148" s="24"/>
      <c r="DT148" s="24"/>
      <c r="DU148" s="24"/>
      <c r="DV148" s="24"/>
      <c r="DW148" s="24"/>
      <c r="DX148" s="24"/>
      <c r="DY148" s="24"/>
      <c r="DZ148" s="24"/>
      <c r="EA148" s="24"/>
    </row>
    <row r="149" spans="1:131">
      <c r="A149" s="24" t="s">
        <v>416</v>
      </c>
      <c r="B149" s="24"/>
      <c r="C149" s="198">
        <v>1.8393233905827586</v>
      </c>
      <c r="D149" s="198">
        <v>2.9394812076628273E-2</v>
      </c>
      <c r="E149" s="198">
        <v>5.8789624153256547E-3</v>
      </c>
      <c r="F149" s="198">
        <v>3.527377449195393E-2</v>
      </c>
      <c r="G149" s="198">
        <v>-2.8647769502477667</v>
      </c>
      <c r="H149" s="198">
        <v>1.2128770494412531</v>
      </c>
      <c r="I149" s="198">
        <v>167.99561519826892</v>
      </c>
      <c r="J149" s="198">
        <v>-12.240845660188754</v>
      </c>
      <c r="K149" s="198">
        <v>-127.85722269419684</v>
      </c>
      <c r="L149" s="199">
        <v>49.51909212605657</v>
      </c>
      <c r="M149" s="198">
        <v>1.7473618505400069E-2</v>
      </c>
      <c r="N149" s="198">
        <v>4.2932521119786187E-4</v>
      </c>
      <c r="O149" s="198">
        <v>7.5334025437664806E-2</v>
      </c>
      <c r="P149" s="198">
        <v>5.5691619042795827E-2</v>
      </c>
      <c r="Q149" s="198">
        <v>5.1879311786477984E-2</v>
      </c>
      <c r="R149" s="198">
        <v>2.9782543248142328E-2</v>
      </c>
      <c r="S149" s="198">
        <v>2.392398709073916E-2</v>
      </c>
      <c r="T149" s="198">
        <v>1.8558016072457759E-2</v>
      </c>
      <c r="U149" s="198">
        <v>1.9365144887772291E-2</v>
      </c>
      <c r="V149" s="198">
        <v>2.8186607765176785E-2</v>
      </c>
      <c r="W149" s="198">
        <v>3.5611566429258966E-2</v>
      </c>
      <c r="X149" s="198">
        <v>5.8096250097027395E-2</v>
      </c>
      <c r="Y149" s="198">
        <v>6.7277019051416767E-2</v>
      </c>
      <c r="Z149" s="198">
        <v>7.9250971819555718E-2</v>
      </c>
      <c r="AA149" s="198"/>
      <c r="AB149" s="198">
        <v>0.12485430189470022</v>
      </c>
      <c r="AC149" s="198">
        <v>0.10830064492675807</v>
      </c>
      <c r="AD149" s="198">
        <v>0.10917876822536908</v>
      </c>
      <c r="AE149" s="198">
        <v>0.10396548044499808</v>
      </c>
      <c r="AF149" s="198">
        <v>9.5757499639331944E-2</v>
      </c>
      <c r="AG149" s="198">
        <v>8.7004582141844825E-2</v>
      </c>
      <c r="AH149" s="198">
        <v>9.5006758876211295E-2</v>
      </c>
      <c r="AI149" s="198">
        <v>0.10258863349239815</v>
      </c>
      <c r="AJ149" s="198">
        <v>0.11057997039932753</v>
      </c>
      <c r="AK149" s="198">
        <v>0.11412479394631568</v>
      </c>
      <c r="AL149" s="198">
        <v>0.11963465586363657</v>
      </c>
      <c r="AM149" s="45">
        <v>0.12537023800338182</v>
      </c>
      <c r="AN149" s="45"/>
      <c r="AO149" s="45"/>
      <c r="AP149" s="45"/>
      <c r="AQ149" s="45"/>
      <c r="AR149" s="45"/>
      <c r="AS149" s="45"/>
      <c r="AT149" s="45"/>
      <c r="AU149" s="45"/>
      <c r="AV149" s="45"/>
      <c r="AW149" s="45"/>
      <c r="AX149" s="45"/>
      <c r="AY149" s="45"/>
      <c r="AZ149" s="45"/>
      <c r="BA149" s="45"/>
      <c r="BB149" s="45"/>
      <c r="BC149" s="45"/>
      <c r="BD149" s="45"/>
      <c r="BE149" s="45"/>
      <c r="BF149" s="45"/>
      <c r="BG149" s="45"/>
      <c r="BH149" s="45"/>
      <c r="BI149" s="45"/>
      <c r="BJ149" s="45"/>
      <c r="BK149" s="45"/>
      <c r="BL149" s="45"/>
      <c r="BM149" s="45"/>
      <c r="BN149" s="45"/>
      <c r="BO149" s="45"/>
      <c r="BP149" s="45"/>
      <c r="BQ149" s="45"/>
      <c r="BR149" s="45"/>
      <c r="BS149" s="45"/>
      <c r="BT149" s="45"/>
      <c r="BU149" s="45"/>
      <c r="BV149" s="45"/>
      <c r="BW149" s="45"/>
      <c r="BX149" s="45"/>
      <c r="BY149" s="45"/>
      <c r="BZ149" s="45"/>
      <c r="CA149" s="45"/>
      <c r="CB149" s="45"/>
      <c r="CC149" s="45"/>
      <c r="CD149" s="45"/>
      <c r="CE149" s="45"/>
      <c r="CF149" s="45"/>
      <c r="CG149" s="45"/>
      <c r="CH149" s="45"/>
      <c r="CI149" s="45"/>
      <c r="CJ149" s="45"/>
      <c r="CK149" s="45"/>
      <c r="CL149" s="45"/>
      <c r="CM149" s="45"/>
      <c r="CN149" s="45"/>
      <c r="CO149" s="45"/>
      <c r="CP149" s="45"/>
      <c r="CQ149" s="45"/>
      <c r="CR149" s="45"/>
      <c r="CS149" s="45"/>
      <c r="CT149" s="45"/>
      <c r="CU149" s="45"/>
      <c r="CV149" s="45"/>
      <c r="CW149" s="45"/>
      <c r="CX149" s="24"/>
      <c r="CY149" s="24"/>
      <c r="CZ149" s="24"/>
      <c r="DA149" s="24"/>
      <c r="DB149" s="24"/>
      <c r="DC149" s="24"/>
      <c r="DD149" s="24"/>
      <c r="DE149" s="24"/>
      <c r="DF149" s="24"/>
      <c r="DG149" s="24"/>
      <c r="DH149" s="24"/>
      <c r="DI149" s="24"/>
      <c r="DJ149" s="24"/>
      <c r="DK149" s="24"/>
      <c r="DL149" s="24"/>
      <c r="DM149" s="24"/>
      <c r="DN149" s="24"/>
      <c r="DO149" s="24"/>
      <c r="DP149" s="24"/>
      <c r="DQ149" s="24"/>
      <c r="DR149" s="24"/>
      <c r="DS149" s="24"/>
      <c r="DT149" s="24"/>
      <c r="DU149" s="24"/>
      <c r="DV149" s="24"/>
      <c r="DW149" s="24"/>
      <c r="DX149" s="24"/>
      <c r="DY149" s="24"/>
      <c r="DZ149" s="24"/>
      <c r="EA149" s="24"/>
    </row>
    <row r="150" spans="1:131">
      <c r="A150" s="24" t="s">
        <v>417</v>
      </c>
      <c r="B150" s="24"/>
      <c r="C150" s="198">
        <v>1.8393233905827586</v>
      </c>
      <c r="D150" s="198">
        <v>2.9394812076628273E-2</v>
      </c>
      <c r="E150" s="198">
        <v>5.8789624153256547E-3</v>
      </c>
      <c r="F150" s="198">
        <v>3.527377449195393E-2</v>
      </c>
      <c r="G150" s="198">
        <v>-2.8647769502477667</v>
      </c>
      <c r="H150" s="198">
        <v>1.2128770494412531</v>
      </c>
      <c r="I150" s="198">
        <v>167.99561519826892</v>
      </c>
      <c r="J150" s="198">
        <v>-12.240845660188754</v>
      </c>
      <c r="K150" s="198">
        <v>-127.85722269419684</v>
      </c>
      <c r="L150" s="199">
        <v>49.51909212605657</v>
      </c>
      <c r="M150" s="198">
        <v>1.7473618505400069E-2</v>
      </c>
      <c r="N150" s="198">
        <v>4.2932521119786187E-4</v>
      </c>
      <c r="O150" s="198">
        <v>7.5334025437664806E-2</v>
      </c>
      <c r="P150" s="198">
        <v>5.5691619042795827E-2</v>
      </c>
      <c r="Q150" s="198">
        <v>5.1879311786477984E-2</v>
      </c>
      <c r="R150" s="198">
        <v>2.9782543248142328E-2</v>
      </c>
      <c r="S150" s="198">
        <v>2.392398709073916E-2</v>
      </c>
      <c r="T150" s="198">
        <v>1.8558016072457759E-2</v>
      </c>
      <c r="U150" s="198">
        <v>1.9365144887772291E-2</v>
      </c>
      <c r="V150" s="198">
        <v>2.8186607765176785E-2</v>
      </c>
      <c r="W150" s="198">
        <v>3.5611566429258966E-2</v>
      </c>
      <c r="X150" s="198">
        <v>5.8096250097027395E-2</v>
      </c>
      <c r="Y150" s="198">
        <v>6.7277019051416767E-2</v>
      </c>
      <c r="Z150" s="198">
        <v>7.9250971819555718E-2</v>
      </c>
      <c r="AA150" s="198"/>
      <c r="AB150" s="198">
        <v>0.12485430189470022</v>
      </c>
      <c r="AC150" s="198">
        <v>0.10830064492675807</v>
      </c>
      <c r="AD150" s="198">
        <v>0.10917876822536908</v>
      </c>
      <c r="AE150" s="198">
        <v>0.10396548044499808</v>
      </c>
      <c r="AF150" s="198">
        <v>9.5757499639331944E-2</v>
      </c>
      <c r="AG150" s="198">
        <v>8.7004582141844825E-2</v>
      </c>
      <c r="AH150" s="198">
        <v>9.5006758876211295E-2</v>
      </c>
      <c r="AI150" s="198">
        <v>0.10258863349239815</v>
      </c>
      <c r="AJ150" s="198">
        <v>0.11057997039932753</v>
      </c>
      <c r="AK150" s="198">
        <v>0.11412479394631568</v>
      </c>
      <c r="AL150" s="198">
        <v>0.11963465586363657</v>
      </c>
      <c r="AM150" s="45">
        <v>0.12537023800338182</v>
      </c>
      <c r="AN150" s="45"/>
      <c r="AO150" s="45"/>
      <c r="AP150" s="45"/>
      <c r="AQ150" s="45"/>
      <c r="AR150" s="45"/>
      <c r="AS150" s="45"/>
      <c r="AT150" s="45"/>
      <c r="AU150" s="45"/>
      <c r="AV150" s="45"/>
      <c r="AW150" s="45"/>
      <c r="AX150" s="45"/>
      <c r="AY150" s="45"/>
      <c r="AZ150" s="45"/>
      <c r="BA150" s="45"/>
      <c r="BB150" s="45"/>
      <c r="BC150" s="45"/>
      <c r="BD150" s="45"/>
      <c r="BE150" s="45"/>
      <c r="BF150" s="45"/>
      <c r="BG150" s="45"/>
      <c r="BH150" s="45"/>
      <c r="BI150" s="45"/>
      <c r="BJ150" s="45"/>
      <c r="BK150" s="45"/>
      <c r="BL150" s="45"/>
      <c r="BM150" s="45"/>
      <c r="BN150" s="45"/>
      <c r="BO150" s="45"/>
      <c r="BP150" s="45"/>
      <c r="BQ150" s="45"/>
      <c r="BR150" s="45"/>
      <c r="BS150" s="45"/>
      <c r="BT150" s="45"/>
      <c r="BU150" s="45"/>
      <c r="BV150" s="45"/>
      <c r="BW150" s="45"/>
      <c r="BX150" s="45"/>
      <c r="BY150" s="45"/>
      <c r="BZ150" s="45"/>
      <c r="CA150" s="45"/>
      <c r="CB150" s="45"/>
      <c r="CC150" s="45"/>
      <c r="CD150" s="45"/>
      <c r="CE150" s="45"/>
      <c r="CF150" s="45"/>
      <c r="CG150" s="45"/>
      <c r="CH150" s="45"/>
      <c r="CI150" s="45"/>
      <c r="CJ150" s="45"/>
      <c r="CK150" s="45"/>
      <c r="CL150" s="45"/>
      <c r="CM150" s="45"/>
      <c r="CN150" s="45"/>
      <c r="CO150" s="45"/>
      <c r="CP150" s="45"/>
      <c r="CQ150" s="45"/>
      <c r="CR150" s="45"/>
      <c r="CS150" s="45"/>
      <c r="CT150" s="45"/>
      <c r="CU150" s="45"/>
      <c r="CV150" s="45"/>
      <c r="CW150" s="45"/>
      <c r="CX150" s="24"/>
      <c r="CY150" s="24"/>
      <c r="CZ150" s="24"/>
      <c r="DA150" s="24"/>
      <c r="DB150" s="24"/>
      <c r="DC150" s="24"/>
      <c r="DD150" s="24"/>
      <c r="DE150" s="24"/>
      <c r="DF150" s="24"/>
      <c r="DG150" s="24"/>
      <c r="DH150" s="24"/>
      <c r="DI150" s="24"/>
      <c r="DJ150" s="24"/>
      <c r="DK150" s="24"/>
      <c r="DL150" s="24"/>
      <c r="DM150" s="24"/>
      <c r="DN150" s="24"/>
      <c r="DO150" s="24"/>
      <c r="DP150" s="24"/>
      <c r="DQ150" s="24"/>
      <c r="DR150" s="24"/>
      <c r="DS150" s="24"/>
      <c r="DT150" s="24"/>
      <c r="DU150" s="24"/>
      <c r="DV150" s="24"/>
      <c r="DW150" s="24"/>
      <c r="DX150" s="24"/>
      <c r="DY150" s="24"/>
      <c r="DZ150" s="24"/>
      <c r="EA150" s="24"/>
    </row>
    <row r="151" spans="1:131">
      <c r="A151" s="24" t="s">
        <v>415</v>
      </c>
      <c r="B151" s="24"/>
      <c r="C151" s="198">
        <v>71.761669722483219</v>
      </c>
      <c r="D151" s="198">
        <v>0.75267609869364605</v>
      </c>
      <c r="E151" s="198">
        <v>0.15053521973872921</v>
      </c>
      <c r="F151" s="198">
        <v>0.90321131843237523</v>
      </c>
      <c r="G151" s="198">
        <v>-4.880902675755749</v>
      </c>
      <c r="H151" s="198">
        <v>47.320706451956013</v>
      </c>
      <c r="I151" s="198">
        <v>110.25567242325056</v>
      </c>
      <c r="J151" s="198">
        <v>-12.588521355718759</v>
      </c>
      <c r="K151" s="198">
        <v>-18.257111921085425</v>
      </c>
      <c r="L151" s="199">
        <v>48.927512778754668</v>
      </c>
      <c r="M151" s="198">
        <v>0.68173766856947449</v>
      </c>
      <c r="N151" s="198">
        <v>1.6750232268701249E-2</v>
      </c>
      <c r="O151" s="198">
        <v>2.939176155754764</v>
      </c>
      <c r="P151" s="198">
        <v>2.1728226762740399</v>
      </c>
      <c r="Q151" s="198">
        <v>2.0240845394084892</v>
      </c>
      <c r="R151" s="198">
        <v>1.1619734968909476</v>
      </c>
      <c r="S151" s="198">
        <v>0.93340043890086588</v>
      </c>
      <c r="T151" s="198">
        <v>0.72404571535096118</v>
      </c>
      <c r="U151" s="198">
        <v>0.7555360512889765</v>
      </c>
      <c r="V151" s="198">
        <v>1.0997076682643248</v>
      </c>
      <c r="W151" s="198">
        <v>1.3893943183025967</v>
      </c>
      <c r="X151" s="198">
        <v>2.2666399682204657</v>
      </c>
      <c r="Y151" s="198">
        <v>2.624830003141176</v>
      </c>
      <c r="Z151" s="198">
        <v>3.0919968147085295</v>
      </c>
      <c r="AA151" s="198"/>
      <c r="AB151" s="198">
        <v>4.8712223320119579</v>
      </c>
      <c r="AC151" s="198">
        <v>4.2253771967220866</v>
      </c>
      <c r="AD151" s="198">
        <v>4.2596374004759108</v>
      </c>
      <c r="AE151" s="198">
        <v>4.0562396522720405</v>
      </c>
      <c r="AF151" s="198">
        <v>3.7360031943003547</v>
      </c>
      <c r="AG151" s="198">
        <v>3.3945058927498075</v>
      </c>
      <c r="AH151" s="198">
        <v>3.7067128525550674</v>
      </c>
      <c r="AI151" s="198">
        <v>4.0025216183598102</v>
      </c>
      <c r="AJ151" s="198">
        <v>4.3143056595416391</v>
      </c>
      <c r="AK151" s="198">
        <v>4.4526078514812788</v>
      </c>
      <c r="AL151" s="198">
        <v>4.6675765150407607</v>
      </c>
      <c r="AM151" s="45">
        <v>4.8913517104663811</v>
      </c>
      <c r="AN151" s="45"/>
      <c r="AO151" s="45"/>
      <c r="AP151" s="45"/>
      <c r="AQ151" s="45"/>
      <c r="AR151" s="45"/>
      <c r="AS151" s="45"/>
      <c r="AT151" s="45"/>
      <c r="AU151" s="45"/>
      <c r="AV151" s="45"/>
      <c r="AW151" s="45"/>
      <c r="AX151" s="45"/>
      <c r="AY151" s="45"/>
      <c r="AZ151" s="45"/>
      <c r="BA151" s="45"/>
      <c r="BB151" s="45"/>
      <c r="BC151" s="45"/>
      <c r="BD151" s="45"/>
      <c r="BE151" s="45"/>
      <c r="BF151" s="45"/>
      <c r="BG151" s="45"/>
      <c r="BH151" s="45"/>
      <c r="BI151" s="45"/>
      <c r="BJ151" s="45"/>
      <c r="BK151" s="45"/>
      <c r="BL151" s="45"/>
      <c r="BM151" s="45"/>
      <c r="BN151" s="45"/>
      <c r="BO151" s="45"/>
      <c r="BP151" s="45"/>
      <c r="BQ151" s="45"/>
      <c r="BR151" s="45"/>
      <c r="BS151" s="45"/>
      <c r="BT151" s="45"/>
      <c r="BU151" s="45"/>
      <c r="BV151" s="45"/>
      <c r="BW151" s="45"/>
      <c r="BX151" s="45"/>
      <c r="BY151" s="45"/>
      <c r="BZ151" s="45"/>
      <c r="CA151" s="45"/>
      <c r="CB151" s="45"/>
      <c r="CC151" s="45"/>
      <c r="CD151" s="45"/>
      <c r="CE151" s="45"/>
      <c r="CF151" s="45"/>
      <c r="CG151" s="45"/>
      <c r="CH151" s="45"/>
      <c r="CI151" s="45"/>
      <c r="CJ151" s="45"/>
      <c r="CK151" s="45"/>
      <c r="CL151" s="45"/>
      <c r="CM151" s="45"/>
      <c r="CN151" s="45"/>
      <c r="CO151" s="45"/>
      <c r="CP151" s="45"/>
      <c r="CQ151" s="45"/>
      <c r="CR151" s="45"/>
      <c r="CS151" s="45"/>
      <c r="CT151" s="45"/>
      <c r="CU151" s="45"/>
      <c r="CV151" s="45"/>
      <c r="CW151" s="45"/>
      <c r="CX151" s="24"/>
      <c r="CY151" s="24"/>
      <c r="CZ151" s="24"/>
      <c r="DA151" s="24"/>
      <c r="DB151" s="24"/>
      <c r="DC151" s="24"/>
      <c r="DD151" s="24"/>
      <c r="DE151" s="24"/>
      <c r="DF151" s="24"/>
      <c r="DG151" s="24"/>
      <c r="DH151" s="24"/>
      <c r="DI151" s="24"/>
      <c r="DJ151" s="24"/>
      <c r="DK151" s="24"/>
      <c r="DL151" s="24"/>
      <c r="DM151" s="24"/>
      <c r="DN151" s="24"/>
      <c r="DO151" s="24"/>
      <c r="DP151" s="24"/>
      <c r="DQ151" s="24"/>
      <c r="DR151" s="24"/>
      <c r="DS151" s="24"/>
      <c r="DT151" s="24"/>
      <c r="DU151" s="24"/>
      <c r="DV151" s="24"/>
      <c r="DW151" s="24"/>
      <c r="DX151" s="24"/>
      <c r="DY151" s="24"/>
      <c r="DZ151" s="24"/>
      <c r="EA151" s="24"/>
    </row>
    <row r="152" spans="1:131">
      <c r="A152" s="24" t="s">
        <v>418</v>
      </c>
      <c r="B152" s="24"/>
      <c r="C152" s="198">
        <v>30.963239695039977</v>
      </c>
      <c r="D152" s="198">
        <v>0.93212841418794667</v>
      </c>
      <c r="E152" s="198">
        <v>0.18642568283758934</v>
      </c>
      <c r="F152" s="198">
        <v>1.1185540970255361</v>
      </c>
      <c r="G152" s="198">
        <v>-0.56436433027084487</v>
      </c>
      <c r="H152" s="198">
        <v>20.41761823654285</v>
      </c>
      <c r="I152" s="198">
        <v>316.45699824858218</v>
      </c>
      <c r="J152" s="198">
        <v>-11.346899249253024</v>
      </c>
      <c r="K152" s="198">
        <v>-14.593583923608218</v>
      </c>
      <c r="L152" s="199">
        <v>16.555354087226934</v>
      </c>
      <c r="M152" s="198">
        <v>0.29415155643237295</v>
      </c>
      <c r="N152" s="198">
        <v>7.2272768831756675E-3</v>
      </c>
      <c r="O152" s="198">
        <v>1.2681758405081849</v>
      </c>
      <c r="P152" s="198">
        <v>0.9375148265148715</v>
      </c>
      <c r="Q152" s="198">
        <v>0.8733383016183387</v>
      </c>
      <c r="R152" s="198">
        <v>0.50136046224473518</v>
      </c>
      <c r="S152" s="198">
        <v>0.40273730576377881</v>
      </c>
      <c r="T152" s="198">
        <v>0.31240634619117003</v>
      </c>
      <c r="U152" s="198">
        <v>0.32599358327047423</v>
      </c>
      <c r="V152" s="198">
        <v>0.47449442381457907</v>
      </c>
      <c r="W152" s="198">
        <v>0.59948645948314094</v>
      </c>
      <c r="X152" s="198">
        <v>0.97799447685342278</v>
      </c>
      <c r="Y152" s="198">
        <v>1.1325438895205855</v>
      </c>
      <c r="Z152" s="198">
        <v>1.3341138644120087</v>
      </c>
      <c r="AA152" s="198"/>
      <c r="AB152" s="198">
        <v>2.1018020519478329</v>
      </c>
      <c r="AC152" s="198">
        <v>1.8231371629173796</v>
      </c>
      <c r="AD152" s="198">
        <v>1.8379195238202533</v>
      </c>
      <c r="AE152" s="198">
        <v>1.7501588396636152</v>
      </c>
      <c r="AF152" s="198">
        <v>1.6119853795753345</v>
      </c>
      <c r="AG152" s="198">
        <v>1.4646384345556578</v>
      </c>
      <c r="AH152" s="198">
        <v>1.5993473811046159</v>
      </c>
      <c r="AI152" s="198">
        <v>1.7269809458603782</v>
      </c>
      <c r="AJ152" s="198">
        <v>1.8615074143432682</v>
      </c>
      <c r="AK152" s="198">
        <v>1.9211811083352965</v>
      </c>
      <c r="AL152" s="198">
        <v>2.0139343327579615</v>
      </c>
      <c r="AM152" s="45">
        <v>2.110487339963103</v>
      </c>
      <c r="AN152" s="45"/>
      <c r="AO152" s="45"/>
      <c r="AP152" s="45"/>
      <c r="AQ152" s="45"/>
      <c r="AR152" s="45"/>
      <c r="AS152" s="45"/>
      <c r="AT152" s="45"/>
      <c r="AU152" s="45"/>
      <c r="AV152" s="45"/>
      <c r="AW152" s="45"/>
      <c r="AX152" s="45"/>
      <c r="AY152" s="45"/>
      <c r="AZ152" s="45"/>
      <c r="BA152" s="45"/>
      <c r="BB152" s="45"/>
      <c r="BC152" s="45"/>
      <c r="BD152" s="45"/>
      <c r="BE152" s="45"/>
      <c r="BF152" s="45"/>
      <c r="BG152" s="45"/>
      <c r="BH152" s="45"/>
      <c r="BI152" s="45"/>
      <c r="BJ152" s="45"/>
      <c r="BK152" s="45"/>
      <c r="BL152" s="45"/>
      <c r="BM152" s="45"/>
      <c r="BN152" s="45"/>
      <c r="BO152" s="45"/>
      <c r="BP152" s="45"/>
      <c r="BQ152" s="45"/>
      <c r="BR152" s="45"/>
      <c r="BS152" s="45"/>
      <c r="BT152" s="45"/>
      <c r="BU152" s="45"/>
      <c r="BV152" s="45"/>
      <c r="BW152" s="45"/>
      <c r="BX152" s="45"/>
      <c r="BY152" s="45"/>
      <c r="BZ152" s="45"/>
      <c r="CA152" s="45"/>
      <c r="CB152" s="45"/>
      <c r="CC152" s="45"/>
      <c r="CD152" s="45"/>
      <c r="CE152" s="45"/>
      <c r="CF152" s="45"/>
      <c r="CG152" s="45"/>
      <c r="CH152" s="45"/>
      <c r="CI152" s="45"/>
      <c r="CJ152" s="45"/>
      <c r="CK152" s="45"/>
      <c r="CL152" s="45"/>
      <c r="CM152" s="45"/>
      <c r="CN152" s="45"/>
      <c r="CO152" s="45"/>
      <c r="CP152" s="45"/>
      <c r="CQ152" s="45"/>
      <c r="CR152" s="45"/>
      <c r="CS152" s="45"/>
      <c r="CT152" s="45"/>
      <c r="CU152" s="45"/>
      <c r="CV152" s="45"/>
      <c r="CW152" s="45"/>
      <c r="CX152" s="24"/>
      <c r="CY152" s="24"/>
      <c r="CZ152" s="24"/>
      <c r="DA152" s="24"/>
      <c r="DB152" s="24"/>
      <c r="DC152" s="24"/>
      <c r="DD152" s="24"/>
      <c r="DE152" s="24"/>
      <c r="DF152" s="24"/>
      <c r="DG152" s="24"/>
      <c r="DH152" s="24"/>
      <c r="DI152" s="24"/>
      <c r="DJ152" s="24"/>
      <c r="DK152" s="24"/>
      <c r="DL152" s="24"/>
      <c r="DM152" s="24"/>
      <c r="DN152" s="24"/>
      <c r="DO152" s="24"/>
      <c r="DP152" s="24"/>
      <c r="DQ152" s="24"/>
      <c r="DR152" s="24"/>
      <c r="DS152" s="24"/>
      <c r="DT152" s="24"/>
      <c r="DU152" s="24"/>
      <c r="DV152" s="24"/>
      <c r="DW152" s="24"/>
      <c r="DX152" s="24"/>
      <c r="DY152" s="24"/>
      <c r="DZ152" s="24"/>
      <c r="EA152" s="24"/>
    </row>
    <row r="153" spans="1:131">
      <c r="A153" s="24" t="s">
        <v>422</v>
      </c>
      <c r="B153" s="24"/>
      <c r="C153" s="198">
        <v>1.8393233905827586</v>
      </c>
      <c r="D153" s="198">
        <v>0.18729926518091722</v>
      </c>
      <c r="E153" s="198">
        <v>3.7459853036183446E-2</v>
      </c>
      <c r="F153" s="198">
        <v>0.22475911821710065</v>
      </c>
      <c r="G153" s="198">
        <v>-2.413314747954256</v>
      </c>
      <c r="H153" s="198">
        <v>1.2128770494412531</v>
      </c>
      <c r="I153" s="198">
        <v>1070.4424712165446</v>
      </c>
      <c r="J153" s="198">
        <v>-6.806845845406106</v>
      </c>
      <c r="K153" s="198">
        <v>-109.79657103171296</v>
      </c>
      <c r="L153" s="199">
        <v>7.7715436088052439</v>
      </c>
      <c r="M153" s="198">
        <v>1.7473618505400069E-2</v>
      </c>
      <c r="N153" s="198">
        <v>4.2932521119786187E-4</v>
      </c>
      <c r="O153" s="198">
        <v>7.5334025437664806E-2</v>
      </c>
      <c r="P153" s="198">
        <v>5.5691619042795827E-2</v>
      </c>
      <c r="Q153" s="198">
        <v>5.1879311786477984E-2</v>
      </c>
      <c r="R153" s="198">
        <v>2.9782543248142328E-2</v>
      </c>
      <c r="S153" s="198">
        <v>2.392398709073916E-2</v>
      </c>
      <c r="T153" s="198">
        <v>1.8558016072457759E-2</v>
      </c>
      <c r="U153" s="198">
        <v>1.9365144887772291E-2</v>
      </c>
      <c r="V153" s="198">
        <v>2.8186607765176785E-2</v>
      </c>
      <c r="W153" s="198">
        <v>3.5611566429258966E-2</v>
      </c>
      <c r="X153" s="198">
        <v>5.8096250097027395E-2</v>
      </c>
      <c r="Y153" s="198">
        <v>6.7277019051416767E-2</v>
      </c>
      <c r="Z153" s="198">
        <v>7.9250971819555718E-2</v>
      </c>
      <c r="AA153" s="198"/>
      <c r="AB153" s="198">
        <v>0.12485430189470022</v>
      </c>
      <c r="AC153" s="198">
        <v>0.10830064492675807</v>
      </c>
      <c r="AD153" s="198">
        <v>0.10917876822536908</v>
      </c>
      <c r="AE153" s="198">
        <v>0.10396548044499808</v>
      </c>
      <c r="AF153" s="198">
        <v>9.5757499639331944E-2</v>
      </c>
      <c r="AG153" s="198">
        <v>8.7004582141844825E-2</v>
      </c>
      <c r="AH153" s="198">
        <v>9.5006758876211295E-2</v>
      </c>
      <c r="AI153" s="198">
        <v>0.10258863349239815</v>
      </c>
      <c r="AJ153" s="198">
        <v>0.11057997039932753</v>
      </c>
      <c r="AK153" s="198">
        <v>0.11412479394631568</v>
      </c>
      <c r="AL153" s="198">
        <v>0.11963465586363657</v>
      </c>
      <c r="AM153" s="45">
        <v>0.12537023800338182</v>
      </c>
      <c r="AN153" s="45"/>
      <c r="AO153" s="45"/>
      <c r="AP153" s="45"/>
      <c r="AQ153" s="45"/>
      <c r="AR153" s="45"/>
      <c r="AS153" s="45"/>
      <c r="AT153" s="45"/>
      <c r="AU153" s="45"/>
      <c r="AV153" s="45"/>
      <c r="AW153" s="45"/>
      <c r="AX153" s="45"/>
      <c r="AY153" s="45"/>
      <c r="AZ153" s="45"/>
      <c r="BA153" s="45"/>
      <c r="BB153" s="45"/>
      <c r="BC153" s="45"/>
      <c r="BD153" s="45"/>
      <c r="BE153" s="45"/>
      <c r="BF153" s="45"/>
      <c r="BG153" s="45"/>
      <c r="BH153" s="45"/>
      <c r="BI153" s="45"/>
      <c r="BJ153" s="45"/>
      <c r="BK153" s="45"/>
      <c r="BL153" s="45"/>
      <c r="BM153" s="45"/>
      <c r="BN153" s="45"/>
      <c r="BO153" s="45"/>
      <c r="BP153" s="45"/>
      <c r="BQ153" s="45"/>
      <c r="BR153" s="45"/>
      <c r="BS153" s="45"/>
      <c r="BT153" s="45"/>
      <c r="BU153" s="45"/>
      <c r="BV153" s="45"/>
      <c r="BW153" s="45"/>
      <c r="BX153" s="45"/>
      <c r="BY153" s="45"/>
      <c r="BZ153" s="45"/>
      <c r="CA153" s="45"/>
      <c r="CB153" s="45"/>
      <c r="CC153" s="45"/>
      <c r="CD153" s="45"/>
      <c r="CE153" s="45"/>
      <c r="CF153" s="45"/>
      <c r="CG153" s="45"/>
      <c r="CH153" s="45"/>
      <c r="CI153" s="45"/>
      <c r="CJ153" s="45"/>
      <c r="CK153" s="45"/>
      <c r="CL153" s="45"/>
      <c r="CM153" s="45"/>
      <c r="CN153" s="45"/>
      <c r="CO153" s="45"/>
      <c r="CP153" s="45"/>
      <c r="CQ153" s="45"/>
      <c r="CR153" s="45"/>
      <c r="CS153" s="45"/>
      <c r="CT153" s="45"/>
      <c r="CU153" s="45"/>
      <c r="CV153" s="45"/>
      <c r="CW153" s="45"/>
      <c r="CX153" s="24"/>
      <c r="CY153" s="24"/>
      <c r="CZ153" s="24"/>
      <c r="DA153" s="24"/>
      <c r="DB153" s="24"/>
      <c r="DC153" s="24"/>
      <c r="DD153" s="24"/>
      <c r="DE153" s="24"/>
      <c r="DF153" s="24"/>
      <c r="DG153" s="24"/>
      <c r="DH153" s="24"/>
      <c r="DI153" s="24"/>
      <c r="DJ153" s="24"/>
      <c r="DK153" s="24"/>
      <c r="DL153" s="24"/>
      <c r="DM153" s="24"/>
      <c r="DN153" s="24"/>
      <c r="DO153" s="24"/>
      <c r="DP153" s="24"/>
      <c r="DQ153" s="24"/>
      <c r="DR153" s="24"/>
      <c r="DS153" s="24"/>
      <c r="DT153" s="24"/>
      <c r="DU153" s="24"/>
      <c r="DV153" s="24"/>
      <c r="DW153" s="24"/>
      <c r="DX153" s="24"/>
      <c r="DY153" s="24"/>
      <c r="DZ153" s="24"/>
      <c r="EA153" s="24"/>
    </row>
    <row r="154" spans="1:131">
      <c r="A154" s="24" t="s">
        <v>420</v>
      </c>
      <c r="B154" s="24"/>
      <c r="C154" s="198">
        <v>2.4778634129914572</v>
      </c>
      <c r="D154" s="198">
        <v>0.13553311531055059</v>
      </c>
      <c r="E154" s="198">
        <v>2.7106623062110119E-2</v>
      </c>
      <c r="F154" s="198">
        <v>0.16263973837266071</v>
      </c>
      <c r="G154" s="198">
        <v>-0.92626173971967207</v>
      </c>
      <c r="H154" s="198">
        <v>1.633939784952835</v>
      </c>
      <c r="I154" s="198">
        <v>574.98088904927863</v>
      </c>
      <c r="J154" s="198">
        <v>-9.7902216838547282</v>
      </c>
      <c r="K154" s="198">
        <v>-40.758354707123942</v>
      </c>
      <c r="L154" s="199">
        <v>7.6069605392943602</v>
      </c>
      <c r="M154" s="198">
        <v>2.3539764790020557E-2</v>
      </c>
      <c r="N154" s="198">
        <v>5.7836987152376843E-4</v>
      </c>
      <c r="O154" s="198">
        <v>0.10148700676622992</v>
      </c>
      <c r="P154" s="198">
        <v>7.5025537076805357E-2</v>
      </c>
      <c r="Q154" s="198">
        <v>6.9889748167755006E-2</v>
      </c>
      <c r="R154" s="198">
        <v>4.0121859287086149E-2</v>
      </c>
      <c r="S154" s="198">
        <v>3.2229445136475167E-2</v>
      </c>
      <c r="T154" s="198">
        <v>2.5000622119572553E-2</v>
      </c>
      <c r="U154" s="198">
        <v>2.6087954000023093E-2</v>
      </c>
      <c r="V154" s="198">
        <v>3.7971878395752924E-2</v>
      </c>
      <c r="W154" s="198">
        <v>4.7974487785107808E-2</v>
      </c>
      <c r="X154" s="198">
        <v>7.8264960519974683E-2</v>
      </c>
      <c r="Y154" s="198">
        <v>9.063292779080992E-2</v>
      </c>
      <c r="Z154" s="198">
        <v>0.10676376134893639</v>
      </c>
      <c r="AA154" s="198"/>
      <c r="AB154" s="198">
        <v>0.16819875624016742</v>
      </c>
      <c r="AC154" s="198">
        <v>0.14589832709209946</v>
      </c>
      <c r="AD154" s="198">
        <v>0.1470812999205123</v>
      </c>
      <c r="AE154" s="198">
        <v>0.14005816569707161</v>
      </c>
      <c r="AF154" s="198">
        <v>0.12900069998058744</v>
      </c>
      <c r="AG154" s="198">
        <v>0.11720911719802715</v>
      </c>
      <c r="AH154" s="198">
        <v>0.1279893318442922</v>
      </c>
      <c r="AI154" s="198">
        <v>0.13820333217154609</v>
      </c>
      <c r="AJ154" s="198">
        <v>0.148968943832851</v>
      </c>
      <c r="AK154" s="198">
        <v>0.15374438931327281</v>
      </c>
      <c r="AL154" s="198">
        <v>0.16116705643394633</v>
      </c>
      <c r="AM154" s="45">
        <v>0.16889380487255518</v>
      </c>
      <c r="AN154" s="45"/>
      <c r="AO154" s="45"/>
      <c r="AP154" s="45"/>
      <c r="AQ154" s="45"/>
      <c r="AR154" s="45"/>
      <c r="AS154" s="45"/>
      <c r="AT154" s="45"/>
      <c r="AU154" s="45"/>
      <c r="AV154" s="45"/>
      <c r="AW154" s="45"/>
      <c r="AX154" s="45"/>
      <c r="AY154" s="45"/>
      <c r="AZ154" s="45"/>
      <c r="BA154" s="45"/>
      <c r="BB154" s="45"/>
      <c r="BC154" s="45"/>
      <c r="BD154" s="45"/>
      <c r="BE154" s="45"/>
      <c r="BF154" s="45"/>
      <c r="BG154" s="45"/>
      <c r="BH154" s="45"/>
      <c r="BI154" s="45"/>
      <c r="BJ154" s="45"/>
      <c r="BK154" s="45"/>
      <c r="BL154" s="45"/>
      <c r="BM154" s="45"/>
      <c r="BN154" s="45"/>
      <c r="BO154" s="45"/>
      <c r="BP154" s="45"/>
      <c r="BQ154" s="45"/>
      <c r="BR154" s="45"/>
      <c r="BS154" s="45"/>
      <c r="BT154" s="45"/>
      <c r="BU154" s="45"/>
      <c r="BV154" s="45"/>
      <c r="BW154" s="45"/>
      <c r="BX154" s="45"/>
      <c r="BY154" s="45"/>
      <c r="BZ154" s="45"/>
      <c r="CA154" s="45"/>
      <c r="CB154" s="45"/>
      <c r="CC154" s="45"/>
      <c r="CD154" s="45"/>
      <c r="CE154" s="45"/>
      <c r="CF154" s="45"/>
      <c r="CG154" s="45"/>
      <c r="CH154" s="45"/>
      <c r="CI154" s="45"/>
      <c r="CJ154" s="45"/>
      <c r="CK154" s="45"/>
      <c r="CL154" s="45"/>
      <c r="CM154" s="45"/>
      <c r="CN154" s="45"/>
      <c r="CO154" s="45"/>
      <c r="CP154" s="45"/>
      <c r="CQ154" s="45"/>
      <c r="CR154" s="45"/>
      <c r="CS154" s="45"/>
      <c r="CT154" s="45"/>
      <c r="CU154" s="45"/>
      <c r="CV154" s="45"/>
      <c r="CW154" s="45"/>
      <c r="CX154" s="24"/>
      <c r="CY154" s="24"/>
      <c r="CZ154" s="24"/>
      <c r="DA154" s="24"/>
      <c r="DB154" s="24"/>
      <c r="DC154" s="24"/>
      <c r="DD154" s="24"/>
      <c r="DE154" s="24"/>
      <c r="DF154" s="24"/>
      <c r="DG154" s="24"/>
      <c r="DH154" s="24"/>
      <c r="DI154" s="24"/>
      <c r="DJ154" s="24"/>
      <c r="DK154" s="24"/>
      <c r="DL154" s="24"/>
      <c r="DM154" s="24"/>
      <c r="DN154" s="24"/>
      <c r="DO154" s="24"/>
      <c r="DP154" s="24"/>
      <c r="DQ154" s="24"/>
      <c r="DR154" s="24"/>
      <c r="DS154" s="24"/>
      <c r="DT154" s="24"/>
      <c r="DU154" s="24"/>
      <c r="DV154" s="24"/>
      <c r="DW154" s="24"/>
      <c r="DX154" s="24"/>
      <c r="DY154" s="24"/>
      <c r="DZ154" s="24"/>
      <c r="EA154" s="24"/>
    </row>
    <row r="155" spans="1:131">
      <c r="A155" s="24" t="s">
        <v>421</v>
      </c>
      <c r="B155" s="24"/>
      <c r="C155" s="198">
        <v>2.4778634129914572</v>
      </c>
      <c r="D155" s="198">
        <v>0.13553311531055059</v>
      </c>
      <c r="E155" s="198">
        <v>2.7106623062110119E-2</v>
      </c>
      <c r="F155" s="198">
        <v>0.16263973837266071</v>
      </c>
      <c r="G155" s="198">
        <v>-0.92626173971967207</v>
      </c>
      <c r="H155" s="198">
        <v>1.633939784952835</v>
      </c>
      <c r="I155" s="198">
        <v>574.98088904927863</v>
      </c>
      <c r="J155" s="198">
        <v>-9.7902216838547282</v>
      </c>
      <c r="K155" s="198">
        <v>-40.758354707123942</v>
      </c>
      <c r="L155" s="199">
        <v>7.6069605392943602</v>
      </c>
      <c r="M155" s="198">
        <v>2.3539764790020557E-2</v>
      </c>
      <c r="N155" s="198">
        <v>5.7836987152376843E-4</v>
      </c>
      <c r="O155" s="198">
        <v>0.10148700676622992</v>
      </c>
      <c r="P155" s="198">
        <v>7.5025537076805357E-2</v>
      </c>
      <c r="Q155" s="198">
        <v>6.9889748167755006E-2</v>
      </c>
      <c r="R155" s="198">
        <v>4.0121859287086149E-2</v>
      </c>
      <c r="S155" s="198">
        <v>3.2229445136475167E-2</v>
      </c>
      <c r="T155" s="198">
        <v>2.5000622119572553E-2</v>
      </c>
      <c r="U155" s="198">
        <v>2.6087954000023093E-2</v>
      </c>
      <c r="V155" s="198">
        <v>3.7971878395752924E-2</v>
      </c>
      <c r="W155" s="198">
        <v>4.7974487785107808E-2</v>
      </c>
      <c r="X155" s="198">
        <v>7.8264960519974683E-2</v>
      </c>
      <c r="Y155" s="198">
        <v>9.063292779080992E-2</v>
      </c>
      <c r="Z155" s="198">
        <v>0.10676376134893639</v>
      </c>
      <c r="AA155" s="198"/>
      <c r="AB155" s="198">
        <v>0.16819875624016742</v>
      </c>
      <c r="AC155" s="198">
        <v>0.14589832709209946</v>
      </c>
      <c r="AD155" s="198">
        <v>0.1470812999205123</v>
      </c>
      <c r="AE155" s="198">
        <v>0.14005816569707161</v>
      </c>
      <c r="AF155" s="198">
        <v>0.12900069998058744</v>
      </c>
      <c r="AG155" s="198">
        <v>0.11720911719802715</v>
      </c>
      <c r="AH155" s="198">
        <v>0.1279893318442922</v>
      </c>
      <c r="AI155" s="198">
        <v>0.13820333217154609</v>
      </c>
      <c r="AJ155" s="198">
        <v>0.148968943832851</v>
      </c>
      <c r="AK155" s="198">
        <v>0.15374438931327281</v>
      </c>
      <c r="AL155" s="198">
        <v>0.16116705643394633</v>
      </c>
      <c r="AM155" s="45">
        <v>0.16889380487255518</v>
      </c>
      <c r="AN155" s="45"/>
      <c r="AO155" s="45"/>
      <c r="AP155" s="45"/>
      <c r="AQ155" s="45"/>
      <c r="AR155" s="45"/>
      <c r="AS155" s="45"/>
      <c r="AT155" s="45"/>
      <c r="AU155" s="45"/>
      <c r="AV155" s="45"/>
      <c r="AW155" s="45"/>
      <c r="AX155" s="45"/>
      <c r="AY155" s="45"/>
      <c r="AZ155" s="45"/>
      <c r="BA155" s="45"/>
      <c r="BB155" s="45"/>
      <c r="BC155" s="45"/>
      <c r="BD155" s="45"/>
      <c r="BE155" s="45"/>
      <c r="BF155" s="45"/>
      <c r="BG155" s="45"/>
      <c r="BH155" s="45"/>
      <c r="BI155" s="45"/>
      <c r="BJ155" s="45"/>
      <c r="BK155" s="45"/>
      <c r="BL155" s="45"/>
      <c r="BM155" s="45"/>
      <c r="BN155" s="45"/>
      <c r="BO155" s="45"/>
      <c r="BP155" s="45"/>
      <c r="BQ155" s="45"/>
      <c r="BR155" s="45"/>
      <c r="BS155" s="45"/>
      <c r="BT155" s="45"/>
      <c r="BU155" s="45"/>
      <c r="BV155" s="45"/>
      <c r="BW155" s="45"/>
      <c r="BX155" s="45"/>
      <c r="BY155" s="45"/>
      <c r="BZ155" s="45"/>
      <c r="CA155" s="45"/>
      <c r="CB155" s="45"/>
      <c r="CC155" s="45"/>
      <c r="CD155" s="45"/>
      <c r="CE155" s="45"/>
      <c r="CF155" s="45"/>
      <c r="CG155" s="45"/>
      <c r="CH155" s="45"/>
      <c r="CI155" s="45"/>
      <c r="CJ155" s="45"/>
      <c r="CK155" s="45"/>
      <c r="CL155" s="45"/>
      <c r="CM155" s="45"/>
      <c r="CN155" s="45"/>
      <c r="CO155" s="45"/>
      <c r="CP155" s="45"/>
      <c r="CQ155" s="45"/>
      <c r="CR155" s="45"/>
      <c r="CS155" s="45"/>
      <c r="CT155" s="45"/>
      <c r="CU155" s="45"/>
      <c r="CV155" s="45"/>
      <c r="CW155" s="45"/>
      <c r="CX155" s="24"/>
      <c r="CY155" s="24"/>
      <c r="CZ155" s="24"/>
      <c r="DA155" s="24"/>
      <c r="DB155" s="24"/>
      <c r="DC155" s="24"/>
      <c r="DD155" s="24"/>
      <c r="DE155" s="24"/>
      <c r="DF155" s="24"/>
      <c r="DG155" s="24"/>
      <c r="DH155" s="24"/>
      <c r="DI155" s="24"/>
      <c r="DJ155" s="24"/>
      <c r="DK155" s="24"/>
      <c r="DL155" s="24"/>
      <c r="DM155" s="24"/>
      <c r="DN155" s="24"/>
      <c r="DO155" s="24"/>
      <c r="DP155" s="24"/>
      <c r="DQ155" s="24"/>
      <c r="DR155" s="24"/>
      <c r="DS155" s="24"/>
      <c r="DT155" s="24"/>
      <c r="DU155" s="24"/>
      <c r="DV155" s="24"/>
      <c r="DW155" s="24"/>
      <c r="DX155" s="24"/>
      <c r="DY155" s="24"/>
      <c r="DZ155" s="24"/>
      <c r="EA155" s="24"/>
    </row>
    <row r="156" spans="1:131">
      <c r="A156" s="24" t="s">
        <v>423</v>
      </c>
      <c r="B156" s="24"/>
      <c r="C156" s="198">
        <v>55.109130131336691</v>
      </c>
      <c r="D156" s="198">
        <v>5.3072521232113603</v>
      </c>
      <c r="E156" s="198">
        <v>1.061450424642272</v>
      </c>
      <c r="F156" s="198">
        <v>6.3687025478536325</v>
      </c>
      <c r="G156" s="198">
        <v>7.383720228275469</v>
      </c>
      <c r="H156" s="198">
        <v>36.339775535498632</v>
      </c>
      <c r="I156" s="198">
        <v>1012.3519312723475</v>
      </c>
      <c r="J156" s="198">
        <v>-7.1566326291843181</v>
      </c>
      <c r="K156" s="198">
        <v>-3.3936670549990122</v>
      </c>
      <c r="L156" s="199">
        <v>3.9720955455112072</v>
      </c>
      <c r="M156" s="198">
        <v>0.52353812331736238</v>
      </c>
      <c r="N156" s="198">
        <v>1.2863283886728799E-2</v>
      </c>
      <c r="O156" s="198">
        <v>2.2571303297819401</v>
      </c>
      <c r="P156" s="198">
        <v>1.6686117823369091</v>
      </c>
      <c r="Q156" s="198">
        <v>1.554388836135755</v>
      </c>
      <c r="R156" s="198">
        <v>0.89233359392228662</v>
      </c>
      <c r="S156" s="198">
        <v>0.71680169164066421</v>
      </c>
      <c r="T156" s="198">
        <v>0.55602844391191164</v>
      </c>
      <c r="U156" s="198">
        <v>0.58021134026589494</v>
      </c>
      <c r="V156" s="198">
        <v>0.84451676265581743</v>
      </c>
      <c r="W156" s="198">
        <v>1.0669806400433919</v>
      </c>
      <c r="X156" s="198">
        <v>1.740658452522251</v>
      </c>
      <c r="Y156" s="198">
        <v>2.0157292712828823</v>
      </c>
      <c r="Z156" s="198">
        <v>2.374488434932065</v>
      </c>
      <c r="AA156" s="198"/>
      <c r="AB156" s="198">
        <v>3.740838618048687</v>
      </c>
      <c r="AC156" s="198">
        <v>3.2448640435575755</v>
      </c>
      <c r="AD156" s="198">
        <v>3.2711740504776636</v>
      </c>
      <c r="AE156" s="198">
        <v>3.1149754417003637</v>
      </c>
      <c r="AF156" s="198">
        <v>2.8690509432402784</v>
      </c>
      <c r="AG156" s="198">
        <v>2.6067992522828543</v>
      </c>
      <c r="AH156" s="198">
        <v>2.8465575249422561</v>
      </c>
      <c r="AI156" s="198">
        <v>3.0737228603053524</v>
      </c>
      <c r="AJ156" s="198">
        <v>3.3131563540466531</v>
      </c>
      <c r="AK156" s="198">
        <v>3.4193650518448702</v>
      </c>
      <c r="AL156" s="198">
        <v>3.584449505705444</v>
      </c>
      <c r="AM156" s="45">
        <v>3.7562969057529396</v>
      </c>
      <c r="AN156" s="45"/>
      <c r="AO156" s="45"/>
      <c r="AP156" s="45"/>
      <c r="AQ156" s="45"/>
      <c r="AR156" s="45"/>
      <c r="AS156" s="45"/>
      <c r="AT156" s="45"/>
      <c r="AU156" s="45"/>
      <c r="AV156" s="45"/>
      <c r="AW156" s="45"/>
      <c r="AX156" s="45"/>
      <c r="AY156" s="45"/>
      <c r="AZ156" s="45"/>
      <c r="BA156" s="45"/>
      <c r="BB156" s="45"/>
      <c r="BC156" s="45"/>
      <c r="BD156" s="45"/>
      <c r="BE156" s="45"/>
      <c r="BF156" s="45"/>
      <c r="BG156" s="45"/>
      <c r="BH156" s="45"/>
      <c r="BI156" s="45"/>
      <c r="BJ156" s="45"/>
      <c r="BK156" s="45"/>
      <c r="BL156" s="45"/>
      <c r="BM156" s="45"/>
      <c r="BN156" s="45"/>
      <c r="BO156" s="45"/>
      <c r="BP156" s="45"/>
      <c r="BQ156" s="45"/>
      <c r="BR156" s="45"/>
      <c r="BS156" s="45"/>
      <c r="BT156" s="45"/>
      <c r="BU156" s="45"/>
      <c r="BV156" s="45"/>
      <c r="BW156" s="45"/>
      <c r="BX156" s="45"/>
      <c r="BY156" s="45"/>
      <c r="BZ156" s="45"/>
      <c r="CA156" s="45"/>
      <c r="CB156" s="45"/>
      <c r="CC156" s="45"/>
      <c r="CD156" s="45"/>
      <c r="CE156" s="45"/>
      <c r="CF156" s="45"/>
      <c r="CG156" s="45"/>
      <c r="CH156" s="45"/>
      <c r="CI156" s="45"/>
      <c r="CJ156" s="45"/>
      <c r="CK156" s="45"/>
      <c r="CL156" s="45"/>
      <c r="CM156" s="45"/>
      <c r="CN156" s="45"/>
      <c r="CO156" s="45"/>
      <c r="CP156" s="45"/>
      <c r="CQ156" s="45"/>
      <c r="CR156" s="45"/>
      <c r="CS156" s="45"/>
      <c r="CT156" s="45"/>
      <c r="CU156" s="45"/>
      <c r="CV156" s="45"/>
      <c r="CW156" s="45"/>
      <c r="CX156" s="24"/>
      <c r="CY156" s="24"/>
      <c r="CZ156" s="24"/>
      <c r="DA156" s="24"/>
      <c r="DB156" s="24"/>
      <c r="DC156" s="24"/>
      <c r="DD156" s="24"/>
      <c r="DE156" s="24"/>
      <c r="DF156" s="24"/>
      <c r="DG156" s="24"/>
      <c r="DH156" s="24"/>
      <c r="DI156" s="24"/>
      <c r="DJ156" s="24"/>
      <c r="DK156" s="24"/>
      <c r="DL156" s="24"/>
      <c r="DM156" s="24"/>
      <c r="DN156" s="24"/>
      <c r="DO156" s="24"/>
      <c r="DP156" s="24"/>
      <c r="DQ156" s="24"/>
      <c r="DR156" s="24"/>
      <c r="DS156" s="24"/>
      <c r="DT156" s="24"/>
      <c r="DU156" s="24"/>
      <c r="DV156" s="24"/>
      <c r="DW156" s="24"/>
      <c r="DX156" s="24"/>
      <c r="DY156" s="24"/>
      <c r="DZ156" s="24"/>
      <c r="EA156" s="24"/>
    </row>
    <row r="157" spans="1:131">
      <c r="A157" s="24" t="s">
        <v>413</v>
      </c>
      <c r="B157" s="24"/>
      <c r="C157" s="198">
        <v>139.58339165168746</v>
      </c>
      <c r="D157" s="198">
        <v>14.537319798098604</v>
      </c>
      <c r="E157" s="198">
        <v>2.9074639596197209</v>
      </c>
      <c r="F157" s="198">
        <v>17.444783757718326</v>
      </c>
      <c r="G157" s="198">
        <v>21.101671210578026</v>
      </c>
      <c r="H157" s="198">
        <v>92.043353052701903</v>
      </c>
      <c r="I157" s="198">
        <v>1094.8029268334883</v>
      </c>
      <c r="J157" s="198">
        <v>-6.6601616274627435</v>
      </c>
      <c r="K157" s="198">
        <v>-2.1286144119562276</v>
      </c>
      <c r="L157" s="199">
        <v>3.6583381548019998</v>
      </c>
      <c r="M157" s="198">
        <v>1.3260457339362539</v>
      </c>
      <c r="N157" s="198">
        <v>3.2580822604331608E-2</v>
      </c>
      <c r="O157" s="198">
        <v>5.7169820332856913</v>
      </c>
      <c r="P157" s="198">
        <v>4.2263503592504215</v>
      </c>
      <c r="Q157" s="198">
        <v>3.9370402903524311</v>
      </c>
      <c r="R157" s="198">
        <v>2.2601508901986227</v>
      </c>
      <c r="S157" s="198">
        <v>1.8155541744611476</v>
      </c>
      <c r="T157" s="198">
        <v>1.4083389788782386</v>
      </c>
      <c r="U157" s="198">
        <v>1.4695907294503421</v>
      </c>
      <c r="V157" s="198">
        <v>2.139037828346555</v>
      </c>
      <c r="W157" s="198">
        <v>2.7025063942944967</v>
      </c>
      <c r="X157" s="198">
        <v>4.4088340703471802</v>
      </c>
      <c r="Y157" s="198">
        <v>5.1055483486439233</v>
      </c>
      <c r="Z157" s="198">
        <v>6.0142330026918467</v>
      </c>
      <c r="AA157" s="198"/>
      <c r="AB157" s="198">
        <v>9.4749988011865209</v>
      </c>
      <c r="AC157" s="198">
        <v>8.2187675176318251</v>
      </c>
      <c r="AD157" s="198">
        <v>8.2854069291328436</v>
      </c>
      <c r="AE157" s="198">
        <v>7.8897786270266392</v>
      </c>
      <c r="AF157" s="198">
        <v>7.2668877284860445</v>
      </c>
      <c r="AG157" s="198">
        <v>6.6026424318720771</v>
      </c>
      <c r="AH157" s="198">
        <v>7.2099151795019552</v>
      </c>
      <c r="AI157" s="198">
        <v>7.7852918530242183</v>
      </c>
      <c r="AJ157" s="198">
        <v>8.3917419830076643</v>
      </c>
      <c r="AK157" s="198">
        <v>8.6607531291871318</v>
      </c>
      <c r="AL157" s="198">
        <v>9.07888798132341</v>
      </c>
      <c r="AM157" s="45">
        <v>9.5141523901062683</v>
      </c>
      <c r="AN157" s="45"/>
      <c r="AO157" s="45"/>
      <c r="AP157" s="45"/>
      <c r="AQ157" s="45"/>
      <c r="AR157" s="45"/>
      <c r="AS157" s="45"/>
      <c r="AT157" s="45"/>
      <c r="AU157" s="45"/>
      <c r="AV157" s="45"/>
      <c r="AW157" s="45"/>
      <c r="AX157" s="45"/>
      <c r="AY157" s="45"/>
      <c r="AZ157" s="45"/>
      <c r="BA157" s="45"/>
      <c r="BB157" s="45"/>
      <c r="BC157" s="45"/>
      <c r="BD157" s="45"/>
      <c r="BE157" s="45"/>
      <c r="BF157" s="45"/>
      <c r="BG157" s="45"/>
      <c r="BH157" s="45"/>
      <c r="BI157" s="45"/>
      <c r="BJ157" s="45"/>
      <c r="BK157" s="45"/>
      <c r="BL157" s="45"/>
      <c r="BM157" s="45"/>
      <c r="BN157" s="45"/>
      <c r="BO157" s="45"/>
      <c r="BP157" s="45"/>
      <c r="BQ157" s="45"/>
      <c r="BR157" s="45"/>
      <c r="BS157" s="45"/>
      <c r="BT157" s="45"/>
      <c r="BU157" s="45"/>
      <c r="BV157" s="45"/>
      <c r="BW157" s="45"/>
      <c r="BX157" s="45"/>
      <c r="BY157" s="45"/>
      <c r="BZ157" s="45"/>
      <c r="CA157" s="45"/>
      <c r="CB157" s="45"/>
      <c r="CC157" s="45"/>
      <c r="CD157" s="45"/>
      <c r="CE157" s="45"/>
      <c r="CF157" s="45"/>
      <c r="CG157" s="45"/>
      <c r="CH157" s="45"/>
      <c r="CI157" s="45"/>
      <c r="CJ157" s="45"/>
      <c r="CK157" s="45"/>
      <c r="CL157" s="45"/>
      <c r="CM157" s="45"/>
      <c r="CN157" s="45"/>
      <c r="CO157" s="45"/>
      <c r="CP157" s="45"/>
      <c r="CQ157" s="45"/>
      <c r="CR157" s="45"/>
      <c r="CS157" s="45"/>
      <c r="CT157" s="45"/>
      <c r="CU157" s="45"/>
      <c r="CV157" s="45"/>
      <c r="CW157" s="45"/>
      <c r="CX157" s="24"/>
      <c r="CY157" s="24"/>
      <c r="CZ157" s="24"/>
      <c r="DA157" s="24"/>
      <c r="DB157" s="24"/>
      <c r="DC157" s="24"/>
      <c r="DD157" s="24"/>
      <c r="DE157" s="24"/>
      <c r="DF157" s="24"/>
      <c r="DG157" s="24"/>
      <c r="DH157" s="24"/>
      <c r="DI157" s="24"/>
      <c r="DJ157" s="24"/>
      <c r="DK157" s="24"/>
      <c r="DL157" s="24"/>
      <c r="DM157" s="24"/>
      <c r="DN157" s="24"/>
      <c r="DO157" s="24"/>
      <c r="DP157" s="24"/>
      <c r="DQ157" s="24"/>
      <c r="DR157" s="24"/>
      <c r="DS157" s="24"/>
      <c r="DT157" s="24"/>
      <c r="DU157" s="24"/>
      <c r="DV157" s="24"/>
      <c r="DW157" s="24"/>
      <c r="DX157" s="24"/>
      <c r="DY157" s="24"/>
      <c r="DZ157" s="24"/>
      <c r="EA157" s="24"/>
    </row>
    <row r="158" spans="1:131">
      <c r="A158" s="24" t="s">
        <v>425</v>
      </c>
      <c r="B158" s="24"/>
      <c r="C158" s="198">
        <v>30.963239695039977</v>
      </c>
      <c r="D158" s="198">
        <v>5.9720678877064044</v>
      </c>
      <c r="E158" s="198">
        <v>1.194413577541281</v>
      </c>
      <c r="F158" s="198">
        <v>7.1664814652476849</v>
      </c>
      <c r="G158" s="198">
        <v>6.7288032786674723</v>
      </c>
      <c r="H158" s="198">
        <v>20.41761823654285</v>
      </c>
      <c r="I158" s="198">
        <v>2027.5132141817264</v>
      </c>
      <c r="J158" s="198">
        <v>-1.0439333754652038</v>
      </c>
      <c r="K158" s="198">
        <v>2.7380662328742003</v>
      </c>
      <c r="L158" s="199">
        <v>2.5839820045269772</v>
      </c>
      <c r="M158" s="198">
        <v>0.29415155643237295</v>
      </c>
      <c r="N158" s="198">
        <v>7.2272768831756675E-3</v>
      </c>
      <c r="O158" s="198">
        <v>1.2681758405081849</v>
      </c>
      <c r="P158" s="198">
        <v>0.9375148265148715</v>
      </c>
      <c r="Q158" s="198">
        <v>0.8733383016183387</v>
      </c>
      <c r="R158" s="198">
        <v>0.50136046224473518</v>
      </c>
      <c r="S158" s="198">
        <v>0.40273730576377881</v>
      </c>
      <c r="T158" s="198">
        <v>0.31240634619117003</v>
      </c>
      <c r="U158" s="198">
        <v>0.32599358327047423</v>
      </c>
      <c r="V158" s="198">
        <v>0.47449442381457907</v>
      </c>
      <c r="W158" s="198">
        <v>0.59948645948314094</v>
      </c>
      <c r="X158" s="198">
        <v>0.97799447685342278</v>
      </c>
      <c r="Y158" s="198">
        <v>1.1325438895205855</v>
      </c>
      <c r="Z158" s="198">
        <v>1.3341138644120087</v>
      </c>
      <c r="AA158" s="198"/>
      <c r="AB158" s="198">
        <v>2.1018020519478329</v>
      </c>
      <c r="AC158" s="198">
        <v>1.8231371629173796</v>
      </c>
      <c r="AD158" s="198">
        <v>1.8379195238202533</v>
      </c>
      <c r="AE158" s="198">
        <v>1.7501588396636152</v>
      </c>
      <c r="AF158" s="198">
        <v>1.6119853795753345</v>
      </c>
      <c r="AG158" s="198">
        <v>1.4646384345556578</v>
      </c>
      <c r="AH158" s="198">
        <v>1.5993473811046159</v>
      </c>
      <c r="AI158" s="198">
        <v>1.7269809458603782</v>
      </c>
      <c r="AJ158" s="198">
        <v>1.8615074143432682</v>
      </c>
      <c r="AK158" s="198">
        <v>1.9211811083352965</v>
      </c>
      <c r="AL158" s="198">
        <v>2.0139343327579615</v>
      </c>
      <c r="AM158" s="45">
        <v>2.110487339963103</v>
      </c>
      <c r="AN158" s="45"/>
      <c r="AO158" s="45"/>
      <c r="AP158" s="45"/>
      <c r="AQ158" s="45"/>
      <c r="AR158" s="45"/>
      <c r="AS158" s="45"/>
      <c r="AT158" s="45"/>
      <c r="AU158" s="45"/>
      <c r="AV158" s="45"/>
      <c r="AW158" s="45"/>
      <c r="AX158" s="45"/>
      <c r="AY158" s="45"/>
      <c r="AZ158" s="45"/>
      <c r="BA158" s="45"/>
      <c r="BB158" s="45"/>
      <c r="BC158" s="45"/>
      <c r="BD158" s="45"/>
      <c r="BE158" s="45"/>
      <c r="BF158" s="45"/>
      <c r="BG158" s="45"/>
      <c r="BH158" s="45"/>
      <c r="BI158" s="45"/>
      <c r="BJ158" s="45"/>
      <c r="BK158" s="45"/>
      <c r="BL158" s="45"/>
      <c r="BM158" s="45"/>
      <c r="BN158" s="45"/>
      <c r="BO158" s="45"/>
      <c r="BP158" s="45"/>
      <c r="BQ158" s="45"/>
      <c r="BR158" s="45"/>
      <c r="BS158" s="45"/>
      <c r="BT158" s="45"/>
      <c r="BU158" s="45"/>
      <c r="BV158" s="45"/>
      <c r="BW158" s="45"/>
      <c r="BX158" s="45"/>
      <c r="BY158" s="45"/>
      <c r="BZ158" s="45"/>
      <c r="CA158" s="45"/>
      <c r="CB158" s="45"/>
      <c r="CC158" s="45"/>
      <c r="CD158" s="45"/>
      <c r="CE158" s="45"/>
      <c r="CF158" s="45"/>
      <c r="CG158" s="45"/>
      <c r="CH158" s="45"/>
      <c r="CI158" s="45"/>
      <c r="CJ158" s="45"/>
      <c r="CK158" s="45"/>
      <c r="CL158" s="45"/>
      <c r="CM158" s="45"/>
      <c r="CN158" s="45"/>
      <c r="CO158" s="45"/>
      <c r="CP158" s="45"/>
      <c r="CQ158" s="45"/>
      <c r="CR158" s="45"/>
      <c r="CS158" s="45"/>
      <c r="CT158" s="45"/>
      <c r="CU158" s="45"/>
      <c r="CV158" s="45"/>
      <c r="CW158" s="45"/>
      <c r="CX158" s="24"/>
      <c r="CY158" s="24"/>
      <c r="CZ158" s="24"/>
      <c r="DA158" s="24"/>
      <c r="DB158" s="24"/>
      <c r="DC158" s="24"/>
      <c r="DD158" s="24"/>
      <c r="DE158" s="24"/>
      <c r="DF158" s="24"/>
      <c r="DG158" s="24"/>
      <c r="DH158" s="24"/>
      <c r="DI158" s="24"/>
      <c r="DJ158" s="24"/>
      <c r="DK158" s="24"/>
      <c r="DL158" s="24"/>
      <c r="DM158" s="24"/>
      <c r="DN158" s="24"/>
      <c r="DO158" s="24"/>
      <c r="DP158" s="24"/>
      <c r="DQ158" s="24"/>
      <c r="DR158" s="24"/>
      <c r="DS158" s="24"/>
      <c r="DT158" s="24"/>
      <c r="DU158" s="24"/>
      <c r="DV158" s="24"/>
      <c r="DW158" s="24"/>
      <c r="DX158" s="24"/>
      <c r="DY158" s="24"/>
      <c r="DZ158" s="24"/>
      <c r="EA158" s="24"/>
    </row>
    <row r="159" spans="1:131">
      <c r="A159" s="24" t="s">
        <v>424</v>
      </c>
      <c r="B159" s="24"/>
      <c r="C159" s="198">
        <v>6.702605615817987</v>
      </c>
      <c r="D159" s="198">
        <v>1.0527185054529571</v>
      </c>
      <c r="E159" s="198">
        <v>0.21054370109059142</v>
      </c>
      <c r="F159" s="198">
        <v>1.2632622065435486</v>
      </c>
      <c r="G159" s="198">
        <v>1.8064630587575683</v>
      </c>
      <c r="H159" s="198">
        <v>4.4197972822528104</v>
      </c>
      <c r="I159" s="198">
        <v>1651.0261178437197</v>
      </c>
      <c r="J159" s="198">
        <v>-3.3109154122748685</v>
      </c>
      <c r="K159" s="198">
        <v>6.5790829489429443</v>
      </c>
      <c r="L159" s="199">
        <v>2.3523085296231874</v>
      </c>
      <c r="M159" s="198">
        <v>6.3674922051553298E-2</v>
      </c>
      <c r="N159" s="198">
        <v>1.5644870207817637E-3</v>
      </c>
      <c r="O159" s="198">
        <v>0.27452174236782106</v>
      </c>
      <c r="P159" s="198">
        <v>0.20294362615155573</v>
      </c>
      <c r="Q159" s="198">
        <v>0.18905134806916599</v>
      </c>
      <c r="R159" s="198">
        <v>0.1085293878446761</v>
      </c>
      <c r="S159" s="198">
        <v>8.7180455078288421E-2</v>
      </c>
      <c r="T159" s="198">
        <v>6.7626532333874084E-2</v>
      </c>
      <c r="U159" s="198">
        <v>7.0567758524936477E-2</v>
      </c>
      <c r="V159" s="198">
        <v>0.1027137024761456</v>
      </c>
      <c r="W159" s="198">
        <v>0.12977070066031263</v>
      </c>
      <c r="X159" s="198">
        <v>0.21170624706454064</v>
      </c>
      <c r="Y159" s="198">
        <v>0.24516152407905265</v>
      </c>
      <c r="Z159" s="198">
        <v>0.2887953317488608</v>
      </c>
      <c r="AA159" s="198"/>
      <c r="AB159" s="198">
        <v>0.4549766231012321</v>
      </c>
      <c r="AC159" s="198">
        <v>0.39465409650056721</v>
      </c>
      <c r="AD159" s="198">
        <v>0.39785403088012511</v>
      </c>
      <c r="AE159" s="198">
        <v>0.37885649508381303</v>
      </c>
      <c r="AF159" s="198">
        <v>0.34894611688482025</v>
      </c>
      <c r="AG159" s="198">
        <v>0.31704995644135364</v>
      </c>
      <c r="AH159" s="198">
        <v>0.34621037216440886</v>
      </c>
      <c r="AI159" s="198">
        <v>0.37383918156305462</v>
      </c>
      <c r="AJ159" s="198">
        <v>0.4029600962997002</v>
      </c>
      <c r="AK159" s="198">
        <v>0.41587764757685697</v>
      </c>
      <c r="AL159" s="198">
        <v>0.43595591745506251</v>
      </c>
      <c r="AM159" s="45">
        <v>0.45685672546776424</v>
      </c>
      <c r="AN159" s="45"/>
      <c r="AO159" s="45"/>
      <c r="AP159" s="45"/>
      <c r="AQ159" s="45"/>
      <c r="AR159" s="45"/>
      <c r="AS159" s="45"/>
      <c r="AT159" s="45"/>
      <c r="AU159" s="45"/>
      <c r="AV159" s="45"/>
      <c r="AW159" s="45"/>
      <c r="AX159" s="45"/>
      <c r="AY159" s="45"/>
      <c r="AZ159" s="45"/>
      <c r="BA159" s="45"/>
      <c r="BB159" s="45"/>
      <c r="BC159" s="45"/>
      <c r="BD159" s="45"/>
      <c r="BE159" s="45"/>
      <c r="BF159" s="45"/>
      <c r="BG159" s="45"/>
      <c r="BH159" s="45"/>
      <c r="BI159" s="45"/>
      <c r="BJ159" s="45"/>
      <c r="BK159" s="45"/>
      <c r="BL159" s="45"/>
      <c r="BM159" s="45"/>
      <c r="BN159" s="45"/>
      <c r="BO159" s="45"/>
      <c r="BP159" s="45"/>
      <c r="BQ159" s="45"/>
      <c r="BR159" s="45"/>
      <c r="BS159" s="45"/>
      <c r="BT159" s="45"/>
      <c r="BU159" s="45"/>
      <c r="BV159" s="45"/>
      <c r="BW159" s="45"/>
      <c r="BX159" s="45"/>
      <c r="BY159" s="45"/>
      <c r="BZ159" s="45"/>
      <c r="CA159" s="45"/>
      <c r="CB159" s="45"/>
      <c r="CC159" s="45"/>
      <c r="CD159" s="45"/>
      <c r="CE159" s="45"/>
      <c r="CF159" s="45"/>
      <c r="CG159" s="45"/>
      <c r="CH159" s="45"/>
      <c r="CI159" s="45"/>
      <c r="CJ159" s="45"/>
      <c r="CK159" s="45"/>
      <c r="CL159" s="45"/>
      <c r="CM159" s="45"/>
      <c r="CN159" s="45"/>
      <c r="CO159" s="45"/>
      <c r="CP159" s="45"/>
      <c r="CQ159" s="45"/>
      <c r="CR159" s="45"/>
      <c r="CS159" s="45"/>
      <c r="CT159" s="45"/>
      <c r="CU159" s="45"/>
      <c r="CV159" s="45"/>
      <c r="CW159" s="45"/>
      <c r="CX159" s="24"/>
      <c r="CY159" s="24"/>
      <c r="CZ159" s="24"/>
      <c r="DA159" s="24"/>
      <c r="DB159" s="24"/>
      <c r="DC159" s="24"/>
      <c r="DD159" s="24"/>
      <c r="DE159" s="24"/>
      <c r="DF159" s="24"/>
      <c r="DG159" s="24"/>
      <c r="DH159" s="24"/>
      <c r="DI159" s="24"/>
      <c r="DJ159" s="24"/>
      <c r="DK159" s="24"/>
      <c r="DL159" s="24"/>
      <c r="DM159" s="24"/>
      <c r="DN159" s="24"/>
      <c r="DO159" s="24"/>
      <c r="DP159" s="24"/>
      <c r="DQ159" s="24"/>
      <c r="DR159" s="24"/>
      <c r="DS159" s="24"/>
      <c r="DT159" s="24"/>
      <c r="DU159" s="24"/>
      <c r="DV159" s="24"/>
      <c r="DW159" s="24"/>
      <c r="DX159" s="24"/>
      <c r="DY159" s="24"/>
      <c r="DZ159" s="24"/>
      <c r="EA159" s="24"/>
    </row>
    <row r="160" spans="1:131">
      <c r="A160" s="24" t="s">
        <v>426</v>
      </c>
      <c r="B160" s="24"/>
      <c r="C160" s="198">
        <v>30.963239695039977</v>
      </c>
      <c r="D160" s="198">
        <v>6.677762119662626</v>
      </c>
      <c r="E160" s="198">
        <v>1.3355524239325254</v>
      </c>
      <c r="F160" s="198">
        <v>8.0133145435951505</v>
      </c>
      <c r="G160" s="198">
        <v>7.7499953666598875</v>
      </c>
      <c r="H160" s="198">
        <v>20.41761823654285</v>
      </c>
      <c r="I160" s="198">
        <v>2267.095952919241</v>
      </c>
      <c r="J160" s="198">
        <v>0.39869180433642087</v>
      </c>
      <c r="K160" s="198">
        <v>5.1648504452596393</v>
      </c>
      <c r="L160" s="199">
        <v>2.3109113015883271</v>
      </c>
      <c r="M160" s="198">
        <v>0.29415155643237295</v>
      </c>
      <c r="N160" s="198">
        <v>7.2272768831756675E-3</v>
      </c>
      <c r="O160" s="198">
        <v>1.2681758405081849</v>
      </c>
      <c r="P160" s="198">
        <v>0.9375148265148715</v>
      </c>
      <c r="Q160" s="198">
        <v>0.8733383016183387</v>
      </c>
      <c r="R160" s="198">
        <v>0.50136046224473518</v>
      </c>
      <c r="S160" s="198">
        <v>0.40273730576377881</v>
      </c>
      <c r="T160" s="198">
        <v>0.31240634619117003</v>
      </c>
      <c r="U160" s="198">
        <v>0.32599358327047423</v>
      </c>
      <c r="V160" s="198">
        <v>0.47449442381457907</v>
      </c>
      <c r="W160" s="198">
        <v>0.59948645948314094</v>
      </c>
      <c r="X160" s="198">
        <v>0.97799447685342278</v>
      </c>
      <c r="Y160" s="198">
        <v>1.1325438895205855</v>
      </c>
      <c r="Z160" s="198">
        <v>1.3341138644120087</v>
      </c>
      <c r="AA160" s="198"/>
      <c r="AB160" s="198">
        <v>2.1018020519478329</v>
      </c>
      <c r="AC160" s="198">
        <v>1.8231371629173796</v>
      </c>
      <c r="AD160" s="198">
        <v>1.8379195238202533</v>
      </c>
      <c r="AE160" s="198">
        <v>1.7501588396636152</v>
      </c>
      <c r="AF160" s="198">
        <v>1.6119853795753345</v>
      </c>
      <c r="AG160" s="198">
        <v>1.4646384345556578</v>
      </c>
      <c r="AH160" s="198">
        <v>1.5993473811046159</v>
      </c>
      <c r="AI160" s="198">
        <v>1.7269809458603782</v>
      </c>
      <c r="AJ160" s="198">
        <v>1.8615074143432682</v>
      </c>
      <c r="AK160" s="198">
        <v>1.9211811083352965</v>
      </c>
      <c r="AL160" s="198">
        <v>2.0139343327579615</v>
      </c>
      <c r="AM160" s="45">
        <v>2.110487339963103</v>
      </c>
      <c r="AN160" s="45"/>
      <c r="AO160" s="45"/>
      <c r="AP160" s="45"/>
      <c r="AQ160" s="45"/>
      <c r="AR160" s="45"/>
      <c r="AS160" s="45"/>
      <c r="AT160" s="45"/>
      <c r="AU160" s="45"/>
      <c r="AV160" s="45"/>
      <c r="AW160" s="45"/>
      <c r="AX160" s="45"/>
      <c r="AY160" s="45"/>
      <c r="AZ160" s="45"/>
      <c r="BA160" s="45"/>
      <c r="BB160" s="45"/>
      <c r="BC160" s="45"/>
      <c r="BD160" s="45"/>
      <c r="BE160" s="45"/>
      <c r="BF160" s="45"/>
      <c r="BG160" s="45"/>
      <c r="BH160" s="45"/>
      <c r="BI160" s="45"/>
      <c r="BJ160" s="45"/>
      <c r="BK160" s="45"/>
      <c r="BL160" s="45"/>
      <c r="BM160" s="45"/>
      <c r="BN160" s="45"/>
      <c r="BO160" s="45"/>
      <c r="BP160" s="45"/>
      <c r="BQ160" s="45"/>
      <c r="BR160" s="45"/>
      <c r="BS160" s="45"/>
      <c r="BT160" s="45"/>
      <c r="BU160" s="45"/>
      <c r="BV160" s="45"/>
      <c r="BW160" s="45"/>
      <c r="BX160" s="45"/>
      <c r="BY160" s="45"/>
      <c r="BZ160" s="45"/>
      <c r="CA160" s="45"/>
      <c r="CB160" s="45"/>
      <c r="CC160" s="45"/>
      <c r="CD160" s="45"/>
      <c r="CE160" s="45"/>
      <c r="CF160" s="45"/>
      <c r="CG160" s="45"/>
      <c r="CH160" s="45"/>
      <c r="CI160" s="45"/>
      <c r="CJ160" s="45"/>
      <c r="CK160" s="45"/>
      <c r="CL160" s="45"/>
      <c r="CM160" s="45"/>
      <c r="CN160" s="45"/>
      <c r="CO160" s="45"/>
      <c r="CP160" s="45"/>
      <c r="CQ160" s="45"/>
      <c r="CR160" s="45"/>
      <c r="CS160" s="45"/>
      <c r="CT160" s="45"/>
      <c r="CU160" s="45"/>
      <c r="CV160" s="45"/>
      <c r="CW160" s="45"/>
      <c r="CX160" s="24"/>
      <c r="CY160" s="24"/>
      <c r="CZ160" s="24"/>
      <c r="DA160" s="24"/>
      <c r="DB160" s="24"/>
      <c r="DC160" s="24"/>
      <c r="DD160" s="24"/>
      <c r="DE160" s="24"/>
      <c r="DF160" s="24"/>
      <c r="DG160" s="24"/>
      <c r="DH160" s="24"/>
      <c r="DI160" s="24"/>
      <c r="DJ160" s="24"/>
      <c r="DK160" s="24"/>
      <c r="DL160" s="24"/>
      <c r="DM160" s="24"/>
      <c r="DN160" s="24"/>
      <c r="DO160" s="24"/>
      <c r="DP160" s="24"/>
      <c r="DQ160" s="24"/>
      <c r="DR160" s="24"/>
      <c r="DS160" s="24"/>
      <c r="DT160" s="24"/>
      <c r="DU160" s="24"/>
      <c r="DV160" s="24"/>
      <c r="DW160" s="24"/>
      <c r="DX160" s="24"/>
      <c r="DY160" s="24"/>
      <c r="DZ160" s="24"/>
      <c r="EA160" s="24"/>
    </row>
    <row r="161" spans="1:131">
      <c r="A161" s="24" t="s">
        <v>428</v>
      </c>
      <c r="B161" s="24"/>
      <c r="C161" s="198">
        <v>70.745011721527277</v>
      </c>
      <c r="D161" s="198">
        <v>15.900946569337281</v>
      </c>
      <c r="E161" s="198">
        <v>3.1801893138674564</v>
      </c>
      <c r="F161" s="198">
        <v>19.081135883204738</v>
      </c>
      <c r="G161" s="198">
        <v>19.959076542190065</v>
      </c>
      <c r="H161" s="198">
        <v>46.650307128594193</v>
      </c>
      <c r="I161" s="198">
        <v>2362.7213604095077</v>
      </c>
      <c r="J161" s="198">
        <v>0.9744913022517826</v>
      </c>
      <c r="K161" s="198">
        <v>7.5069814065752967</v>
      </c>
      <c r="L161" s="199">
        <v>2.0437526010154148</v>
      </c>
      <c r="M161" s="198">
        <v>0.67207939197161215</v>
      </c>
      <c r="N161" s="198">
        <v>1.6512929294568948E-2</v>
      </c>
      <c r="O161" s="198">
        <v>2.8975364201337466</v>
      </c>
      <c r="P161" s="198">
        <v>2.1420399817375948</v>
      </c>
      <c r="Q161" s="198">
        <v>1.9954090396666526</v>
      </c>
      <c r="R161" s="198">
        <v>1.145511649541501</v>
      </c>
      <c r="S161" s="198">
        <v>0.9201768192725307</v>
      </c>
      <c r="T161" s="198">
        <v>0.71378805450755978</v>
      </c>
      <c r="U161" s="198">
        <v>0.74483226228122257</v>
      </c>
      <c r="V161" s="198">
        <v>1.0841279499554122</v>
      </c>
      <c r="W161" s="198">
        <v>1.3697105671350498</v>
      </c>
      <c r="X161" s="198">
        <v>2.234528150478635</v>
      </c>
      <c r="Y161" s="198">
        <v>2.5876436551344688</v>
      </c>
      <c r="Z161" s="198">
        <v>3.0481920466093446</v>
      </c>
      <c r="AA161" s="198"/>
      <c r="AB161" s="198">
        <v>4.8022110175117945</v>
      </c>
      <c r="AC161" s="198">
        <v>4.1655156640861151</v>
      </c>
      <c r="AD161" s="198">
        <v>4.1992904985558157</v>
      </c>
      <c r="AE161" s="198">
        <v>3.9987743158016844</v>
      </c>
      <c r="AF161" s="198">
        <v>3.6830746942560983</v>
      </c>
      <c r="AG161" s="198">
        <v>3.3464154345915449</v>
      </c>
      <c r="AH161" s="198">
        <v>3.6541993130378061</v>
      </c>
      <c r="AI161" s="198">
        <v>3.9458173130803904</v>
      </c>
      <c r="AJ161" s="198">
        <v>4.2531842644528028</v>
      </c>
      <c r="AK161" s="198">
        <v>4.3895271091458001</v>
      </c>
      <c r="AL161" s="198">
        <v>4.6014502804166035</v>
      </c>
      <c r="AM161" s="45">
        <v>4.8220552201371278</v>
      </c>
      <c r="AN161" s="45"/>
      <c r="AO161" s="45"/>
      <c r="AP161" s="45"/>
      <c r="AQ161" s="45"/>
      <c r="AR161" s="45"/>
      <c r="AS161" s="45"/>
      <c r="AT161" s="45"/>
      <c r="AU161" s="45"/>
      <c r="AV161" s="45"/>
      <c r="AW161" s="45"/>
      <c r="AX161" s="45"/>
      <c r="AY161" s="45"/>
      <c r="AZ161" s="45"/>
      <c r="BA161" s="45"/>
      <c r="BB161" s="45"/>
      <c r="BC161" s="45"/>
      <c r="BD161" s="45"/>
      <c r="BE161" s="45"/>
      <c r="BF161" s="45"/>
      <c r="BG161" s="45"/>
      <c r="BH161" s="45"/>
      <c r="BI161" s="45"/>
      <c r="BJ161" s="45"/>
      <c r="BK161" s="45"/>
      <c r="BL161" s="45"/>
      <c r="BM161" s="45"/>
      <c r="BN161" s="45"/>
      <c r="BO161" s="45"/>
      <c r="BP161" s="45"/>
      <c r="BQ161" s="45"/>
      <c r="BR161" s="45"/>
      <c r="BS161" s="45"/>
      <c r="BT161" s="45"/>
      <c r="BU161" s="45"/>
      <c r="BV161" s="45"/>
      <c r="BW161" s="45"/>
      <c r="BX161" s="45"/>
      <c r="BY161" s="45"/>
      <c r="BZ161" s="45"/>
      <c r="CA161" s="45"/>
      <c r="CB161" s="45"/>
      <c r="CC161" s="45"/>
      <c r="CD161" s="45"/>
      <c r="CE161" s="45"/>
      <c r="CF161" s="45"/>
      <c r="CG161" s="45"/>
      <c r="CH161" s="45"/>
      <c r="CI161" s="45"/>
      <c r="CJ161" s="45"/>
      <c r="CK161" s="45"/>
      <c r="CL161" s="45"/>
      <c r="CM161" s="45"/>
      <c r="CN161" s="45"/>
      <c r="CO161" s="45"/>
      <c r="CP161" s="45"/>
      <c r="CQ161" s="45"/>
      <c r="CR161" s="45"/>
      <c r="CS161" s="45"/>
      <c r="CT161" s="45"/>
      <c r="CU161" s="45"/>
      <c r="CV161" s="45"/>
      <c r="CW161" s="45"/>
      <c r="CX161" s="24"/>
      <c r="CY161" s="24"/>
      <c r="CZ161" s="24"/>
      <c r="DA161" s="24"/>
      <c r="DB161" s="24"/>
      <c r="DC161" s="24"/>
      <c r="DD161" s="24"/>
      <c r="DE161" s="24"/>
      <c r="DF161" s="24"/>
      <c r="DG161" s="24"/>
      <c r="DH161" s="24"/>
      <c r="DI161" s="24"/>
      <c r="DJ161" s="24"/>
      <c r="DK161" s="24"/>
      <c r="DL161" s="24"/>
      <c r="DM161" s="24"/>
      <c r="DN161" s="24"/>
      <c r="DO161" s="24"/>
      <c r="DP161" s="24"/>
      <c r="DQ161" s="24"/>
      <c r="DR161" s="24"/>
      <c r="DS161" s="24"/>
      <c r="DT161" s="24"/>
      <c r="DU161" s="24"/>
      <c r="DV161" s="24"/>
      <c r="DW161" s="24"/>
      <c r="DX161" s="24"/>
      <c r="DY161" s="24"/>
      <c r="DZ161" s="24"/>
      <c r="EA161" s="24"/>
    </row>
    <row r="162" spans="1:131">
      <c r="A162" s="24" t="s">
        <v>430</v>
      </c>
      <c r="B162" s="24"/>
      <c r="C162" s="198">
        <v>71.761669722483219</v>
      </c>
      <c r="D162" s="198">
        <v>19.271398161973615</v>
      </c>
      <c r="E162" s="198">
        <v>3.8542796323947233</v>
      </c>
      <c r="F162" s="198">
        <v>23.125677794368336</v>
      </c>
      <c r="G162" s="198">
        <v>21.917066748380471</v>
      </c>
      <c r="H162" s="198">
        <v>47.320706451956013</v>
      </c>
      <c r="I162" s="198">
        <v>2822.9685605433624</v>
      </c>
      <c r="J162" s="198">
        <v>3.7458270142695458</v>
      </c>
      <c r="K162" s="198">
        <v>9.22053043459732</v>
      </c>
      <c r="L162" s="199">
        <v>1.9109443501490662</v>
      </c>
      <c r="M162" s="198">
        <v>0.68173766856947449</v>
      </c>
      <c r="N162" s="198">
        <v>1.6750232268701249E-2</v>
      </c>
      <c r="O162" s="198">
        <v>2.939176155754764</v>
      </c>
      <c r="P162" s="198">
        <v>2.1728226762740399</v>
      </c>
      <c r="Q162" s="198">
        <v>2.0240845394084892</v>
      </c>
      <c r="R162" s="198">
        <v>1.1619734968909476</v>
      </c>
      <c r="S162" s="198">
        <v>0.93340043890086588</v>
      </c>
      <c r="T162" s="198">
        <v>0.72404571535096118</v>
      </c>
      <c r="U162" s="198">
        <v>0.7555360512889765</v>
      </c>
      <c r="V162" s="198">
        <v>1.0997076682643248</v>
      </c>
      <c r="W162" s="198">
        <v>1.3893943183025967</v>
      </c>
      <c r="X162" s="198">
        <v>2.2666399682204657</v>
      </c>
      <c r="Y162" s="198">
        <v>2.624830003141176</v>
      </c>
      <c r="Z162" s="198">
        <v>3.0919968147085295</v>
      </c>
      <c r="AA162" s="198"/>
      <c r="AB162" s="198">
        <v>4.8712223320119579</v>
      </c>
      <c r="AC162" s="198">
        <v>4.2253771967220866</v>
      </c>
      <c r="AD162" s="198">
        <v>4.2596374004759108</v>
      </c>
      <c r="AE162" s="198">
        <v>4.0562396522720405</v>
      </c>
      <c r="AF162" s="198">
        <v>3.7360031943003547</v>
      </c>
      <c r="AG162" s="198">
        <v>3.3945058927498075</v>
      </c>
      <c r="AH162" s="198">
        <v>3.7067128525550674</v>
      </c>
      <c r="AI162" s="198">
        <v>4.0025216183598102</v>
      </c>
      <c r="AJ162" s="198">
        <v>4.3143056595416391</v>
      </c>
      <c r="AK162" s="198">
        <v>4.4526078514812788</v>
      </c>
      <c r="AL162" s="198">
        <v>4.6675765150407607</v>
      </c>
      <c r="AM162" s="45">
        <v>4.8913517104663811</v>
      </c>
      <c r="AN162" s="45"/>
      <c r="AO162" s="45"/>
      <c r="AP162" s="45"/>
      <c r="AQ162" s="45"/>
      <c r="AR162" s="45"/>
      <c r="AS162" s="45"/>
      <c r="AT162" s="45"/>
      <c r="AU162" s="45"/>
      <c r="AV162" s="45"/>
      <c r="AW162" s="45"/>
      <c r="AX162" s="45"/>
      <c r="AY162" s="45"/>
      <c r="AZ162" s="45"/>
      <c r="BA162" s="45"/>
      <c r="BB162" s="45"/>
      <c r="BC162" s="45"/>
      <c r="BD162" s="45"/>
      <c r="BE162" s="45"/>
      <c r="BF162" s="45"/>
      <c r="BG162" s="45"/>
      <c r="BH162" s="45"/>
      <c r="BI162" s="45"/>
      <c r="BJ162" s="45"/>
      <c r="BK162" s="45"/>
      <c r="BL162" s="45"/>
      <c r="BM162" s="45"/>
      <c r="BN162" s="45"/>
      <c r="BO162" s="45"/>
      <c r="BP162" s="45"/>
      <c r="BQ162" s="45"/>
      <c r="BR162" s="45"/>
      <c r="BS162" s="45"/>
      <c r="BT162" s="45"/>
      <c r="BU162" s="45"/>
      <c r="BV162" s="45"/>
      <c r="BW162" s="45"/>
      <c r="BX162" s="45"/>
      <c r="BY162" s="45"/>
      <c r="BZ162" s="45"/>
      <c r="CA162" s="45"/>
      <c r="CB162" s="45"/>
      <c r="CC162" s="45"/>
      <c r="CD162" s="45"/>
      <c r="CE162" s="45"/>
      <c r="CF162" s="45"/>
      <c r="CG162" s="45"/>
      <c r="CH162" s="45"/>
      <c r="CI162" s="45"/>
      <c r="CJ162" s="45"/>
      <c r="CK162" s="45"/>
      <c r="CL162" s="45"/>
      <c r="CM162" s="45"/>
      <c r="CN162" s="45"/>
      <c r="CO162" s="45"/>
      <c r="CP162" s="45"/>
      <c r="CQ162" s="45"/>
      <c r="CR162" s="45"/>
      <c r="CS162" s="45"/>
      <c r="CT162" s="45"/>
      <c r="CU162" s="45"/>
      <c r="CV162" s="45"/>
      <c r="CW162" s="45"/>
      <c r="CX162" s="24"/>
      <c r="CY162" s="24"/>
      <c r="CZ162" s="24"/>
      <c r="DA162" s="24"/>
      <c r="DB162" s="24"/>
      <c r="DC162" s="24"/>
      <c r="DD162" s="24"/>
      <c r="DE162" s="24"/>
      <c r="DF162" s="24"/>
      <c r="DG162" s="24"/>
      <c r="DH162" s="24"/>
      <c r="DI162" s="24"/>
      <c r="DJ162" s="24"/>
      <c r="DK162" s="24"/>
      <c r="DL162" s="24"/>
      <c r="DM162" s="24"/>
      <c r="DN162" s="24"/>
      <c r="DO162" s="24"/>
      <c r="DP162" s="24"/>
      <c r="DQ162" s="24"/>
      <c r="DR162" s="24"/>
      <c r="DS162" s="24"/>
      <c r="DT162" s="24"/>
      <c r="DU162" s="24"/>
      <c r="DV162" s="24"/>
      <c r="DW162" s="24"/>
      <c r="DX162" s="24"/>
      <c r="DY162" s="24"/>
      <c r="DZ162" s="24"/>
      <c r="EA162" s="24"/>
    </row>
    <row r="163" spans="1:131">
      <c r="A163" s="24" t="s">
        <v>429</v>
      </c>
      <c r="B163" s="24"/>
      <c r="C163" s="198">
        <v>55.109130131336691</v>
      </c>
      <c r="D163" s="198">
        <v>13.388193469372712</v>
      </c>
      <c r="E163" s="198">
        <v>2.6776386938745427</v>
      </c>
      <c r="F163" s="198">
        <v>16.065832163247254</v>
      </c>
      <c r="G163" s="198">
        <v>22.218081987351372</v>
      </c>
      <c r="H163" s="198">
        <v>36.339775535498632</v>
      </c>
      <c r="I163" s="198">
        <v>2553.7817311694216</v>
      </c>
      <c r="J163" s="198">
        <v>2.1249435559196241</v>
      </c>
      <c r="K163" s="198">
        <v>16.413183473026312</v>
      </c>
      <c r="L163" s="199">
        <v>1.5745897731264606</v>
      </c>
      <c r="M163" s="198">
        <v>0.52353812331736238</v>
      </c>
      <c r="N163" s="198">
        <v>1.2863283886728799E-2</v>
      </c>
      <c r="O163" s="198">
        <v>2.2571303297819401</v>
      </c>
      <c r="P163" s="198">
        <v>1.6686117823369091</v>
      </c>
      <c r="Q163" s="198">
        <v>1.554388836135755</v>
      </c>
      <c r="R163" s="198">
        <v>0.89233359392228662</v>
      </c>
      <c r="S163" s="198">
        <v>0.71680169164066421</v>
      </c>
      <c r="T163" s="198">
        <v>0.55602844391191164</v>
      </c>
      <c r="U163" s="198">
        <v>0.58021134026589494</v>
      </c>
      <c r="V163" s="198">
        <v>0.84451676265581743</v>
      </c>
      <c r="W163" s="198">
        <v>1.0669806400433919</v>
      </c>
      <c r="X163" s="198">
        <v>1.740658452522251</v>
      </c>
      <c r="Y163" s="198">
        <v>2.0157292712828823</v>
      </c>
      <c r="Z163" s="198">
        <v>2.374488434932065</v>
      </c>
      <c r="AA163" s="198"/>
      <c r="AB163" s="198">
        <v>3.740838618048687</v>
      </c>
      <c r="AC163" s="198">
        <v>3.2448640435575755</v>
      </c>
      <c r="AD163" s="198">
        <v>3.2711740504776636</v>
      </c>
      <c r="AE163" s="198">
        <v>3.1149754417003637</v>
      </c>
      <c r="AF163" s="198">
        <v>2.8690509432402784</v>
      </c>
      <c r="AG163" s="198">
        <v>2.6067992522828543</v>
      </c>
      <c r="AH163" s="198">
        <v>2.8465575249422561</v>
      </c>
      <c r="AI163" s="198">
        <v>3.0737228603053524</v>
      </c>
      <c r="AJ163" s="198">
        <v>3.3131563540466531</v>
      </c>
      <c r="AK163" s="198">
        <v>3.4193650518448702</v>
      </c>
      <c r="AL163" s="198">
        <v>3.584449505705444</v>
      </c>
      <c r="AM163" s="45">
        <v>3.7562969057529396</v>
      </c>
      <c r="AN163" s="45"/>
      <c r="AO163" s="45"/>
      <c r="AP163" s="45"/>
      <c r="AQ163" s="45"/>
      <c r="AR163" s="45"/>
      <c r="AS163" s="45"/>
      <c r="AT163" s="45"/>
      <c r="AU163" s="45"/>
      <c r="AV163" s="45"/>
      <c r="AW163" s="45"/>
      <c r="AX163" s="45"/>
      <c r="AY163" s="45"/>
      <c r="AZ163" s="45"/>
      <c r="BA163" s="45"/>
      <c r="BB163" s="45"/>
      <c r="BC163" s="45"/>
      <c r="BD163" s="45"/>
      <c r="BE163" s="45"/>
      <c r="BF163" s="45"/>
      <c r="BG163" s="45"/>
      <c r="BH163" s="45"/>
      <c r="BI163" s="45"/>
      <c r="BJ163" s="45"/>
      <c r="BK163" s="45"/>
      <c r="BL163" s="45"/>
      <c r="BM163" s="45"/>
      <c r="BN163" s="45"/>
      <c r="BO163" s="45"/>
      <c r="BP163" s="45"/>
      <c r="BQ163" s="45"/>
      <c r="BR163" s="45"/>
      <c r="BS163" s="45"/>
      <c r="BT163" s="45"/>
      <c r="BU163" s="45"/>
      <c r="BV163" s="45"/>
      <c r="BW163" s="45"/>
      <c r="BX163" s="45"/>
      <c r="BY163" s="45"/>
      <c r="BZ163" s="45"/>
      <c r="CA163" s="45"/>
      <c r="CB163" s="45"/>
      <c r="CC163" s="45"/>
      <c r="CD163" s="45"/>
      <c r="CE163" s="45"/>
      <c r="CF163" s="45"/>
      <c r="CG163" s="45"/>
      <c r="CH163" s="45"/>
      <c r="CI163" s="45"/>
      <c r="CJ163" s="45"/>
      <c r="CK163" s="45"/>
      <c r="CL163" s="45"/>
      <c r="CM163" s="45"/>
      <c r="CN163" s="45"/>
      <c r="CO163" s="45"/>
      <c r="CP163" s="45"/>
      <c r="CQ163" s="45"/>
      <c r="CR163" s="45"/>
      <c r="CS163" s="45"/>
      <c r="CT163" s="45"/>
      <c r="CU163" s="45"/>
      <c r="CV163" s="45"/>
      <c r="CW163" s="45"/>
      <c r="CX163" s="24"/>
      <c r="CY163" s="24"/>
      <c r="CZ163" s="24"/>
      <c r="DA163" s="24"/>
      <c r="DB163" s="24"/>
      <c r="DC163" s="24"/>
      <c r="DD163" s="24"/>
      <c r="DE163" s="24"/>
      <c r="DF163" s="24"/>
      <c r="DG163" s="24"/>
      <c r="DH163" s="24"/>
      <c r="DI163" s="24"/>
      <c r="DJ163" s="24"/>
      <c r="DK163" s="24"/>
      <c r="DL163" s="24"/>
      <c r="DM163" s="24"/>
      <c r="DN163" s="24"/>
      <c r="DO163" s="24"/>
      <c r="DP163" s="24"/>
      <c r="DQ163" s="24"/>
      <c r="DR163" s="24"/>
      <c r="DS163" s="24"/>
      <c r="DT163" s="24"/>
      <c r="DU163" s="24"/>
      <c r="DV163" s="24"/>
      <c r="DW163" s="24"/>
      <c r="DX163" s="24"/>
      <c r="DY163" s="24"/>
      <c r="DZ163" s="24"/>
      <c r="EA163" s="24"/>
    </row>
    <row r="164" spans="1:131">
      <c r="A164" s="24" t="s">
        <v>435</v>
      </c>
      <c r="B164" s="24"/>
      <c r="C164" s="198">
        <v>71.761669722483219</v>
      </c>
      <c r="D164" s="198">
        <v>23.583436394929375</v>
      </c>
      <c r="E164" s="198">
        <v>4.7166872789858756</v>
      </c>
      <c r="F164" s="198">
        <v>28.300123673915252</v>
      </c>
      <c r="G164" s="198">
        <v>28.156907074705252</v>
      </c>
      <c r="H164" s="198">
        <v>47.320706451956013</v>
      </c>
      <c r="I164" s="198">
        <v>3454.6169890167243</v>
      </c>
      <c r="J164" s="198">
        <v>7.5492392821964787</v>
      </c>
      <c r="K164" s="198">
        <v>15.618630907422441</v>
      </c>
      <c r="L164" s="199">
        <v>1.5615438234020289</v>
      </c>
      <c r="M164" s="198">
        <v>0.68173766856947449</v>
      </c>
      <c r="N164" s="198">
        <v>1.6750232268701249E-2</v>
      </c>
      <c r="O164" s="198">
        <v>2.939176155754764</v>
      </c>
      <c r="P164" s="198">
        <v>2.1728226762740399</v>
      </c>
      <c r="Q164" s="198">
        <v>2.0240845394084892</v>
      </c>
      <c r="R164" s="198">
        <v>1.1619734968909476</v>
      </c>
      <c r="S164" s="198">
        <v>0.93340043890086588</v>
      </c>
      <c r="T164" s="198">
        <v>0.72404571535096118</v>
      </c>
      <c r="U164" s="198">
        <v>0.7555360512889765</v>
      </c>
      <c r="V164" s="198">
        <v>1.0997076682643248</v>
      </c>
      <c r="W164" s="198">
        <v>1.3893943183025967</v>
      </c>
      <c r="X164" s="198">
        <v>2.2666399682204657</v>
      </c>
      <c r="Y164" s="198">
        <v>2.624830003141176</v>
      </c>
      <c r="Z164" s="198">
        <v>3.0919968147085295</v>
      </c>
      <c r="AA164" s="198"/>
      <c r="AB164" s="198">
        <v>4.8712223320119579</v>
      </c>
      <c r="AC164" s="198">
        <v>4.2253771967220866</v>
      </c>
      <c r="AD164" s="198">
        <v>4.2596374004759108</v>
      </c>
      <c r="AE164" s="198">
        <v>4.0562396522720405</v>
      </c>
      <c r="AF164" s="198">
        <v>3.7360031943003547</v>
      </c>
      <c r="AG164" s="198">
        <v>3.3945058927498075</v>
      </c>
      <c r="AH164" s="198">
        <v>3.7067128525550674</v>
      </c>
      <c r="AI164" s="198">
        <v>4.0025216183598102</v>
      </c>
      <c r="AJ164" s="198">
        <v>4.3143056595416391</v>
      </c>
      <c r="AK164" s="198">
        <v>4.4526078514812788</v>
      </c>
      <c r="AL164" s="198">
        <v>4.6675765150407607</v>
      </c>
      <c r="AM164" s="45">
        <v>4.8913517104663811</v>
      </c>
      <c r="AN164" s="45"/>
      <c r="AO164" s="45"/>
      <c r="AP164" s="45"/>
      <c r="AQ164" s="45"/>
      <c r="AR164" s="45"/>
      <c r="AS164" s="45"/>
      <c r="AT164" s="45"/>
      <c r="AU164" s="45"/>
      <c r="AV164" s="45"/>
      <c r="AW164" s="45"/>
      <c r="AX164" s="45"/>
      <c r="AY164" s="45"/>
      <c r="AZ164" s="45"/>
      <c r="BA164" s="45"/>
      <c r="BB164" s="45"/>
      <c r="BC164" s="45"/>
      <c r="BD164" s="45"/>
      <c r="BE164" s="45"/>
      <c r="BF164" s="45"/>
      <c r="BG164" s="45"/>
      <c r="BH164" s="45"/>
      <c r="BI164" s="45"/>
      <c r="BJ164" s="45"/>
      <c r="BK164" s="45"/>
      <c r="BL164" s="45"/>
      <c r="BM164" s="45"/>
      <c r="BN164" s="45"/>
      <c r="BO164" s="45"/>
      <c r="BP164" s="45"/>
      <c r="BQ164" s="45"/>
      <c r="BR164" s="45"/>
      <c r="BS164" s="45"/>
      <c r="BT164" s="45"/>
      <c r="BU164" s="45"/>
      <c r="BV164" s="45"/>
      <c r="BW164" s="45"/>
      <c r="BX164" s="45"/>
      <c r="BY164" s="45"/>
      <c r="BZ164" s="45"/>
      <c r="CA164" s="45"/>
      <c r="CB164" s="45"/>
      <c r="CC164" s="45"/>
      <c r="CD164" s="45"/>
      <c r="CE164" s="45"/>
      <c r="CF164" s="45"/>
      <c r="CG164" s="45"/>
      <c r="CH164" s="45"/>
      <c r="CI164" s="45"/>
      <c r="CJ164" s="45"/>
      <c r="CK164" s="45"/>
      <c r="CL164" s="45"/>
      <c r="CM164" s="45"/>
      <c r="CN164" s="45"/>
      <c r="CO164" s="45"/>
      <c r="CP164" s="45"/>
      <c r="CQ164" s="45"/>
      <c r="CR164" s="45"/>
      <c r="CS164" s="45"/>
      <c r="CT164" s="45"/>
      <c r="CU164" s="45"/>
      <c r="CV164" s="45"/>
      <c r="CW164" s="45"/>
      <c r="CX164" s="24"/>
      <c r="CY164" s="24"/>
      <c r="CZ164" s="24"/>
      <c r="DA164" s="24"/>
      <c r="DB164" s="24"/>
      <c r="DC164" s="24"/>
      <c r="DD164" s="24"/>
      <c r="DE164" s="24"/>
      <c r="DF164" s="24"/>
      <c r="DG164" s="24"/>
      <c r="DH164" s="24"/>
      <c r="DI164" s="24"/>
      <c r="DJ164" s="24"/>
      <c r="DK164" s="24"/>
      <c r="DL164" s="24"/>
      <c r="DM164" s="24"/>
      <c r="DN164" s="24"/>
      <c r="DO164" s="24"/>
      <c r="DP164" s="24"/>
      <c r="DQ164" s="24"/>
      <c r="DR164" s="24"/>
      <c r="DS164" s="24"/>
      <c r="DT164" s="24"/>
      <c r="DU164" s="24"/>
      <c r="DV164" s="24"/>
      <c r="DW164" s="24"/>
      <c r="DX164" s="24"/>
      <c r="DY164" s="24"/>
      <c r="DZ164" s="24"/>
      <c r="EA164" s="24"/>
    </row>
    <row r="165" spans="1:131">
      <c r="A165" s="24" t="s">
        <v>419</v>
      </c>
      <c r="B165" s="24"/>
      <c r="C165" s="198">
        <v>70.745011721527277</v>
      </c>
      <c r="D165" s="198">
        <v>21.673265650078871</v>
      </c>
      <c r="E165" s="198">
        <v>4.3346531300157745</v>
      </c>
      <c r="F165" s="198">
        <v>26.007918780094645</v>
      </c>
      <c r="G165" s="198">
        <v>29.242290884237864</v>
      </c>
      <c r="H165" s="198">
        <v>46.650307128594193</v>
      </c>
      <c r="I165" s="198">
        <v>3220.4301472226912</v>
      </c>
      <c r="J165" s="198">
        <v>6.1391049940145921</v>
      </c>
      <c r="K165" s="198">
        <v>17.162434750091414</v>
      </c>
      <c r="L165" s="199">
        <v>1.4994325928714827</v>
      </c>
      <c r="M165" s="198">
        <v>0.67207939197161215</v>
      </c>
      <c r="N165" s="198">
        <v>1.6512929294568948E-2</v>
      </c>
      <c r="O165" s="198">
        <v>2.8975364201337466</v>
      </c>
      <c r="P165" s="198">
        <v>2.1420399817375948</v>
      </c>
      <c r="Q165" s="198">
        <v>1.9954090396666526</v>
      </c>
      <c r="R165" s="198">
        <v>1.145511649541501</v>
      </c>
      <c r="S165" s="198">
        <v>0.9201768192725307</v>
      </c>
      <c r="T165" s="198">
        <v>0.71378805450755978</v>
      </c>
      <c r="U165" s="198">
        <v>0.74483226228122257</v>
      </c>
      <c r="V165" s="198">
        <v>1.0841279499554122</v>
      </c>
      <c r="W165" s="198">
        <v>1.3697105671350498</v>
      </c>
      <c r="X165" s="198">
        <v>2.234528150478635</v>
      </c>
      <c r="Y165" s="198">
        <v>2.5876436551344688</v>
      </c>
      <c r="Z165" s="198">
        <v>3.0481920466093446</v>
      </c>
      <c r="AA165" s="198"/>
      <c r="AB165" s="198">
        <v>4.8022110175117945</v>
      </c>
      <c r="AC165" s="198">
        <v>4.1655156640861151</v>
      </c>
      <c r="AD165" s="198">
        <v>4.1992904985558157</v>
      </c>
      <c r="AE165" s="198">
        <v>3.9987743158016844</v>
      </c>
      <c r="AF165" s="198">
        <v>3.6830746942560983</v>
      </c>
      <c r="AG165" s="198">
        <v>3.3464154345915449</v>
      </c>
      <c r="AH165" s="198">
        <v>3.6541993130378061</v>
      </c>
      <c r="AI165" s="198">
        <v>3.9458173130803904</v>
      </c>
      <c r="AJ165" s="198">
        <v>4.2531842644528028</v>
      </c>
      <c r="AK165" s="198">
        <v>4.3895271091458001</v>
      </c>
      <c r="AL165" s="198">
        <v>4.6014502804166035</v>
      </c>
      <c r="AM165" s="45">
        <v>4.8220552201371278</v>
      </c>
      <c r="AN165" s="45"/>
      <c r="AO165" s="45"/>
      <c r="AP165" s="45"/>
      <c r="AQ165" s="45"/>
      <c r="AR165" s="45"/>
      <c r="AS165" s="45"/>
      <c r="AT165" s="45"/>
      <c r="AU165" s="45"/>
      <c r="AV165" s="45"/>
      <c r="AW165" s="45"/>
      <c r="AX165" s="45"/>
      <c r="AY165" s="45"/>
      <c r="AZ165" s="45"/>
      <c r="BA165" s="45"/>
      <c r="BB165" s="45"/>
      <c r="BC165" s="45"/>
      <c r="BD165" s="45"/>
      <c r="BE165" s="45"/>
      <c r="BF165" s="45"/>
      <c r="BG165" s="45"/>
      <c r="BH165" s="45"/>
      <c r="BI165" s="45"/>
      <c r="BJ165" s="45"/>
      <c r="BK165" s="45"/>
      <c r="BL165" s="45"/>
      <c r="BM165" s="45"/>
      <c r="BN165" s="45"/>
      <c r="BO165" s="45"/>
      <c r="BP165" s="45"/>
      <c r="BQ165" s="45"/>
      <c r="BR165" s="45"/>
      <c r="BS165" s="45"/>
      <c r="BT165" s="45"/>
      <c r="BU165" s="45"/>
      <c r="BV165" s="45"/>
      <c r="BW165" s="45"/>
      <c r="BX165" s="45"/>
      <c r="BY165" s="45"/>
      <c r="BZ165" s="45"/>
      <c r="CA165" s="45"/>
      <c r="CB165" s="45"/>
      <c r="CC165" s="45"/>
      <c r="CD165" s="45"/>
      <c r="CE165" s="45"/>
      <c r="CF165" s="45"/>
      <c r="CG165" s="45"/>
      <c r="CH165" s="45"/>
      <c r="CI165" s="45"/>
      <c r="CJ165" s="45"/>
      <c r="CK165" s="45"/>
      <c r="CL165" s="45"/>
      <c r="CM165" s="45"/>
      <c r="CN165" s="45"/>
      <c r="CO165" s="45"/>
      <c r="CP165" s="45"/>
      <c r="CQ165" s="45"/>
      <c r="CR165" s="45"/>
      <c r="CS165" s="45"/>
      <c r="CT165" s="45"/>
      <c r="CU165" s="45"/>
      <c r="CV165" s="45"/>
      <c r="CW165" s="45"/>
      <c r="CX165" s="24"/>
      <c r="CY165" s="24"/>
      <c r="CZ165" s="24"/>
      <c r="DA165" s="24"/>
      <c r="DB165" s="24"/>
      <c r="DC165" s="24"/>
      <c r="DD165" s="24"/>
      <c r="DE165" s="24"/>
      <c r="DF165" s="24"/>
      <c r="DG165" s="24"/>
      <c r="DH165" s="24"/>
      <c r="DI165" s="24"/>
      <c r="DJ165" s="24"/>
      <c r="DK165" s="24"/>
      <c r="DL165" s="24"/>
      <c r="DM165" s="24"/>
      <c r="DN165" s="24"/>
      <c r="DO165" s="24"/>
      <c r="DP165" s="24"/>
      <c r="DQ165" s="24"/>
      <c r="DR165" s="24"/>
      <c r="DS165" s="24"/>
      <c r="DT165" s="24"/>
      <c r="DU165" s="24"/>
      <c r="DV165" s="24"/>
      <c r="DW165" s="24"/>
      <c r="DX165" s="24"/>
      <c r="DY165" s="24"/>
      <c r="DZ165" s="24"/>
      <c r="EA165" s="24"/>
    </row>
    <row r="166" spans="1:131">
      <c r="A166" s="24" t="s">
        <v>432</v>
      </c>
      <c r="B166" s="24"/>
      <c r="C166" s="198">
        <v>55.109130131336691</v>
      </c>
      <c r="D166" s="198">
        <v>14.529979530207335</v>
      </c>
      <c r="E166" s="198">
        <v>2.9059959060414671</v>
      </c>
      <c r="F166" s="198">
        <v>17.435975436248803</v>
      </c>
      <c r="G166" s="198">
        <v>24.314083771343636</v>
      </c>
      <c r="H166" s="198">
        <v>36.339775535498632</v>
      </c>
      <c r="I166" s="198">
        <v>2771.5760429810794</v>
      </c>
      <c r="J166" s="198">
        <v>3.4363717493392416</v>
      </c>
      <c r="K166" s="198">
        <v>19.211766567887778</v>
      </c>
      <c r="L166" s="199">
        <v>1.4508563121982545</v>
      </c>
      <c r="M166" s="198">
        <v>0.52353812331736238</v>
      </c>
      <c r="N166" s="198">
        <v>1.2863283886728799E-2</v>
      </c>
      <c r="O166" s="198">
        <v>2.2571303297819401</v>
      </c>
      <c r="P166" s="198">
        <v>1.6686117823369091</v>
      </c>
      <c r="Q166" s="198">
        <v>1.554388836135755</v>
      </c>
      <c r="R166" s="198">
        <v>0.89233359392228662</v>
      </c>
      <c r="S166" s="198">
        <v>0.71680169164066421</v>
      </c>
      <c r="T166" s="198">
        <v>0.55602844391191164</v>
      </c>
      <c r="U166" s="198">
        <v>0.58021134026589494</v>
      </c>
      <c r="V166" s="198">
        <v>0.84451676265581743</v>
      </c>
      <c r="W166" s="198">
        <v>1.0669806400433919</v>
      </c>
      <c r="X166" s="198">
        <v>1.740658452522251</v>
      </c>
      <c r="Y166" s="198">
        <v>2.0157292712828823</v>
      </c>
      <c r="Z166" s="198">
        <v>2.374488434932065</v>
      </c>
      <c r="AA166" s="198"/>
      <c r="AB166" s="198">
        <v>3.740838618048687</v>
      </c>
      <c r="AC166" s="198">
        <v>3.2448640435575755</v>
      </c>
      <c r="AD166" s="198">
        <v>3.2711740504776636</v>
      </c>
      <c r="AE166" s="198">
        <v>3.1149754417003637</v>
      </c>
      <c r="AF166" s="198">
        <v>2.8690509432402784</v>
      </c>
      <c r="AG166" s="198">
        <v>2.6067992522828543</v>
      </c>
      <c r="AH166" s="198">
        <v>2.8465575249422561</v>
      </c>
      <c r="AI166" s="198">
        <v>3.0737228603053524</v>
      </c>
      <c r="AJ166" s="198">
        <v>3.3131563540466531</v>
      </c>
      <c r="AK166" s="198">
        <v>3.4193650518448702</v>
      </c>
      <c r="AL166" s="198">
        <v>3.584449505705444</v>
      </c>
      <c r="AM166" s="45">
        <v>3.7562969057529396</v>
      </c>
      <c r="AN166" s="45"/>
      <c r="AO166" s="45"/>
      <c r="AP166" s="45"/>
      <c r="AQ166" s="45"/>
      <c r="AR166" s="45"/>
      <c r="AS166" s="45"/>
      <c r="AT166" s="45"/>
      <c r="AU166" s="45"/>
      <c r="AV166" s="45"/>
      <c r="AW166" s="45"/>
      <c r="AX166" s="45"/>
      <c r="AY166" s="45"/>
      <c r="AZ166" s="45"/>
      <c r="BA166" s="45"/>
      <c r="BB166" s="45"/>
      <c r="BC166" s="45"/>
      <c r="BD166" s="45"/>
      <c r="BE166" s="45"/>
      <c r="BF166" s="45"/>
      <c r="BG166" s="45"/>
      <c r="BH166" s="45"/>
      <c r="BI166" s="45"/>
      <c r="BJ166" s="45"/>
      <c r="BK166" s="45"/>
      <c r="BL166" s="45"/>
      <c r="BM166" s="45"/>
      <c r="BN166" s="45"/>
      <c r="BO166" s="45"/>
      <c r="BP166" s="45"/>
      <c r="BQ166" s="45"/>
      <c r="BR166" s="45"/>
      <c r="BS166" s="45"/>
      <c r="BT166" s="45"/>
      <c r="BU166" s="45"/>
      <c r="BV166" s="45"/>
      <c r="BW166" s="45"/>
      <c r="BX166" s="45"/>
      <c r="BY166" s="45"/>
      <c r="BZ166" s="45"/>
      <c r="CA166" s="45"/>
      <c r="CB166" s="45"/>
      <c r="CC166" s="45"/>
      <c r="CD166" s="45"/>
      <c r="CE166" s="45"/>
      <c r="CF166" s="45"/>
      <c r="CG166" s="45"/>
      <c r="CH166" s="45"/>
      <c r="CI166" s="45"/>
      <c r="CJ166" s="45"/>
      <c r="CK166" s="45"/>
      <c r="CL166" s="45"/>
      <c r="CM166" s="45"/>
      <c r="CN166" s="45"/>
      <c r="CO166" s="45"/>
      <c r="CP166" s="45"/>
      <c r="CQ166" s="45"/>
      <c r="CR166" s="45"/>
      <c r="CS166" s="45"/>
      <c r="CT166" s="45"/>
      <c r="CU166" s="45"/>
      <c r="CV166" s="45"/>
      <c r="CW166" s="45"/>
      <c r="CX166" s="24"/>
      <c r="CY166" s="24"/>
      <c r="CZ166" s="24"/>
      <c r="DA166" s="24"/>
      <c r="DB166" s="24"/>
      <c r="DC166" s="24"/>
      <c r="DD166" s="24"/>
      <c r="DE166" s="24"/>
      <c r="DF166" s="24"/>
      <c r="DG166" s="24"/>
      <c r="DH166" s="24"/>
      <c r="DI166" s="24"/>
      <c r="DJ166" s="24"/>
      <c r="DK166" s="24"/>
      <c r="DL166" s="24"/>
      <c r="DM166" s="24"/>
      <c r="DN166" s="24"/>
      <c r="DO166" s="24"/>
      <c r="DP166" s="24"/>
      <c r="DQ166" s="24"/>
      <c r="DR166" s="24"/>
      <c r="DS166" s="24"/>
      <c r="DT166" s="24"/>
      <c r="DU166" s="24"/>
      <c r="DV166" s="24"/>
      <c r="DW166" s="24"/>
      <c r="DX166" s="24"/>
      <c r="DY166" s="24"/>
      <c r="DZ166" s="24"/>
      <c r="EA166" s="24"/>
    </row>
    <row r="167" spans="1:131">
      <c r="A167" s="24" t="s">
        <v>433</v>
      </c>
      <c r="B167" s="24"/>
      <c r="C167" s="198">
        <v>6.702605615817987</v>
      </c>
      <c r="D167" s="198">
        <v>1.947148610061336</v>
      </c>
      <c r="E167" s="198">
        <v>0.38942972201226722</v>
      </c>
      <c r="F167" s="198">
        <v>2.3365783320736031</v>
      </c>
      <c r="G167" s="198">
        <v>3.4483880736287089</v>
      </c>
      <c r="H167" s="198">
        <v>4.4197972822528104</v>
      </c>
      <c r="I167" s="198">
        <v>3053.8013665401668</v>
      </c>
      <c r="J167" s="198">
        <v>5.135765287828101</v>
      </c>
      <c r="K167" s="198">
        <v>24.604269484975482</v>
      </c>
      <c r="L167" s="199">
        <v>1.2717666781433596</v>
      </c>
      <c r="M167" s="198">
        <v>6.3674922051553298E-2</v>
      </c>
      <c r="N167" s="198">
        <v>1.5644870207817637E-3</v>
      </c>
      <c r="O167" s="198">
        <v>0.27452174236782106</v>
      </c>
      <c r="P167" s="198">
        <v>0.20294362615155573</v>
      </c>
      <c r="Q167" s="198">
        <v>0.18905134806916599</v>
      </c>
      <c r="R167" s="198">
        <v>0.1085293878446761</v>
      </c>
      <c r="S167" s="198">
        <v>8.7180455078288421E-2</v>
      </c>
      <c r="T167" s="198">
        <v>6.7626532333874084E-2</v>
      </c>
      <c r="U167" s="198">
        <v>7.0567758524936477E-2</v>
      </c>
      <c r="V167" s="198">
        <v>0.1027137024761456</v>
      </c>
      <c r="W167" s="198">
        <v>0.12977070066031263</v>
      </c>
      <c r="X167" s="198">
        <v>0.21170624706454064</v>
      </c>
      <c r="Y167" s="198">
        <v>0.24516152407905265</v>
      </c>
      <c r="Z167" s="198">
        <v>0.2887953317488608</v>
      </c>
      <c r="AA167" s="198"/>
      <c r="AB167" s="198">
        <v>0.4549766231012321</v>
      </c>
      <c r="AC167" s="198">
        <v>0.39465409650056721</v>
      </c>
      <c r="AD167" s="198">
        <v>0.39785403088012511</v>
      </c>
      <c r="AE167" s="198">
        <v>0.37885649508381303</v>
      </c>
      <c r="AF167" s="198">
        <v>0.34894611688482025</v>
      </c>
      <c r="AG167" s="198">
        <v>0.31704995644135364</v>
      </c>
      <c r="AH167" s="198">
        <v>0.34621037216440886</v>
      </c>
      <c r="AI167" s="198">
        <v>0.37383918156305462</v>
      </c>
      <c r="AJ167" s="198">
        <v>0.4029600962997002</v>
      </c>
      <c r="AK167" s="198">
        <v>0.41587764757685697</v>
      </c>
      <c r="AL167" s="198">
        <v>0.43595591745506251</v>
      </c>
      <c r="AM167" s="45">
        <v>0.45685672546776424</v>
      </c>
      <c r="AN167" s="45"/>
      <c r="AO167" s="45"/>
      <c r="AP167" s="45"/>
      <c r="AQ167" s="45"/>
      <c r="AR167" s="45"/>
      <c r="AS167" s="45"/>
      <c r="AT167" s="45"/>
      <c r="AU167" s="45"/>
      <c r="AV167" s="45"/>
      <c r="AW167" s="45"/>
      <c r="AX167" s="45"/>
      <c r="AY167" s="45"/>
      <c r="AZ167" s="45"/>
      <c r="BA167" s="45"/>
      <c r="BB167" s="45"/>
      <c r="BC167" s="45"/>
      <c r="BD167" s="45"/>
      <c r="BE167" s="45"/>
      <c r="BF167" s="45"/>
      <c r="BG167" s="45"/>
      <c r="BH167" s="45"/>
      <c r="BI167" s="45"/>
      <c r="BJ167" s="45"/>
      <c r="BK167" s="45"/>
      <c r="BL167" s="45"/>
      <c r="BM167" s="45"/>
      <c r="BN167" s="45"/>
      <c r="BO167" s="45"/>
      <c r="BP167" s="45"/>
      <c r="BQ167" s="45"/>
      <c r="BR167" s="45"/>
      <c r="BS167" s="45"/>
      <c r="BT167" s="45"/>
      <c r="BU167" s="45"/>
      <c r="BV167" s="45"/>
      <c r="BW167" s="45"/>
      <c r="BX167" s="45"/>
      <c r="BY167" s="45"/>
      <c r="BZ167" s="45"/>
      <c r="CA167" s="45"/>
      <c r="CB167" s="45"/>
      <c r="CC167" s="45"/>
      <c r="CD167" s="45"/>
      <c r="CE167" s="45"/>
      <c r="CF167" s="45"/>
      <c r="CG167" s="45"/>
      <c r="CH167" s="45"/>
      <c r="CI167" s="45"/>
      <c r="CJ167" s="45"/>
      <c r="CK167" s="45"/>
      <c r="CL167" s="45"/>
      <c r="CM167" s="45"/>
      <c r="CN167" s="45"/>
      <c r="CO167" s="45"/>
      <c r="CP167" s="45"/>
      <c r="CQ167" s="45"/>
      <c r="CR167" s="45"/>
      <c r="CS167" s="45"/>
      <c r="CT167" s="45"/>
      <c r="CU167" s="45"/>
      <c r="CV167" s="45"/>
      <c r="CW167" s="45"/>
      <c r="CX167" s="24"/>
      <c r="CY167" s="24"/>
      <c r="CZ167" s="24"/>
      <c r="DA167" s="24"/>
      <c r="DB167" s="24"/>
      <c r="DC167" s="24"/>
      <c r="DD167" s="24"/>
      <c r="DE167" s="24"/>
      <c r="DF167" s="24"/>
      <c r="DG167" s="24"/>
      <c r="DH167" s="24"/>
      <c r="DI167" s="24"/>
      <c r="DJ167" s="24"/>
      <c r="DK167" s="24"/>
      <c r="DL167" s="24"/>
      <c r="DM167" s="24"/>
      <c r="DN167" s="24"/>
      <c r="DO167" s="24"/>
      <c r="DP167" s="24"/>
      <c r="DQ167" s="24"/>
      <c r="DR167" s="24"/>
      <c r="DS167" s="24"/>
      <c r="DT167" s="24"/>
      <c r="DU167" s="24"/>
      <c r="DV167" s="24"/>
      <c r="DW167" s="24"/>
      <c r="DX167" s="24"/>
      <c r="DY167" s="24"/>
      <c r="DZ167" s="24"/>
      <c r="EA167" s="24"/>
    </row>
    <row r="168" spans="1:131">
      <c r="A168" s="24" t="s">
        <v>434</v>
      </c>
      <c r="B168" s="24"/>
      <c r="C168" s="198">
        <v>6.702605615817987</v>
      </c>
      <c r="D168" s="198">
        <v>2.008153465301179</v>
      </c>
      <c r="E168" s="198">
        <v>0.4016306930602358</v>
      </c>
      <c r="F168" s="198">
        <v>2.4097841583614148</v>
      </c>
      <c r="G168" s="198">
        <v>3.5603760281159387</v>
      </c>
      <c r="H168" s="198">
        <v>4.4197972822528104</v>
      </c>
      <c r="I168" s="198">
        <v>3149.4780443933014</v>
      </c>
      <c r="J168" s="198">
        <v>5.7118735054652667</v>
      </c>
      <c r="K168" s="198">
        <v>25.833682369935676</v>
      </c>
      <c r="L168" s="199">
        <v>1.2331322094936461</v>
      </c>
      <c r="M168" s="198">
        <v>6.3674922051553298E-2</v>
      </c>
      <c r="N168" s="198">
        <v>1.5644870207817637E-3</v>
      </c>
      <c r="O168" s="198">
        <v>0.27452174236782106</v>
      </c>
      <c r="P168" s="198">
        <v>0.20294362615155573</v>
      </c>
      <c r="Q168" s="198">
        <v>0.18905134806916599</v>
      </c>
      <c r="R168" s="198">
        <v>0.1085293878446761</v>
      </c>
      <c r="S168" s="198">
        <v>8.7180455078288421E-2</v>
      </c>
      <c r="T168" s="198">
        <v>6.7626532333874084E-2</v>
      </c>
      <c r="U168" s="198">
        <v>7.0567758524936477E-2</v>
      </c>
      <c r="V168" s="198">
        <v>0.1027137024761456</v>
      </c>
      <c r="W168" s="198">
        <v>0.12977070066031263</v>
      </c>
      <c r="X168" s="198">
        <v>0.21170624706454064</v>
      </c>
      <c r="Y168" s="198">
        <v>0.24516152407905265</v>
      </c>
      <c r="Z168" s="198">
        <v>0.2887953317488608</v>
      </c>
      <c r="AA168" s="198"/>
      <c r="AB168" s="198">
        <v>0.4549766231012321</v>
      </c>
      <c r="AC168" s="198">
        <v>0.39465409650056721</v>
      </c>
      <c r="AD168" s="198">
        <v>0.39785403088012511</v>
      </c>
      <c r="AE168" s="198">
        <v>0.37885649508381303</v>
      </c>
      <c r="AF168" s="198">
        <v>0.34894611688482025</v>
      </c>
      <c r="AG168" s="198">
        <v>0.31704995644135364</v>
      </c>
      <c r="AH168" s="198">
        <v>0.34621037216440886</v>
      </c>
      <c r="AI168" s="198">
        <v>0.37383918156305462</v>
      </c>
      <c r="AJ168" s="198">
        <v>0.4029600962997002</v>
      </c>
      <c r="AK168" s="198">
        <v>0.41587764757685697</v>
      </c>
      <c r="AL168" s="198">
        <v>0.43595591745506251</v>
      </c>
      <c r="AM168" s="45">
        <v>0.45685672546776424</v>
      </c>
      <c r="AN168" s="45"/>
      <c r="AO168" s="45"/>
      <c r="AP168" s="45"/>
      <c r="AQ168" s="45"/>
      <c r="AR168" s="45"/>
      <c r="AS168" s="45"/>
      <c r="AT168" s="45"/>
      <c r="AU168" s="45"/>
      <c r="AV168" s="45"/>
      <c r="AW168" s="45"/>
      <c r="AX168" s="45"/>
      <c r="AY168" s="45"/>
      <c r="AZ168" s="45"/>
      <c r="BA168" s="45"/>
      <c r="BB168" s="45"/>
      <c r="BC168" s="45"/>
      <c r="BD168" s="45"/>
      <c r="BE168" s="45"/>
      <c r="BF168" s="45"/>
      <c r="BG168" s="45"/>
      <c r="BH168" s="45"/>
      <c r="BI168" s="45"/>
      <c r="BJ168" s="45"/>
      <c r="BK168" s="45"/>
      <c r="BL168" s="45"/>
      <c r="BM168" s="45"/>
      <c r="BN168" s="45"/>
      <c r="BO168" s="45"/>
      <c r="BP168" s="45"/>
      <c r="BQ168" s="45"/>
      <c r="BR168" s="45"/>
      <c r="BS168" s="45"/>
      <c r="BT168" s="45"/>
      <c r="BU168" s="45"/>
      <c r="BV168" s="45"/>
      <c r="BW168" s="45"/>
      <c r="BX168" s="45"/>
      <c r="BY168" s="45"/>
      <c r="BZ168" s="45"/>
      <c r="CA168" s="45"/>
      <c r="CB168" s="45"/>
      <c r="CC168" s="45"/>
      <c r="CD168" s="45"/>
      <c r="CE168" s="45"/>
      <c r="CF168" s="45"/>
      <c r="CG168" s="45"/>
      <c r="CH168" s="45"/>
      <c r="CI168" s="45"/>
      <c r="CJ168" s="45"/>
      <c r="CK168" s="45"/>
      <c r="CL168" s="45"/>
      <c r="CM168" s="45"/>
      <c r="CN168" s="45"/>
      <c r="CO168" s="45"/>
      <c r="CP168" s="45"/>
      <c r="CQ168" s="45"/>
      <c r="CR168" s="45"/>
      <c r="CS168" s="45"/>
      <c r="CT168" s="45"/>
      <c r="CU168" s="45"/>
      <c r="CV168" s="45"/>
      <c r="CW168" s="45"/>
      <c r="CX168" s="24"/>
      <c r="CY168" s="24"/>
      <c r="CZ168" s="24"/>
      <c r="DA168" s="24"/>
      <c r="DB168" s="24"/>
      <c r="DC168" s="24"/>
      <c r="DD168" s="24"/>
      <c r="DE168" s="24"/>
      <c r="DF168" s="24"/>
      <c r="DG168" s="24"/>
      <c r="DH168" s="24"/>
      <c r="DI168" s="24"/>
      <c r="DJ168" s="24"/>
      <c r="DK168" s="24"/>
      <c r="DL168" s="24"/>
      <c r="DM168" s="24"/>
      <c r="DN168" s="24"/>
      <c r="DO168" s="24"/>
      <c r="DP168" s="24"/>
      <c r="DQ168" s="24"/>
      <c r="DR168" s="24"/>
      <c r="DS168" s="24"/>
      <c r="DT168" s="24"/>
      <c r="DU168" s="24"/>
      <c r="DV168" s="24"/>
      <c r="DW168" s="24"/>
      <c r="DX168" s="24"/>
      <c r="DY168" s="24"/>
      <c r="DZ168" s="24"/>
      <c r="EA168" s="24"/>
    </row>
    <row r="169" spans="1:131">
      <c r="A169" s="24" t="s">
        <v>427</v>
      </c>
      <c r="B169" s="24"/>
      <c r="C169" s="198">
        <v>139.58339165168746</v>
      </c>
      <c r="D169" s="198">
        <v>45.543781319840186</v>
      </c>
      <c r="E169" s="198">
        <v>9.1087562639680382</v>
      </c>
      <c r="F169" s="198">
        <v>54.652537583808225</v>
      </c>
      <c r="G169" s="198">
        <v>78.020914573342253</v>
      </c>
      <c r="H169" s="198">
        <v>92.043353052701903</v>
      </c>
      <c r="I169" s="198">
        <v>3429.8939405974252</v>
      </c>
      <c r="J169" s="198">
        <v>7.4003717454153337</v>
      </c>
      <c r="K169" s="198">
        <v>27.876513737276195</v>
      </c>
      <c r="L169" s="199">
        <v>1.1677210399474414</v>
      </c>
      <c r="M169" s="198">
        <v>1.3260457339362539</v>
      </c>
      <c r="N169" s="198">
        <v>3.2580822604331608E-2</v>
      </c>
      <c r="O169" s="198">
        <v>5.7169820332856913</v>
      </c>
      <c r="P169" s="198">
        <v>4.2263503592504215</v>
      </c>
      <c r="Q169" s="198">
        <v>3.9370402903524311</v>
      </c>
      <c r="R169" s="198">
        <v>2.2601508901986227</v>
      </c>
      <c r="S169" s="198">
        <v>1.8155541744611476</v>
      </c>
      <c r="T169" s="198">
        <v>1.4083389788782386</v>
      </c>
      <c r="U169" s="198">
        <v>1.4695907294503421</v>
      </c>
      <c r="V169" s="198">
        <v>2.139037828346555</v>
      </c>
      <c r="W169" s="198">
        <v>2.7025063942944967</v>
      </c>
      <c r="X169" s="198">
        <v>4.4088340703471802</v>
      </c>
      <c r="Y169" s="198">
        <v>5.1055483486439233</v>
      </c>
      <c r="Z169" s="198">
        <v>6.0142330026918467</v>
      </c>
      <c r="AA169" s="198"/>
      <c r="AB169" s="198">
        <v>9.4749988011865209</v>
      </c>
      <c r="AC169" s="198">
        <v>8.2187675176318251</v>
      </c>
      <c r="AD169" s="198">
        <v>8.2854069291328436</v>
      </c>
      <c r="AE169" s="198">
        <v>7.8897786270266392</v>
      </c>
      <c r="AF169" s="198">
        <v>7.2668877284860445</v>
      </c>
      <c r="AG169" s="198">
        <v>6.6026424318720771</v>
      </c>
      <c r="AH169" s="198">
        <v>7.2099151795019552</v>
      </c>
      <c r="AI169" s="198">
        <v>7.7852918530242183</v>
      </c>
      <c r="AJ169" s="198">
        <v>8.3917419830076643</v>
      </c>
      <c r="AK169" s="198">
        <v>8.6607531291871318</v>
      </c>
      <c r="AL169" s="198">
        <v>9.07888798132341</v>
      </c>
      <c r="AM169" s="45">
        <v>9.5141523901062683</v>
      </c>
      <c r="AN169" s="45"/>
      <c r="AO169" s="45"/>
      <c r="AP169" s="45"/>
      <c r="AQ169" s="45"/>
      <c r="AR169" s="45"/>
      <c r="AS169" s="45"/>
      <c r="AT169" s="45"/>
      <c r="AU169" s="45"/>
      <c r="AV169" s="45"/>
      <c r="AW169" s="45"/>
      <c r="AX169" s="45"/>
      <c r="AY169" s="45"/>
      <c r="AZ169" s="45"/>
      <c r="BA169" s="45"/>
      <c r="BB169" s="45"/>
      <c r="BC169" s="45"/>
      <c r="BD169" s="45"/>
      <c r="BE169" s="45"/>
      <c r="BF169" s="45"/>
      <c r="BG169" s="45"/>
      <c r="BH169" s="45"/>
      <c r="BI169" s="45"/>
      <c r="BJ169" s="45"/>
      <c r="BK169" s="45"/>
      <c r="BL169" s="45"/>
      <c r="BM169" s="45"/>
      <c r="BN169" s="45"/>
      <c r="BO169" s="45"/>
      <c r="BP169" s="45"/>
      <c r="BQ169" s="45"/>
      <c r="BR169" s="45"/>
      <c r="BS169" s="45"/>
      <c r="BT169" s="45"/>
      <c r="BU169" s="45"/>
      <c r="BV169" s="45"/>
      <c r="BW169" s="45"/>
      <c r="BX169" s="45"/>
      <c r="BY169" s="45"/>
      <c r="BZ169" s="45"/>
      <c r="CA169" s="45"/>
      <c r="CB169" s="45"/>
      <c r="CC169" s="45"/>
      <c r="CD169" s="45"/>
      <c r="CE169" s="45"/>
      <c r="CF169" s="45"/>
      <c r="CG169" s="45"/>
      <c r="CH169" s="45"/>
      <c r="CI169" s="45"/>
      <c r="CJ169" s="45"/>
      <c r="CK169" s="45"/>
      <c r="CL169" s="45"/>
      <c r="CM169" s="45"/>
      <c r="CN169" s="45"/>
      <c r="CO169" s="45"/>
      <c r="CP169" s="45"/>
      <c r="CQ169" s="45"/>
      <c r="CR169" s="45"/>
      <c r="CS169" s="45"/>
      <c r="CT169" s="45"/>
      <c r="CU169" s="45"/>
      <c r="CV169" s="45"/>
      <c r="CW169" s="45"/>
      <c r="CX169" s="24"/>
      <c r="CY169" s="24"/>
      <c r="CZ169" s="24"/>
      <c r="DA169" s="24"/>
      <c r="DB169" s="24"/>
      <c r="DC169" s="24"/>
      <c r="DD169" s="24"/>
      <c r="DE169" s="24"/>
      <c r="DF169" s="24"/>
      <c r="DG169" s="24"/>
      <c r="DH169" s="24"/>
      <c r="DI169" s="24"/>
      <c r="DJ169" s="24"/>
      <c r="DK169" s="24"/>
      <c r="DL169" s="24"/>
      <c r="DM169" s="24"/>
      <c r="DN169" s="24"/>
      <c r="DO169" s="24"/>
      <c r="DP169" s="24"/>
      <c r="DQ169" s="24"/>
      <c r="DR169" s="24"/>
      <c r="DS169" s="24"/>
      <c r="DT169" s="24"/>
      <c r="DU169" s="24"/>
      <c r="DV169" s="24"/>
      <c r="DW169" s="24"/>
      <c r="DX169" s="24"/>
      <c r="DY169" s="24"/>
      <c r="DZ169" s="24"/>
      <c r="EA169" s="24"/>
    </row>
    <row r="170" spans="1:131">
      <c r="A170" s="24" t="s">
        <v>431</v>
      </c>
      <c r="B170" s="24"/>
      <c r="C170" s="198">
        <v>139.58339165168746</v>
      </c>
      <c r="D170" s="198">
        <v>50.067502645018976</v>
      </c>
      <c r="E170" s="198">
        <v>10.013500529003796</v>
      </c>
      <c r="F170" s="198">
        <v>60.081003174022769</v>
      </c>
      <c r="G170" s="198">
        <v>86.325209303414226</v>
      </c>
      <c r="H170" s="198">
        <v>92.043353052701903</v>
      </c>
      <c r="I170" s="198">
        <v>3770.574576076915</v>
      </c>
      <c r="J170" s="198">
        <v>9.4517485082128641</v>
      </c>
      <c r="K170" s="198">
        <v>32.254144444289587</v>
      </c>
      <c r="L170" s="199">
        <v>1.0622145878337224</v>
      </c>
      <c r="M170" s="198">
        <v>1.3260457339362539</v>
      </c>
      <c r="N170" s="198">
        <v>3.2580822604331608E-2</v>
      </c>
      <c r="O170" s="198">
        <v>5.7169820332856913</v>
      </c>
      <c r="P170" s="198">
        <v>4.2263503592504215</v>
      </c>
      <c r="Q170" s="198">
        <v>3.9370402903524311</v>
      </c>
      <c r="R170" s="198">
        <v>2.2601508901986227</v>
      </c>
      <c r="S170" s="198">
        <v>1.8155541744611476</v>
      </c>
      <c r="T170" s="198">
        <v>1.4083389788782386</v>
      </c>
      <c r="U170" s="198">
        <v>1.4695907294503421</v>
      </c>
      <c r="V170" s="198">
        <v>2.139037828346555</v>
      </c>
      <c r="W170" s="198">
        <v>2.7025063942944967</v>
      </c>
      <c r="X170" s="198">
        <v>4.4088340703471802</v>
      </c>
      <c r="Y170" s="198">
        <v>5.1055483486439233</v>
      </c>
      <c r="Z170" s="198">
        <v>6.0142330026918467</v>
      </c>
      <c r="AA170" s="198"/>
      <c r="AB170" s="198">
        <v>9.4749988011865209</v>
      </c>
      <c r="AC170" s="198">
        <v>8.2187675176318251</v>
      </c>
      <c r="AD170" s="198">
        <v>8.2854069291328436</v>
      </c>
      <c r="AE170" s="198">
        <v>7.8897786270266392</v>
      </c>
      <c r="AF170" s="198">
        <v>7.2668877284860445</v>
      </c>
      <c r="AG170" s="198">
        <v>6.6026424318720771</v>
      </c>
      <c r="AH170" s="198">
        <v>7.2099151795019552</v>
      </c>
      <c r="AI170" s="198">
        <v>7.7852918530242183</v>
      </c>
      <c r="AJ170" s="198">
        <v>8.3917419830076643</v>
      </c>
      <c r="AK170" s="198">
        <v>8.6607531291871318</v>
      </c>
      <c r="AL170" s="198">
        <v>9.07888798132341</v>
      </c>
      <c r="AM170" s="45">
        <v>9.5141523901062683</v>
      </c>
      <c r="AN170" s="45"/>
      <c r="AO170" s="45"/>
      <c r="AP170" s="45"/>
      <c r="AQ170" s="45"/>
      <c r="AR170" s="45"/>
      <c r="AS170" s="45"/>
      <c r="AT170" s="45"/>
      <c r="AU170" s="45"/>
      <c r="AV170" s="45"/>
      <c r="AW170" s="45"/>
      <c r="AX170" s="45"/>
      <c r="AY170" s="45"/>
      <c r="AZ170" s="45"/>
      <c r="BA170" s="45"/>
      <c r="BB170" s="45"/>
      <c r="BC170" s="45"/>
      <c r="BD170" s="45"/>
      <c r="BE170" s="45"/>
      <c r="BF170" s="45"/>
      <c r="BG170" s="45"/>
      <c r="BH170" s="45"/>
      <c r="BI170" s="45"/>
      <c r="BJ170" s="45"/>
      <c r="BK170" s="45"/>
      <c r="BL170" s="45"/>
      <c r="BM170" s="45"/>
      <c r="BN170" s="45"/>
      <c r="BO170" s="45"/>
      <c r="BP170" s="45"/>
      <c r="BQ170" s="45"/>
      <c r="BR170" s="45"/>
      <c r="BS170" s="45"/>
      <c r="BT170" s="45"/>
      <c r="BU170" s="45"/>
      <c r="BV170" s="45"/>
      <c r="BW170" s="45"/>
      <c r="BX170" s="45"/>
      <c r="BY170" s="45"/>
      <c r="BZ170" s="45"/>
      <c r="CA170" s="45"/>
      <c r="CB170" s="45"/>
      <c r="CC170" s="45"/>
      <c r="CD170" s="45"/>
      <c r="CE170" s="45"/>
      <c r="CF170" s="45"/>
      <c r="CG170" s="45"/>
      <c r="CH170" s="45"/>
      <c r="CI170" s="45"/>
      <c r="CJ170" s="45"/>
      <c r="CK170" s="45"/>
      <c r="CL170" s="45"/>
      <c r="CM170" s="45"/>
      <c r="CN170" s="45"/>
      <c r="CO170" s="45"/>
      <c r="CP170" s="45"/>
      <c r="CQ170" s="45"/>
      <c r="CR170" s="45"/>
      <c r="CS170" s="45"/>
      <c r="CT170" s="45"/>
      <c r="CU170" s="45"/>
      <c r="CV170" s="45"/>
      <c r="CW170" s="45"/>
      <c r="CX170" s="24"/>
      <c r="CY170" s="24"/>
      <c r="CZ170" s="24"/>
      <c r="DA170" s="24"/>
      <c r="DB170" s="24"/>
      <c r="DC170" s="24"/>
      <c r="DD170" s="24"/>
      <c r="DE170" s="24"/>
      <c r="DF170" s="24"/>
      <c r="DG170" s="24"/>
      <c r="DH170" s="24"/>
      <c r="DI170" s="24"/>
      <c r="DJ170" s="24"/>
      <c r="DK170" s="24"/>
      <c r="DL170" s="24"/>
      <c r="DM170" s="24"/>
      <c r="DN170" s="24"/>
      <c r="DO170" s="24"/>
      <c r="DP170" s="24"/>
      <c r="DQ170" s="24"/>
      <c r="DR170" s="24"/>
      <c r="DS170" s="24"/>
      <c r="DT170" s="24"/>
      <c r="DU170" s="24"/>
      <c r="DV170" s="24"/>
      <c r="DW170" s="24"/>
      <c r="DX170" s="24"/>
      <c r="DY170" s="24"/>
      <c r="DZ170" s="24"/>
      <c r="EA170" s="24"/>
    </row>
    <row r="171" spans="1:131">
      <c r="A171" s="24" t="s">
        <v>436</v>
      </c>
      <c r="B171" s="24"/>
      <c r="C171" s="198">
        <v>2.4778634129914572</v>
      </c>
      <c r="D171" s="198">
        <v>1.0315522391340137</v>
      </c>
      <c r="E171" s="198">
        <v>0.20631044782680275</v>
      </c>
      <c r="F171" s="198">
        <v>1.2378626869608165</v>
      </c>
      <c r="G171" s="198">
        <v>1.6355328074630799</v>
      </c>
      <c r="H171" s="198">
        <v>1.633939784952835</v>
      </c>
      <c r="I171" s="198">
        <v>4376.2206911499916</v>
      </c>
      <c r="J171" s="198">
        <v>13.098590264248951</v>
      </c>
      <c r="K171" s="198">
        <v>35.315784721114973</v>
      </c>
      <c r="L171" s="200">
        <v>0.99945986332258774</v>
      </c>
      <c r="M171" s="198">
        <v>2.3539764790020557E-2</v>
      </c>
      <c r="N171" s="198">
        <v>5.7836987152376843E-4</v>
      </c>
      <c r="O171" s="198">
        <v>0.10148700676622992</v>
      </c>
      <c r="P171" s="198">
        <v>7.5025537076805357E-2</v>
      </c>
      <c r="Q171" s="198">
        <v>6.9889748167755006E-2</v>
      </c>
      <c r="R171" s="198">
        <v>4.0121859287086149E-2</v>
      </c>
      <c r="S171" s="198">
        <v>3.2229445136475167E-2</v>
      </c>
      <c r="T171" s="198">
        <v>2.5000622119572553E-2</v>
      </c>
      <c r="U171" s="198">
        <v>2.6087954000023093E-2</v>
      </c>
      <c r="V171" s="198">
        <v>3.7971878395752924E-2</v>
      </c>
      <c r="W171" s="198">
        <v>4.7974487785107808E-2</v>
      </c>
      <c r="X171" s="198">
        <v>7.8264960519974683E-2</v>
      </c>
      <c r="Y171" s="198">
        <v>9.063292779080992E-2</v>
      </c>
      <c r="Z171" s="198">
        <v>0.10676376134893639</v>
      </c>
      <c r="AA171" s="198"/>
      <c r="AB171" s="198">
        <v>0.16819875624016742</v>
      </c>
      <c r="AC171" s="198">
        <v>0.14589832709209946</v>
      </c>
      <c r="AD171" s="198">
        <v>0.1470812999205123</v>
      </c>
      <c r="AE171" s="198">
        <v>0.14005816569707161</v>
      </c>
      <c r="AF171" s="198">
        <v>0.12900069998058744</v>
      </c>
      <c r="AG171" s="198">
        <v>0.11720911719802715</v>
      </c>
      <c r="AH171" s="198">
        <v>0.1279893318442922</v>
      </c>
      <c r="AI171" s="198">
        <v>0.13820333217154609</v>
      </c>
      <c r="AJ171" s="198">
        <v>0.148968943832851</v>
      </c>
      <c r="AK171" s="198">
        <v>0.15374438931327281</v>
      </c>
      <c r="AL171" s="198">
        <v>0.16116705643394633</v>
      </c>
      <c r="AM171" s="45">
        <v>0.16889380487255518</v>
      </c>
      <c r="AN171" s="45"/>
      <c r="AO171" s="45"/>
      <c r="AP171" s="45"/>
      <c r="AQ171" s="45"/>
      <c r="AR171" s="45"/>
      <c r="AS171" s="45"/>
      <c r="AT171" s="45"/>
      <c r="AU171" s="45"/>
      <c r="AV171" s="45"/>
      <c r="AW171" s="45"/>
      <c r="AX171" s="45"/>
      <c r="AY171" s="45"/>
      <c r="AZ171" s="45"/>
      <c r="BA171" s="45"/>
      <c r="BB171" s="45"/>
      <c r="BC171" s="45"/>
      <c r="BD171" s="45"/>
      <c r="BE171" s="45"/>
      <c r="BF171" s="45"/>
      <c r="BG171" s="45"/>
      <c r="BH171" s="45"/>
      <c r="BI171" s="45"/>
      <c r="BJ171" s="45"/>
      <c r="BK171" s="45"/>
      <c r="BL171" s="45"/>
      <c r="BM171" s="45"/>
      <c r="BN171" s="45"/>
      <c r="BO171" s="45"/>
      <c r="BP171" s="45"/>
      <c r="BQ171" s="45"/>
      <c r="BR171" s="45"/>
      <c r="BS171" s="45"/>
      <c r="BT171" s="45"/>
      <c r="BU171" s="45"/>
      <c r="BV171" s="45"/>
      <c r="BW171" s="45"/>
      <c r="BX171" s="45"/>
      <c r="BY171" s="45"/>
      <c r="BZ171" s="45"/>
      <c r="CA171" s="45"/>
      <c r="CB171" s="45"/>
      <c r="CC171" s="45"/>
      <c r="CD171" s="45"/>
      <c r="CE171" s="45"/>
      <c r="CF171" s="45"/>
      <c r="CG171" s="45"/>
      <c r="CH171" s="45"/>
      <c r="CI171" s="45"/>
      <c r="CJ171" s="45"/>
      <c r="CK171" s="45"/>
      <c r="CL171" s="45"/>
      <c r="CM171" s="45"/>
      <c r="CN171" s="45"/>
      <c r="CO171" s="45"/>
      <c r="CP171" s="45"/>
      <c r="CQ171" s="45"/>
      <c r="CR171" s="45"/>
      <c r="CS171" s="45"/>
      <c r="CT171" s="45"/>
      <c r="CU171" s="45"/>
      <c r="CV171" s="45"/>
      <c r="CW171" s="45"/>
      <c r="CX171" s="24"/>
      <c r="CY171" s="24"/>
      <c r="CZ171" s="24"/>
      <c r="DA171" s="24"/>
      <c r="DB171" s="24"/>
      <c r="DC171" s="24"/>
      <c r="DD171" s="24"/>
      <c r="DE171" s="24"/>
      <c r="DF171" s="24"/>
      <c r="DG171" s="24"/>
      <c r="DH171" s="24"/>
      <c r="DI171" s="24"/>
      <c r="DJ171" s="24"/>
      <c r="DK171" s="24"/>
      <c r="DL171" s="24"/>
      <c r="DM171" s="24"/>
      <c r="DN171" s="24"/>
      <c r="DO171" s="24"/>
      <c r="DP171" s="24"/>
      <c r="DQ171" s="24"/>
      <c r="DR171" s="24"/>
      <c r="DS171" s="24"/>
      <c r="DT171" s="24"/>
      <c r="DU171" s="24"/>
      <c r="DV171" s="24"/>
      <c r="DW171" s="24"/>
      <c r="DX171" s="24"/>
      <c r="DY171" s="24"/>
      <c r="DZ171" s="24"/>
      <c r="EA171" s="24"/>
    </row>
    <row r="172" spans="1:131">
      <c r="A172" s="24"/>
      <c r="B172" s="24"/>
      <c r="C172" s="45"/>
      <c r="D172" s="45"/>
      <c r="E172" s="45"/>
      <c r="F172" s="45"/>
      <c r="G172" s="45"/>
      <c r="H172" s="45"/>
      <c r="I172" s="45"/>
      <c r="J172" s="45"/>
      <c r="K172" s="45"/>
      <c r="L172" s="45"/>
      <c r="M172" s="45"/>
      <c r="N172" s="45"/>
      <c r="O172" s="45"/>
      <c r="P172" s="45"/>
      <c r="Q172" s="45"/>
      <c r="R172" s="45"/>
      <c r="S172" s="45"/>
      <c r="T172" s="45"/>
      <c r="U172" s="45"/>
      <c r="V172" s="45"/>
      <c r="W172" s="45"/>
      <c r="X172" s="45"/>
      <c r="Y172" s="45"/>
      <c r="Z172" s="45"/>
      <c r="AA172" s="45"/>
      <c r="AB172" s="45"/>
      <c r="AC172" s="45"/>
      <c r="AD172" s="45"/>
      <c r="AE172" s="45"/>
      <c r="AF172" s="45"/>
      <c r="AG172" s="45"/>
      <c r="AH172" s="45"/>
      <c r="AI172" s="45"/>
      <c r="AJ172" s="45"/>
      <c r="AK172" s="45"/>
      <c r="AL172" s="45"/>
      <c r="AM172" s="45"/>
      <c r="AN172" s="45"/>
      <c r="AO172" s="45"/>
      <c r="AP172" s="45"/>
      <c r="AQ172" s="45"/>
      <c r="AR172" s="45"/>
      <c r="AS172" s="45"/>
      <c r="AT172" s="45"/>
      <c r="AU172" s="45"/>
      <c r="AV172" s="45"/>
      <c r="AW172" s="45"/>
      <c r="AX172" s="45"/>
      <c r="AY172" s="45"/>
      <c r="AZ172" s="45"/>
      <c r="BA172" s="45"/>
      <c r="BB172" s="45"/>
      <c r="BC172" s="45"/>
      <c r="BD172" s="45"/>
      <c r="BE172" s="45"/>
      <c r="BF172" s="45"/>
      <c r="BG172" s="45"/>
      <c r="BH172" s="45"/>
      <c r="BI172" s="45"/>
      <c r="BJ172" s="45"/>
      <c r="BK172" s="45"/>
      <c r="BL172" s="45"/>
      <c r="BM172" s="45"/>
      <c r="BN172" s="45"/>
      <c r="BO172" s="45"/>
      <c r="BP172" s="45"/>
      <c r="BQ172" s="45"/>
      <c r="BR172" s="45"/>
      <c r="BS172" s="45"/>
      <c r="BT172" s="45"/>
      <c r="BU172" s="45"/>
      <c r="BV172" s="45"/>
      <c r="BW172" s="45"/>
      <c r="BX172" s="45"/>
      <c r="BY172" s="45"/>
      <c r="BZ172" s="45"/>
      <c r="CA172" s="45"/>
      <c r="CB172" s="45"/>
      <c r="CC172" s="45"/>
      <c r="CD172" s="45"/>
      <c r="CE172" s="45"/>
      <c r="CF172" s="45"/>
      <c r="CG172" s="45"/>
      <c r="CH172" s="45"/>
      <c r="CI172" s="45"/>
      <c r="CJ172" s="45"/>
      <c r="CK172" s="45"/>
      <c r="CL172" s="45"/>
      <c r="CM172" s="45"/>
      <c r="CN172" s="45"/>
      <c r="CO172" s="45"/>
      <c r="CP172" s="45"/>
      <c r="CQ172" s="45"/>
      <c r="CR172" s="45"/>
      <c r="CS172" s="45"/>
      <c r="CT172" s="45"/>
      <c r="CU172" s="45"/>
      <c r="CV172" s="45"/>
      <c r="CW172" s="45"/>
      <c r="CX172" s="24"/>
      <c r="CY172" s="24"/>
      <c r="CZ172" s="24"/>
      <c r="DA172" s="24"/>
      <c r="DB172" s="24"/>
      <c r="DC172" s="24"/>
      <c r="DD172" s="24"/>
      <c r="DE172" s="24"/>
      <c r="DF172" s="24"/>
      <c r="DG172" s="24"/>
      <c r="DH172" s="24"/>
      <c r="DI172" s="24"/>
      <c r="DJ172" s="24"/>
      <c r="DK172" s="24"/>
      <c r="DL172" s="24"/>
      <c r="DM172" s="24"/>
      <c r="DN172" s="24"/>
      <c r="DO172" s="24"/>
      <c r="DP172" s="24"/>
      <c r="DQ172" s="24"/>
      <c r="DR172" s="24"/>
      <c r="DS172" s="24"/>
      <c r="DT172" s="24"/>
      <c r="DU172" s="24"/>
      <c r="DV172" s="24"/>
      <c r="DW172" s="24"/>
      <c r="DX172" s="24"/>
      <c r="DY172" s="24"/>
      <c r="DZ172" s="24"/>
      <c r="EA172" s="24"/>
    </row>
  </sheetData>
  <mergeCells count="3">
    <mergeCell ref="I6:N6"/>
    <mergeCell ref="O6:P6"/>
    <mergeCell ref="R6:T6"/>
  </mergeCells>
  <pageMargins left="0.7" right="0.7" top="0.75" bottom="0.75" header="0.3" footer="0.3"/>
  <legacyDrawing r:id="rId1"/>
</worksheet>
</file>

<file path=xl/worksheets/sheet7.xml><?xml version="1.0" encoding="utf-8"?>
<worksheet xmlns="http://schemas.openxmlformats.org/spreadsheetml/2006/main" xmlns:r="http://schemas.openxmlformats.org/officeDocument/2006/relationships">
  <sheetPr>
    <tabColor rgb="FFFFFF00"/>
  </sheetPr>
  <dimension ref="A1:EA28"/>
  <sheetViews>
    <sheetView zoomScale="90" zoomScaleNormal="90" workbookViewId="0">
      <pane xSplit="2" ySplit="3" topLeftCell="C4" activePane="bottomRight" state="frozen"/>
      <selection pane="topRight" activeCell="C1" sqref="C1"/>
      <selection pane="bottomLeft" activeCell="A4" sqref="A4"/>
      <selection pane="bottomRight" sqref="A1:EA28"/>
    </sheetView>
  </sheetViews>
  <sheetFormatPr defaultRowHeight="12.75"/>
  <cols>
    <col min="1" max="1" width="43.28515625" customWidth="1"/>
    <col min="9" max="9" width="20.85546875" customWidth="1"/>
    <col min="10" max="10" width="17.28515625" customWidth="1"/>
    <col min="11" max="11" width="10.85546875" customWidth="1"/>
    <col min="13" max="13" width="9.5703125" customWidth="1"/>
    <col min="14" max="14" width="11.5703125" customWidth="1"/>
  </cols>
  <sheetData>
    <row r="1" spans="1:131" ht="13.5" thickBot="1">
      <c r="A1" s="187" t="s">
        <v>384</v>
      </c>
      <c r="B1" s="188"/>
      <c r="C1" s="45"/>
      <c r="D1" s="45"/>
      <c r="E1" s="45"/>
      <c r="F1" s="45"/>
      <c r="G1" s="45"/>
      <c r="H1" s="45"/>
      <c r="I1" s="45"/>
      <c r="J1" s="45"/>
      <c r="K1" s="45"/>
      <c r="L1" s="45"/>
      <c r="M1" s="45"/>
      <c r="N1" s="45"/>
      <c r="O1" s="45"/>
      <c r="P1" s="45"/>
      <c r="Q1" s="45"/>
      <c r="R1" s="45"/>
      <c r="S1" s="45"/>
      <c r="T1" s="45"/>
      <c r="U1" s="45"/>
      <c r="V1" s="45"/>
      <c r="W1" s="45"/>
      <c r="X1" s="45"/>
      <c r="Y1" s="45"/>
      <c r="Z1" s="45"/>
      <c r="AA1" s="45"/>
      <c r="AB1" s="45"/>
      <c r="AC1" s="45"/>
      <c r="AD1" s="45"/>
      <c r="AE1" s="45"/>
      <c r="AF1" s="45"/>
      <c r="AG1" s="45"/>
      <c r="AH1" s="45"/>
      <c r="AI1" s="45"/>
      <c r="AJ1" s="45"/>
      <c r="AK1" s="45"/>
      <c r="AL1" s="45"/>
      <c r="AM1" s="45"/>
      <c r="AN1" s="45"/>
      <c r="AO1" s="45"/>
      <c r="AP1" s="45"/>
      <c r="AQ1" s="45"/>
      <c r="AR1" s="45"/>
      <c r="AS1" s="45"/>
      <c r="AT1" s="45"/>
      <c r="AU1" s="45"/>
      <c r="AV1" s="45"/>
      <c r="AW1" s="45"/>
      <c r="AX1" s="45"/>
      <c r="AY1" s="45"/>
      <c r="AZ1" s="45"/>
      <c r="BA1" s="45"/>
      <c r="BB1" s="45"/>
      <c r="BC1" s="45"/>
      <c r="BD1" s="45"/>
      <c r="BE1" s="45"/>
      <c r="BF1" s="45"/>
      <c r="BG1" s="45"/>
      <c r="BH1" s="45"/>
      <c r="BI1" s="45"/>
      <c r="BJ1" s="45"/>
      <c r="BK1" s="45"/>
      <c r="BL1" s="45"/>
      <c r="BM1" s="45"/>
      <c r="BN1" s="45"/>
      <c r="BO1" s="45"/>
      <c r="BP1" s="45"/>
      <c r="BQ1" s="45"/>
      <c r="BR1" s="45"/>
      <c r="BS1" s="45"/>
      <c r="BT1" s="45"/>
      <c r="BU1" s="45"/>
      <c r="BV1" s="45"/>
      <c r="BW1" s="45"/>
      <c r="BX1" s="45"/>
      <c r="BY1" s="45"/>
      <c r="BZ1" s="45"/>
      <c r="CA1" s="45"/>
      <c r="CB1" s="45"/>
      <c r="CC1" s="45"/>
      <c r="CD1" s="45"/>
      <c r="CE1" s="45"/>
      <c r="CF1" s="45"/>
      <c r="CG1" s="45"/>
      <c r="CH1" s="45"/>
      <c r="CI1" s="45"/>
      <c r="CJ1" s="45"/>
      <c r="CK1" s="45"/>
      <c r="CL1" s="45"/>
      <c r="CM1" s="45"/>
      <c r="CN1" s="45"/>
      <c r="CO1" s="45"/>
      <c r="CP1" s="45"/>
      <c r="CQ1" s="45"/>
      <c r="CR1" s="45"/>
      <c r="CS1" s="45"/>
      <c r="CT1" s="45"/>
      <c r="CU1" s="45"/>
      <c r="CV1" s="45"/>
      <c r="CW1" s="45"/>
      <c r="CX1" s="24"/>
      <c r="CY1" s="24"/>
      <c r="CZ1" s="24"/>
      <c r="DA1" s="24"/>
      <c r="DB1" s="24"/>
      <c r="DC1" s="24"/>
      <c r="DD1" s="24"/>
      <c r="DE1" s="24"/>
      <c r="DF1" s="24"/>
      <c r="DG1" s="24"/>
      <c r="DH1" s="24"/>
      <c r="DI1" s="24"/>
      <c r="DJ1" s="24"/>
      <c r="DK1" s="24"/>
      <c r="DL1" s="24"/>
      <c r="DM1" s="24"/>
      <c r="DN1" s="24"/>
      <c r="DO1" s="24"/>
      <c r="DP1" s="24"/>
      <c r="DQ1" s="24"/>
      <c r="DR1" s="24"/>
      <c r="DS1" s="24"/>
      <c r="DT1" s="24"/>
      <c r="DU1" s="24"/>
      <c r="DV1" s="24"/>
      <c r="DW1" s="24"/>
      <c r="DX1" s="24"/>
      <c r="DY1" s="24"/>
      <c r="DZ1" s="24"/>
      <c r="EA1" s="24"/>
    </row>
    <row r="2" spans="1:131" ht="13.5" thickBot="1">
      <c r="A2" s="189"/>
      <c r="B2" s="190"/>
      <c r="C2" s="191"/>
      <c r="D2" s="191"/>
      <c r="E2" s="191"/>
      <c r="F2" s="191"/>
      <c r="G2" s="191"/>
      <c r="H2" s="191"/>
      <c r="I2" s="191"/>
      <c r="J2" s="191"/>
      <c r="K2" s="191"/>
      <c r="L2" s="191"/>
      <c r="M2" s="191"/>
      <c r="N2" s="191"/>
      <c r="O2" s="192" t="s">
        <v>385</v>
      </c>
      <c r="P2" s="193"/>
      <c r="Q2" s="193"/>
      <c r="R2" s="193"/>
      <c r="S2" s="193"/>
      <c r="T2" s="193"/>
      <c r="U2" s="193"/>
      <c r="V2" s="193"/>
      <c r="W2" s="193"/>
      <c r="X2" s="193"/>
      <c r="Y2" s="193"/>
      <c r="Z2" s="194"/>
      <c r="AA2" s="191"/>
      <c r="AB2" s="192" t="s">
        <v>386</v>
      </c>
      <c r="AC2" s="193"/>
      <c r="AD2" s="193"/>
      <c r="AE2" s="193"/>
      <c r="AF2" s="193"/>
      <c r="AG2" s="193"/>
      <c r="AH2" s="193"/>
      <c r="AI2" s="193"/>
      <c r="AJ2" s="193"/>
      <c r="AK2" s="193"/>
      <c r="AL2" s="193"/>
      <c r="AM2" s="194"/>
      <c r="AN2" s="45"/>
      <c r="AO2" s="45"/>
      <c r="AP2" s="45"/>
      <c r="AQ2" s="45"/>
      <c r="AR2" s="45"/>
      <c r="AS2" s="45"/>
      <c r="AT2" s="45"/>
      <c r="AU2" s="45"/>
      <c r="AV2" s="45"/>
      <c r="AW2" s="45"/>
      <c r="AX2" s="45"/>
      <c r="AY2" s="45"/>
      <c r="AZ2" s="45"/>
      <c r="BA2" s="45"/>
      <c r="BB2" s="45"/>
      <c r="BC2" s="45"/>
      <c r="BD2" s="45"/>
      <c r="BE2" s="45"/>
      <c r="BF2" s="45"/>
      <c r="BG2" s="45"/>
      <c r="BH2" s="45"/>
      <c r="BI2" s="45"/>
      <c r="BJ2" s="45"/>
      <c r="BK2" s="45"/>
      <c r="BL2" s="45"/>
      <c r="BM2" s="45"/>
      <c r="BN2" s="45"/>
      <c r="BO2" s="45"/>
      <c r="BP2" s="45"/>
      <c r="BQ2" s="45"/>
      <c r="BR2" s="45"/>
      <c r="BS2" s="45"/>
      <c r="BT2" s="45"/>
      <c r="BU2" s="45"/>
      <c r="BV2" s="45"/>
      <c r="BW2" s="45"/>
      <c r="BX2" s="45"/>
      <c r="BY2" s="45"/>
      <c r="BZ2" s="45"/>
      <c r="CA2" s="45"/>
      <c r="CB2" s="45"/>
      <c r="CC2" s="45"/>
      <c r="CD2" s="45"/>
      <c r="CE2" s="45"/>
      <c r="CF2" s="45"/>
      <c r="CG2" s="45"/>
      <c r="CH2" s="45"/>
      <c r="CI2" s="45"/>
      <c r="CJ2" s="45"/>
      <c r="CK2" s="45"/>
      <c r="CL2" s="45"/>
      <c r="CM2" s="45"/>
      <c r="CN2" s="45"/>
      <c r="CO2" s="45"/>
      <c r="CP2" s="45"/>
      <c r="CQ2" s="45"/>
      <c r="CR2" s="45"/>
      <c r="CS2" s="45"/>
      <c r="CT2" s="45"/>
      <c r="CU2" s="45"/>
      <c r="CV2" s="45"/>
      <c r="CW2" s="45"/>
      <c r="CX2" s="24"/>
      <c r="CY2" s="24"/>
      <c r="CZ2" s="24"/>
      <c r="DA2" s="24"/>
      <c r="DB2" s="24"/>
      <c r="DC2" s="24"/>
      <c r="DD2" s="24"/>
      <c r="DE2" s="24"/>
      <c r="DF2" s="24"/>
      <c r="DG2" s="24"/>
      <c r="DH2" s="24"/>
      <c r="DI2" s="24"/>
      <c r="DJ2" s="24"/>
      <c r="DK2" s="24"/>
      <c r="DL2" s="24"/>
      <c r="DM2" s="24"/>
      <c r="DN2" s="24"/>
      <c r="DO2" s="24"/>
      <c r="DP2" s="24"/>
      <c r="DQ2" s="24"/>
      <c r="DR2" s="24"/>
      <c r="DS2" s="24"/>
      <c r="DT2" s="24"/>
      <c r="DU2" s="24"/>
      <c r="DV2" s="24"/>
      <c r="DW2" s="24"/>
      <c r="DX2" s="24"/>
      <c r="DY2" s="24"/>
      <c r="DZ2" s="24"/>
      <c r="EA2" s="24"/>
    </row>
    <row r="3" spans="1:131" ht="135.75" customHeight="1">
      <c r="A3" s="195" t="s">
        <v>387</v>
      </c>
      <c r="B3" s="196" t="s">
        <v>388</v>
      </c>
      <c r="C3" s="197" t="s">
        <v>389</v>
      </c>
      <c r="D3" s="197" t="s">
        <v>390</v>
      </c>
      <c r="E3" s="197" t="s">
        <v>391</v>
      </c>
      <c r="F3" s="197" t="s">
        <v>392</v>
      </c>
      <c r="G3" s="197" t="s">
        <v>393</v>
      </c>
      <c r="H3" s="197" t="s">
        <v>394</v>
      </c>
      <c r="I3" s="197" t="s">
        <v>395</v>
      </c>
      <c r="J3" s="197" t="s">
        <v>396</v>
      </c>
      <c r="K3" s="197" t="s">
        <v>397</v>
      </c>
      <c r="L3" s="197" t="s">
        <v>398</v>
      </c>
      <c r="M3" s="197" t="s">
        <v>399</v>
      </c>
      <c r="N3" s="197" t="s">
        <v>400</v>
      </c>
      <c r="O3" s="197" t="s">
        <v>401</v>
      </c>
      <c r="P3" s="197" t="s">
        <v>402</v>
      </c>
      <c r="Q3" s="197" t="s">
        <v>403</v>
      </c>
      <c r="R3" s="197" t="s">
        <v>404</v>
      </c>
      <c r="S3" s="197" t="s">
        <v>405</v>
      </c>
      <c r="T3" s="197" t="s">
        <v>406</v>
      </c>
      <c r="U3" s="197" t="s">
        <v>407</v>
      </c>
      <c r="V3" s="197" t="s">
        <v>408</v>
      </c>
      <c r="W3" s="197" t="s">
        <v>409</v>
      </c>
      <c r="X3" s="197" t="s">
        <v>410</v>
      </c>
      <c r="Y3" s="197" t="s">
        <v>411</v>
      </c>
      <c r="Z3" s="197" t="s">
        <v>412</v>
      </c>
      <c r="AA3" s="197"/>
      <c r="AB3" s="197" t="s">
        <v>401</v>
      </c>
      <c r="AC3" s="197" t="s">
        <v>402</v>
      </c>
      <c r="AD3" s="197" t="s">
        <v>403</v>
      </c>
      <c r="AE3" s="197" t="s">
        <v>404</v>
      </c>
      <c r="AF3" s="197" t="s">
        <v>405</v>
      </c>
      <c r="AG3" s="197" t="s">
        <v>406</v>
      </c>
      <c r="AH3" s="197" t="s">
        <v>407</v>
      </c>
      <c r="AI3" s="197" t="s">
        <v>408</v>
      </c>
      <c r="AJ3" s="197" t="s">
        <v>409</v>
      </c>
      <c r="AK3" s="197" t="s">
        <v>410</v>
      </c>
      <c r="AL3" s="197" t="s">
        <v>411</v>
      </c>
      <c r="AM3" s="197" t="s">
        <v>412</v>
      </c>
      <c r="AN3" s="45"/>
      <c r="AO3" s="45"/>
      <c r="AP3" s="45"/>
      <c r="AQ3" s="45"/>
      <c r="AR3" s="45"/>
      <c r="AS3" s="45"/>
      <c r="AT3" s="45"/>
      <c r="AU3" s="45"/>
      <c r="AV3" s="45"/>
      <c r="AW3" s="45"/>
      <c r="AX3" s="45"/>
      <c r="AY3" s="45"/>
      <c r="AZ3" s="45"/>
      <c r="BA3" s="45"/>
      <c r="BB3" s="45"/>
      <c r="BC3" s="45"/>
      <c r="BD3" s="45"/>
      <c r="BE3" s="45"/>
      <c r="BF3" s="45"/>
      <c r="BG3" s="45"/>
      <c r="BH3" s="45"/>
      <c r="BI3" s="45"/>
      <c r="BJ3" s="45"/>
      <c r="BK3" s="45"/>
      <c r="BL3" s="45"/>
      <c r="BM3" s="45"/>
      <c r="BN3" s="45"/>
      <c r="BO3" s="45"/>
      <c r="BP3" s="45"/>
      <c r="BQ3" s="45"/>
      <c r="BR3" s="45"/>
      <c r="BS3" s="45"/>
      <c r="BT3" s="45"/>
      <c r="BU3" s="45"/>
      <c r="BV3" s="45"/>
      <c r="BW3" s="45"/>
      <c r="BX3" s="45"/>
      <c r="BY3" s="45"/>
      <c r="BZ3" s="45"/>
      <c r="CA3" s="45"/>
      <c r="CB3" s="45"/>
      <c r="CC3" s="45"/>
      <c r="CD3" s="45"/>
      <c r="CE3" s="45"/>
      <c r="CF3" s="45"/>
      <c r="CG3" s="45"/>
      <c r="CH3" s="45"/>
      <c r="CI3" s="45"/>
      <c r="CJ3" s="45"/>
      <c r="CK3" s="45"/>
      <c r="CL3" s="45"/>
      <c r="CM3" s="45"/>
      <c r="CN3" s="45"/>
      <c r="CO3" s="45"/>
      <c r="CP3" s="45"/>
      <c r="CQ3" s="45"/>
      <c r="CR3" s="45"/>
      <c r="CS3" s="45"/>
      <c r="CT3" s="45"/>
      <c r="CU3" s="45"/>
      <c r="CV3" s="45"/>
      <c r="CW3" s="45"/>
      <c r="CX3" s="24"/>
      <c r="CY3" s="24"/>
      <c r="CZ3" s="24"/>
      <c r="DA3" s="24"/>
      <c r="DB3" s="24"/>
      <c r="DC3" s="24"/>
      <c r="DD3" s="24"/>
      <c r="DE3" s="24"/>
      <c r="DF3" s="24"/>
      <c r="DG3" s="24"/>
      <c r="DH3" s="24"/>
      <c r="DI3" s="24"/>
      <c r="DJ3" s="24"/>
      <c r="DK3" s="24"/>
      <c r="DL3" s="24"/>
      <c r="DM3" s="24"/>
      <c r="DN3" s="24"/>
      <c r="DO3" s="24"/>
      <c r="DP3" s="24"/>
      <c r="DQ3" s="24"/>
      <c r="DR3" s="24"/>
      <c r="DS3" s="24"/>
      <c r="DT3" s="24"/>
      <c r="DU3" s="24"/>
      <c r="DV3" s="24"/>
      <c r="DW3" s="24"/>
      <c r="DX3" s="24"/>
      <c r="DY3" s="24"/>
      <c r="DZ3" s="24"/>
      <c r="EA3" s="24"/>
    </row>
    <row r="4" spans="1:131">
      <c r="A4" s="24" t="s">
        <v>414</v>
      </c>
      <c r="B4" s="24"/>
      <c r="C4" s="198">
        <v>694.58425772131352</v>
      </c>
      <c r="D4" s="198">
        <v>6.6707622506870052</v>
      </c>
      <c r="E4" s="198">
        <v>1.3341524501374011</v>
      </c>
      <c r="F4" s="198">
        <v>8.0049147008244059</v>
      </c>
      <c r="G4" s="198">
        <v>-44.803350498813117</v>
      </c>
      <c r="H4" s="198">
        <v>458.01913323488742</v>
      </c>
      <c r="I4" s="198">
        <v>100.95687024245389</v>
      </c>
      <c r="J4" s="198">
        <v>-12.644513228249723</v>
      </c>
      <c r="K4" s="198">
        <v>-17.998720942754002</v>
      </c>
      <c r="L4" s="199">
        <v>53.08927981044544</v>
      </c>
      <c r="M4" s="198">
        <v>6.598567930696162</v>
      </c>
      <c r="N4" s="198">
        <v>0.16212621155567028</v>
      </c>
      <c r="O4" s="198">
        <v>28.448411197119828</v>
      </c>
      <c r="P4" s="198">
        <v>21.030843228651925</v>
      </c>
      <c r="Q4" s="198">
        <v>19.591200466866493</v>
      </c>
      <c r="R4" s="198">
        <v>11.246790967253286</v>
      </c>
      <c r="S4" s="198">
        <v>9.0344226035697073</v>
      </c>
      <c r="T4" s="198">
        <v>7.008069317481068</v>
      </c>
      <c r="U4" s="198">
        <v>7.3128656202634215</v>
      </c>
      <c r="V4" s="198">
        <v>10.644117359946245</v>
      </c>
      <c r="W4" s="198">
        <v>13.448006784018087</v>
      </c>
      <c r="X4" s="198">
        <v>21.938904793273181</v>
      </c>
      <c r="Y4" s="198">
        <v>25.405841397322472</v>
      </c>
      <c r="Z4" s="198">
        <v>29.927568864080122</v>
      </c>
      <c r="AA4" s="198"/>
      <c r="AB4" s="198">
        <v>47.14876842694138</v>
      </c>
      <c r="AC4" s="198">
        <v>40.897605854595454</v>
      </c>
      <c r="AD4" s="198">
        <v>41.229211825941405</v>
      </c>
      <c r="AE4" s="198">
        <v>39.260516357946884</v>
      </c>
      <c r="AF4" s="198">
        <v>36.160934041708259</v>
      </c>
      <c r="AG4" s="198">
        <v>32.855567114926686</v>
      </c>
      <c r="AH4" s="198">
        <v>35.877431576419603</v>
      </c>
      <c r="AI4" s="198">
        <v>38.740577219748644</v>
      </c>
      <c r="AJ4" s="198">
        <v>41.758348233872397</v>
      </c>
      <c r="AK4" s="198">
        <v>43.096981040231533</v>
      </c>
      <c r="AL4" s="198">
        <v>45.177671890782143</v>
      </c>
      <c r="AM4" s="45">
        <v>47.343601538353454</v>
      </c>
      <c r="AN4" s="45"/>
      <c r="AO4" s="45"/>
      <c r="AP4" s="45"/>
      <c r="AQ4" s="45"/>
      <c r="AR4" s="45"/>
      <c r="AS4" s="45"/>
      <c r="AT4" s="45"/>
      <c r="AU4" s="45"/>
      <c r="AV4" s="45"/>
      <c r="AW4" s="45"/>
      <c r="AX4" s="45"/>
      <c r="AY4" s="45"/>
      <c r="AZ4" s="45"/>
      <c r="BA4" s="45"/>
      <c r="BB4" s="45"/>
      <c r="BC4" s="45"/>
      <c r="BD4" s="45"/>
      <c r="BE4" s="45"/>
      <c r="BF4" s="45"/>
      <c r="BG4" s="45"/>
      <c r="BH4" s="45"/>
      <c r="BI4" s="45"/>
      <c r="BJ4" s="45"/>
      <c r="BK4" s="45"/>
      <c r="BL4" s="45"/>
      <c r="BM4" s="45"/>
      <c r="BN4" s="45"/>
      <c r="BO4" s="45"/>
      <c r="BP4" s="45"/>
      <c r="BQ4" s="45"/>
      <c r="BR4" s="45"/>
      <c r="BS4" s="45"/>
      <c r="BT4" s="45"/>
      <c r="BU4" s="45"/>
      <c r="BV4" s="45"/>
      <c r="BW4" s="45"/>
      <c r="BX4" s="45"/>
      <c r="BY4" s="45"/>
      <c r="BZ4" s="45"/>
      <c r="CA4" s="45"/>
      <c r="CB4" s="45"/>
      <c r="CC4" s="45"/>
      <c r="CD4" s="45"/>
      <c r="CE4" s="45"/>
      <c r="CF4" s="45"/>
      <c r="CG4" s="45"/>
      <c r="CH4" s="45"/>
      <c r="CI4" s="45"/>
      <c r="CJ4" s="45"/>
      <c r="CK4" s="45"/>
      <c r="CL4" s="45"/>
      <c r="CM4" s="45"/>
      <c r="CN4" s="45"/>
      <c r="CO4" s="45"/>
      <c r="CP4" s="45"/>
      <c r="CQ4" s="45"/>
      <c r="CR4" s="45"/>
      <c r="CS4" s="45"/>
      <c r="CT4" s="45"/>
      <c r="CU4" s="45"/>
      <c r="CV4" s="45"/>
      <c r="CW4" s="45"/>
      <c r="CX4" s="24"/>
      <c r="CY4" s="24"/>
      <c r="CZ4" s="24"/>
      <c r="DA4" s="24"/>
      <c r="DB4" s="24"/>
      <c r="DC4" s="24"/>
      <c r="DD4" s="24"/>
      <c r="DE4" s="24"/>
      <c r="DF4" s="24"/>
      <c r="DG4" s="24"/>
      <c r="DH4" s="24"/>
      <c r="DI4" s="24"/>
      <c r="DJ4" s="24"/>
      <c r="DK4" s="24"/>
      <c r="DL4" s="24"/>
      <c r="DM4" s="24"/>
      <c r="DN4" s="24"/>
      <c r="DO4" s="24"/>
      <c r="DP4" s="24"/>
      <c r="DQ4" s="24"/>
      <c r="DR4" s="24"/>
      <c r="DS4" s="24"/>
      <c r="DT4" s="24"/>
      <c r="DU4" s="24"/>
      <c r="DV4" s="24"/>
      <c r="DW4" s="24"/>
      <c r="DX4" s="24"/>
      <c r="DY4" s="24"/>
      <c r="DZ4" s="24"/>
      <c r="EA4" s="24"/>
    </row>
    <row r="5" spans="1:131">
      <c r="A5" s="24" t="s">
        <v>416</v>
      </c>
      <c r="B5" s="24"/>
      <c r="C5" s="198">
        <v>299.03666118432898</v>
      </c>
      <c r="D5" s="198">
        <v>4.7789999869194872</v>
      </c>
      <c r="E5" s="198">
        <v>0.95579999738389754</v>
      </c>
      <c r="F5" s="198">
        <v>5.7347999843033843</v>
      </c>
      <c r="G5" s="198">
        <v>-465.75460227714183</v>
      </c>
      <c r="H5" s="198">
        <v>197.18919747826337</v>
      </c>
      <c r="I5" s="198">
        <v>167.99561519826892</v>
      </c>
      <c r="J5" s="198">
        <v>-12.240845660188761</v>
      </c>
      <c r="K5" s="198">
        <v>-127.85722269419686</v>
      </c>
      <c r="L5" s="199">
        <v>49.519092126056584</v>
      </c>
      <c r="M5" s="198">
        <v>2.8408558078566108</v>
      </c>
      <c r="N5" s="198">
        <v>6.9799567806392765E-2</v>
      </c>
      <c r="O5" s="198">
        <v>12.24778391651785</v>
      </c>
      <c r="P5" s="198">
        <v>9.0543272051962393</v>
      </c>
      <c r="Q5" s="198">
        <v>8.434523401702565</v>
      </c>
      <c r="R5" s="198">
        <v>4.8420372078673042</v>
      </c>
      <c r="S5" s="198">
        <v>3.8895548539536353</v>
      </c>
      <c r="T5" s="198">
        <v>3.0171568485053668</v>
      </c>
      <c r="U5" s="198">
        <v>3.1483796162432629</v>
      </c>
      <c r="V5" s="198">
        <v>4.582570481822783</v>
      </c>
      <c r="W5" s="198">
        <v>5.789718099097044</v>
      </c>
      <c r="X5" s="198">
        <v>9.4452714217049714</v>
      </c>
      <c r="Y5" s="198">
        <v>10.937878164641846</v>
      </c>
      <c r="Z5" s="198">
        <v>12.884599918573686</v>
      </c>
      <c r="AA5" s="198"/>
      <c r="AB5" s="198">
        <v>20.298776041369273</v>
      </c>
      <c r="AC5" s="198">
        <v>17.607487312356941</v>
      </c>
      <c r="AD5" s="198">
        <v>17.750252342513821</v>
      </c>
      <c r="AE5" s="198">
        <v>16.90267753341988</v>
      </c>
      <c r="AF5" s="198">
        <v>15.568226404402379</v>
      </c>
      <c r="AG5" s="198">
        <v>14.14517962672771</v>
      </c>
      <c r="AH5" s="198">
        <v>15.446171189768565</v>
      </c>
      <c r="AI5" s="198">
        <v>16.678830156838185</v>
      </c>
      <c r="AJ5" s="198">
        <v>17.978059383891143</v>
      </c>
      <c r="AK5" s="198">
        <v>18.554375763819891</v>
      </c>
      <c r="AL5" s="198">
        <v>19.450167509729397</v>
      </c>
      <c r="AM5" s="45">
        <v>20.382656783665329</v>
      </c>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24"/>
      <c r="CY5" s="24"/>
      <c r="CZ5" s="24"/>
      <c r="DA5" s="24"/>
      <c r="DB5" s="24"/>
      <c r="DC5" s="24"/>
      <c r="DD5" s="24"/>
      <c r="DE5" s="24"/>
      <c r="DF5" s="24"/>
      <c r="DG5" s="24"/>
      <c r="DH5" s="24"/>
      <c r="DI5" s="24"/>
      <c r="DJ5" s="24"/>
      <c r="DK5" s="24"/>
      <c r="DL5" s="24"/>
      <c r="DM5" s="24"/>
      <c r="DN5" s="24"/>
      <c r="DO5" s="24"/>
      <c r="DP5" s="24"/>
      <c r="DQ5" s="24"/>
      <c r="DR5" s="24"/>
      <c r="DS5" s="24"/>
      <c r="DT5" s="24"/>
      <c r="DU5" s="24"/>
      <c r="DV5" s="24"/>
      <c r="DW5" s="24"/>
      <c r="DX5" s="24"/>
      <c r="DY5" s="24"/>
      <c r="DZ5" s="24"/>
      <c r="EA5" s="24"/>
    </row>
    <row r="6" spans="1:131">
      <c r="A6" s="24" t="s">
        <v>417</v>
      </c>
      <c r="B6" s="24"/>
      <c r="C6" s="198">
        <v>299.03666118432898</v>
      </c>
      <c r="D6" s="198">
        <v>4.7789999869194872</v>
      </c>
      <c r="E6" s="198">
        <v>0.95579999738389754</v>
      </c>
      <c r="F6" s="198">
        <v>5.7347999843033843</v>
      </c>
      <c r="G6" s="198">
        <v>-465.75460227714183</v>
      </c>
      <c r="H6" s="198">
        <v>197.18919747826337</v>
      </c>
      <c r="I6" s="198">
        <v>167.99561519826892</v>
      </c>
      <c r="J6" s="198">
        <v>-12.240845660188761</v>
      </c>
      <c r="K6" s="198">
        <v>-127.85722269419686</v>
      </c>
      <c r="L6" s="199">
        <v>49.519092126056584</v>
      </c>
      <c r="M6" s="198">
        <v>2.8408558078566108</v>
      </c>
      <c r="N6" s="198">
        <v>6.9799567806392765E-2</v>
      </c>
      <c r="O6" s="198">
        <v>12.24778391651785</v>
      </c>
      <c r="P6" s="198">
        <v>9.0543272051962393</v>
      </c>
      <c r="Q6" s="198">
        <v>8.434523401702565</v>
      </c>
      <c r="R6" s="198">
        <v>4.8420372078673042</v>
      </c>
      <c r="S6" s="198">
        <v>3.8895548539536353</v>
      </c>
      <c r="T6" s="198">
        <v>3.0171568485053668</v>
      </c>
      <c r="U6" s="198">
        <v>3.1483796162432629</v>
      </c>
      <c r="V6" s="198">
        <v>4.582570481822783</v>
      </c>
      <c r="W6" s="198">
        <v>5.789718099097044</v>
      </c>
      <c r="X6" s="198">
        <v>9.4452714217049714</v>
      </c>
      <c r="Y6" s="198">
        <v>10.937878164641846</v>
      </c>
      <c r="Z6" s="198">
        <v>12.884599918573686</v>
      </c>
      <c r="AA6" s="198"/>
      <c r="AB6" s="198">
        <v>20.298776041369273</v>
      </c>
      <c r="AC6" s="198">
        <v>17.607487312356941</v>
      </c>
      <c r="AD6" s="198">
        <v>17.750252342513821</v>
      </c>
      <c r="AE6" s="198">
        <v>16.90267753341988</v>
      </c>
      <c r="AF6" s="198">
        <v>15.568226404402379</v>
      </c>
      <c r="AG6" s="198">
        <v>14.14517962672771</v>
      </c>
      <c r="AH6" s="198">
        <v>15.446171189768565</v>
      </c>
      <c r="AI6" s="198">
        <v>16.678830156838185</v>
      </c>
      <c r="AJ6" s="198">
        <v>17.978059383891143</v>
      </c>
      <c r="AK6" s="198">
        <v>18.554375763819891</v>
      </c>
      <c r="AL6" s="198">
        <v>19.450167509729397</v>
      </c>
      <c r="AM6" s="45">
        <v>20.382656783665329</v>
      </c>
      <c r="AN6" s="45"/>
      <c r="AO6" s="45"/>
      <c r="AP6" s="45"/>
      <c r="AQ6" s="45"/>
      <c r="AR6" s="45"/>
      <c r="AS6" s="45"/>
      <c r="AT6" s="45"/>
      <c r="AU6" s="45"/>
      <c r="AV6" s="45"/>
      <c r="AW6" s="45"/>
      <c r="AX6" s="45"/>
      <c r="AY6" s="45"/>
      <c r="AZ6" s="45"/>
      <c r="BA6" s="45"/>
      <c r="BB6" s="45"/>
      <c r="BC6" s="45"/>
      <c r="BD6" s="45"/>
      <c r="BE6" s="45"/>
      <c r="BF6" s="45"/>
      <c r="BG6" s="45"/>
      <c r="BH6" s="45"/>
      <c r="BI6" s="45"/>
      <c r="BJ6" s="45"/>
      <c r="BK6" s="45"/>
      <c r="BL6" s="45"/>
      <c r="BM6" s="45"/>
      <c r="BN6" s="45"/>
      <c r="BO6" s="45"/>
      <c r="BP6" s="45"/>
      <c r="BQ6" s="45"/>
      <c r="BR6" s="45"/>
      <c r="BS6" s="45"/>
      <c r="BT6" s="45"/>
      <c r="BU6" s="45"/>
      <c r="BV6" s="45"/>
      <c r="BW6" s="45"/>
      <c r="BX6" s="45"/>
      <c r="BY6" s="45"/>
      <c r="BZ6" s="45"/>
      <c r="CA6" s="45"/>
      <c r="CB6" s="45"/>
      <c r="CC6" s="45"/>
      <c r="CD6" s="45"/>
      <c r="CE6" s="45"/>
      <c r="CF6" s="45"/>
      <c r="CG6" s="45"/>
      <c r="CH6" s="45"/>
      <c r="CI6" s="45"/>
      <c r="CJ6" s="45"/>
      <c r="CK6" s="45"/>
      <c r="CL6" s="45"/>
      <c r="CM6" s="45"/>
      <c r="CN6" s="45"/>
      <c r="CO6" s="45"/>
      <c r="CP6" s="45"/>
      <c r="CQ6" s="45"/>
      <c r="CR6" s="45"/>
      <c r="CS6" s="45"/>
      <c r="CT6" s="45"/>
      <c r="CU6" s="45"/>
      <c r="CV6" s="45"/>
      <c r="CW6" s="45"/>
      <c r="CX6" s="24"/>
      <c r="CY6" s="24"/>
      <c r="CZ6" s="24"/>
      <c r="DA6" s="24"/>
      <c r="DB6" s="24"/>
      <c r="DC6" s="24"/>
      <c r="DD6" s="24"/>
      <c r="DE6" s="24"/>
      <c r="DF6" s="24"/>
      <c r="DG6" s="24"/>
      <c r="DH6" s="24"/>
      <c r="DI6" s="24"/>
      <c r="DJ6" s="24"/>
      <c r="DK6" s="24"/>
      <c r="DL6" s="24"/>
      <c r="DM6" s="24"/>
      <c r="DN6" s="24"/>
      <c r="DO6" s="24"/>
      <c r="DP6" s="24"/>
      <c r="DQ6" s="24"/>
      <c r="DR6" s="24"/>
      <c r="DS6" s="24"/>
      <c r="DT6" s="24"/>
      <c r="DU6" s="24"/>
      <c r="DV6" s="24"/>
      <c r="DW6" s="24"/>
      <c r="DX6" s="24"/>
      <c r="DY6" s="24"/>
      <c r="DZ6" s="24"/>
      <c r="EA6" s="24"/>
    </row>
    <row r="7" spans="1:131">
      <c r="A7" s="24" t="s">
        <v>415</v>
      </c>
      <c r="B7" s="24"/>
      <c r="C7" s="198">
        <v>696.18365257841458</v>
      </c>
      <c r="D7" s="198">
        <v>7.3019593555087283</v>
      </c>
      <c r="E7" s="198">
        <v>1.4603918711017458</v>
      </c>
      <c r="F7" s="198">
        <v>8.7623512266104733</v>
      </c>
      <c r="G7" s="198">
        <v>-47.351248456566871</v>
      </c>
      <c r="H7" s="198">
        <v>459.073797860534</v>
      </c>
      <c r="I7" s="198">
        <v>110.25567242325056</v>
      </c>
      <c r="J7" s="198">
        <v>-12.588521355718758</v>
      </c>
      <c r="K7" s="198">
        <v>-18.257111921085425</v>
      </c>
      <c r="L7" s="199">
        <v>48.92751277875464</v>
      </c>
      <c r="M7" s="198">
        <v>6.6137622220945982</v>
      </c>
      <c r="N7" s="198">
        <v>0.16249953390797076</v>
      </c>
      <c r="O7" s="198">
        <v>28.513918357778262</v>
      </c>
      <c r="P7" s="198">
        <v>21.07927021519313</v>
      </c>
      <c r="Q7" s="198">
        <v>19.636312438413242</v>
      </c>
      <c r="R7" s="198">
        <v>11.272688559132099</v>
      </c>
      <c r="S7" s="198">
        <v>9.0552258522589746</v>
      </c>
      <c r="T7" s="198">
        <v>7.0242065533887157</v>
      </c>
      <c r="U7" s="198">
        <v>7.3297046999484285</v>
      </c>
      <c r="V7" s="198">
        <v>10.668627196405437</v>
      </c>
      <c r="W7" s="198">
        <v>13.478973038507039</v>
      </c>
      <c r="X7" s="198">
        <v>21.98942274139355</v>
      </c>
      <c r="Y7" s="198">
        <v>25.464342539004704</v>
      </c>
      <c r="Z7" s="198">
        <v>29.996482029321985</v>
      </c>
      <c r="AA7" s="198"/>
      <c r="AB7" s="198">
        <v>47.257336245607604</v>
      </c>
      <c r="AC7" s="198">
        <v>40.991779340021367</v>
      </c>
      <c r="AD7" s="198">
        <v>41.324148888830038</v>
      </c>
      <c r="AE7" s="198">
        <v>39.350920174693371</v>
      </c>
      <c r="AF7" s="198">
        <v>36.244200558752595</v>
      </c>
      <c r="AG7" s="198">
        <v>32.931222479249435</v>
      </c>
      <c r="AH7" s="198">
        <v>35.960045282260815</v>
      </c>
      <c r="AI7" s="198">
        <v>38.829783790841496</v>
      </c>
      <c r="AJ7" s="198">
        <v>41.854503720645738</v>
      </c>
      <c r="AK7" s="198">
        <v>43.196218949910715</v>
      </c>
      <c r="AL7" s="198">
        <v>45.281700934450605</v>
      </c>
      <c r="AM7" s="45">
        <v>47.452617992405401</v>
      </c>
      <c r="AN7" s="45"/>
      <c r="AO7" s="45"/>
      <c r="AP7" s="45"/>
      <c r="AQ7" s="45"/>
      <c r="AR7" s="45"/>
      <c r="AS7" s="45"/>
      <c r="AT7" s="45"/>
      <c r="AU7" s="45"/>
      <c r="AV7" s="45"/>
      <c r="AW7" s="45"/>
      <c r="AX7" s="45"/>
      <c r="AY7" s="45"/>
      <c r="AZ7" s="45"/>
      <c r="BA7" s="45"/>
      <c r="BB7" s="45"/>
      <c r="BC7" s="45"/>
      <c r="BD7" s="45"/>
      <c r="BE7" s="45"/>
      <c r="BF7" s="45"/>
      <c r="BG7" s="45"/>
      <c r="BH7" s="45"/>
      <c r="BI7" s="45"/>
      <c r="BJ7" s="45"/>
      <c r="BK7" s="45"/>
      <c r="BL7" s="45"/>
      <c r="BM7" s="45"/>
      <c r="BN7" s="45"/>
      <c r="BO7" s="45"/>
      <c r="BP7" s="45"/>
      <c r="BQ7" s="45"/>
      <c r="BR7" s="45"/>
      <c r="BS7" s="45"/>
      <c r="BT7" s="45"/>
      <c r="BU7" s="45"/>
      <c r="BV7" s="45"/>
      <c r="BW7" s="45"/>
      <c r="BX7" s="45"/>
      <c r="BY7" s="45"/>
      <c r="BZ7" s="45"/>
      <c r="CA7" s="45"/>
      <c r="CB7" s="45"/>
      <c r="CC7" s="45"/>
      <c r="CD7" s="45"/>
      <c r="CE7" s="45"/>
      <c r="CF7" s="45"/>
      <c r="CG7" s="45"/>
      <c r="CH7" s="45"/>
      <c r="CI7" s="45"/>
      <c r="CJ7" s="45"/>
      <c r="CK7" s="45"/>
      <c r="CL7" s="45"/>
      <c r="CM7" s="45"/>
      <c r="CN7" s="45"/>
      <c r="CO7" s="45"/>
      <c r="CP7" s="45"/>
      <c r="CQ7" s="45"/>
      <c r="CR7" s="45"/>
      <c r="CS7" s="45"/>
      <c r="CT7" s="45"/>
      <c r="CU7" s="45"/>
      <c r="CV7" s="45"/>
      <c r="CW7" s="45"/>
      <c r="CX7" s="24"/>
      <c r="CY7" s="24"/>
      <c r="CZ7" s="24"/>
      <c r="DA7" s="24"/>
      <c r="DB7" s="24"/>
      <c r="DC7" s="24"/>
      <c r="DD7" s="24"/>
      <c r="DE7" s="24"/>
      <c r="DF7" s="24"/>
      <c r="DG7" s="24"/>
      <c r="DH7" s="24"/>
      <c r="DI7" s="24"/>
      <c r="DJ7" s="24"/>
      <c r="DK7" s="24"/>
      <c r="DL7" s="24"/>
      <c r="DM7" s="24"/>
      <c r="DN7" s="24"/>
      <c r="DO7" s="24"/>
      <c r="DP7" s="24"/>
      <c r="DQ7" s="24"/>
      <c r="DR7" s="24"/>
      <c r="DS7" s="24"/>
      <c r="DT7" s="24"/>
      <c r="DU7" s="24"/>
      <c r="DV7" s="24"/>
      <c r="DW7" s="24"/>
      <c r="DX7" s="24"/>
      <c r="DY7" s="24"/>
      <c r="DZ7" s="24"/>
      <c r="EA7" s="24"/>
    </row>
    <row r="8" spans="1:131">
      <c r="A8" s="24" t="s">
        <v>418</v>
      </c>
      <c r="B8" s="24"/>
      <c r="C8" s="198">
        <v>1722.7756260529418</v>
      </c>
      <c r="D8" s="198">
        <v>51.863052062075326</v>
      </c>
      <c r="E8" s="198">
        <v>10.372610412415066</v>
      </c>
      <c r="F8" s="198">
        <v>62.23566247449039</v>
      </c>
      <c r="G8" s="198">
        <v>-31.40088446752727</v>
      </c>
      <c r="H8" s="198">
        <v>1136.0237296359132</v>
      </c>
      <c r="I8" s="198">
        <v>316.45699824858218</v>
      </c>
      <c r="J8" s="198">
        <v>-11.346899249253015</v>
      </c>
      <c r="K8" s="198">
        <v>-14.593583923608213</v>
      </c>
      <c r="L8" s="199">
        <v>16.555354087226934</v>
      </c>
      <c r="M8" s="198">
        <v>16.366411808916986</v>
      </c>
      <c r="N8" s="198">
        <v>0.40212124376201641</v>
      </c>
      <c r="O8" s="198">
        <v>70.56052432157756</v>
      </c>
      <c r="P8" s="198">
        <v>52.162748733356906</v>
      </c>
      <c r="Q8" s="198">
        <v>48.592006332191517</v>
      </c>
      <c r="R8" s="198">
        <v>27.89538797389563</v>
      </c>
      <c r="S8" s="198">
        <v>22.408056162908998</v>
      </c>
      <c r="T8" s="198">
        <v>17.382097091365431</v>
      </c>
      <c r="U8" s="198">
        <v>18.138082611491015</v>
      </c>
      <c r="V8" s="198">
        <v>26.400578108005242</v>
      </c>
      <c r="W8" s="198">
        <v>33.355058150189997</v>
      </c>
      <c r="X8" s="198">
        <v>54.415011598653045</v>
      </c>
      <c r="Y8" s="198">
        <v>63.014045930530052</v>
      </c>
      <c r="Z8" s="198">
        <v>74.229275444858786</v>
      </c>
      <c r="AA8" s="198"/>
      <c r="AB8" s="198">
        <v>116.94297436401092</v>
      </c>
      <c r="AC8" s="198">
        <v>101.43823121094492</v>
      </c>
      <c r="AD8" s="198">
        <v>102.26071268606873</v>
      </c>
      <c r="AE8" s="198">
        <v>97.37776215893102</v>
      </c>
      <c r="AF8" s="198">
        <v>89.689875763580062</v>
      </c>
      <c r="AG8" s="198">
        <v>81.491582304839497</v>
      </c>
      <c r="AH8" s="198">
        <v>88.986705296216584</v>
      </c>
      <c r="AI8" s="198">
        <v>96.088158393280608</v>
      </c>
      <c r="AJ8" s="198">
        <v>103.57312841721604</v>
      </c>
      <c r="AK8" s="198">
        <v>106.89333607437786</v>
      </c>
      <c r="AL8" s="198">
        <v>112.05406847340983</v>
      </c>
      <c r="AM8" s="45">
        <v>117.4262184510421</v>
      </c>
      <c r="AN8" s="45"/>
      <c r="AO8" s="45"/>
      <c r="AP8" s="45"/>
      <c r="AQ8" s="45"/>
      <c r="AR8" s="45"/>
      <c r="AS8" s="45"/>
      <c r="AT8" s="45"/>
      <c r="AU8" s="45"/>
      <c r="AV8" s="45"/>
      <c r="AW8" s="45"/>
      <c r="AX8" s="45"/>
      <c r="AY8" s="45"/>
      <c r="AZ8" s="45"/>
      <c r="BA8" s="45"/>
      <c r="BB8" s="45"/>
      <c r="BC8" s="45"/>
      <c r="BD8" s="45"/>
      <c r="BE8" s="45"/>
      <c r="BF8" s="45"/>
      <c r="BG8" s="45"/>
      <c r="BH8" s="45"/>
      <c r="BI8" s="45"/>
      <c r="BJ8" s="45"/>
      <c r="BK8" s="45"/>
      <c r="BL8" s="45"/>
      <c r="BM8" s="45"/>
      <c r="BN8" s="45"/>
      <c r="BO8" s="45"/>
      <c r="BP8" s="45"/>
      <c r="BQ8" s="45"/>
      <c r="BR8" s="45"/>
      <c r="BS8" s="45"/>
      <c r="BT8" s="45"/>
      <c r="BU8" s="45"/>
      <c r="BV8" s="45"/>
      <c r="BW8" s="45"/>
      <c r="BX8" s="45"/>
      <c r="BY8" s="45"/>
      <c r="BZ8" s="45"/>
      <c r="CA8" s="45"/>
      <c r="CB8" s="45"/>
      <c r="CC8" s="45"/>
      <c r="CD8" s="45"/>
      <c r="CE8" s="45"/>
      <c r="CF8" s="45"/>
      <c r="CG8" s="45"/>
      <c r="CH8" s="45"/>
      <c r="CI8" s="45"/>
      <c r="CJ8" s="45"/>
      <c r="CK8" s="45"/>
      <c r="CL8" s="45"/>
      <c r="CM8" s="45"/>
      <c r="CN8" s="45"/>
      <c r="CO8" s="45"/>
      <c r="CP8" s="45"/>
      <c r="CQ8" s="45"/>
      <c r="CR8" s="45"/>
      <c r="CS8" s="45"/>
      <c r="CT8" s="45"/>
      <c r="CU8" s="45"/>
      <c r="CV8" s="45"/>
      <c r="CW8" s="45"/>
      <c r="CX8" s="24"/>
      <c r="CY8" s="24"/>
      <c r="CZ8" s="24"/>
      <c r="DA8" s="24"/>
      <c r="DB8" s="24"/>
      <c r="DC8" s="24"/>
      <c r="DD8" s="24"/>
      <c r="DE8" s="24"/>
      <c r="DF8" s="24"/>
      <c r="DG8" s="24"/>
      <c r="DH8" s="24"/>
      <c r="DI8" s="24"/>
      <c r="DJ8" s="24"/>
      <c r="DK8" s="24"/>
      <c r="DL8" s="24"/>
      <c r="DM8" s="24"/>
      <c r="DN8" s="24"/>
      <c r="DO8" s="24"/>
      <c r="DP8" s="24"/>
      <c r="DQ8" s="24"/>
      <c r="DR8" s="24"/>
      <c r="DS8" s="24"/>
      <c r="DT8" s="24"/>
      <c r="DU8" s="24"/>
      <c r="DV8" s="24"/>
      <c r="DW8" s="24"/>
      <c r="DX8" s="24"/>
      <c r="DY8" s="24"/>
      <c r="DZ8" s="24"/>
      <c r="EA8" s="24"/>
    </row>
    <row r="9" spans="1:131">
      <c r="A9" s="24" t="s">
        <v>422</v>
      </c>
      <c r="B9" s="24"/>
      <c r="C9" s="198">
        <v>299.03666118432898</v>
      </c>
      <c r="D9" s="198">
        <v>30.451059986919489</v>
      </c>
      <c r="E9" s="198">
        <v>6.0902119973838982</v>
      </c>
      <c r="F9" s="198">
        <v>36.541271984303386</v>
      </c>
      <c r="G9" s="198">
        <v>-392.35600890525973</v>
      </c>
      <c r="H9" s="198">
        <v>197.18919747826337</v>
      </c>
      <c r="I9" s="198">
        <v>1070.4424712165446</v>
      </c>
      <c r="J9" s="198">
        <v>-6.8068458454061123</v>
      </c>
      <c r="K9" s="198">
        <v>-109.79657103171299</v>
      </c>
      <c r="L9" s="199">
        <v>7.7715436088052439</v>
      </c>
      <c r="M9" s="198">
        <v>2.8408558078566108</v>
      </c>
      <c r="N9" s="198">
        <v>6.9799567806392765E-2</v>
      </c>
      <c r="O9" s="198">
        <v>12.24778391651785</v>
      </c>
      <c r="P9" s="198">
        <v>9.0543272051962393</v>
      </c>
      <c r="Q9" s="198">
        <v>8.434523401702565</v>
      </c>
      <c r="R9" s="198">
        <v>4.8420372078673042</v>
      </c>
      <c r="S9" s="198">
        <v>3.8895548539536353</v>
      </c>
      <c r="T9" s="198">
        <v>3.0171568485053668</v>
      </c>
      <c r="U9" s="198">
        <v>3.1483796162432629</v>
      </c>
      <c r="V9" s="198">
        <v>4.582570481822783</v>
      </c>
      <c r="W9" s="198">
        <v>5.789718099097044</v>
      </c>
      <c r="X9" s="198">
        <v>9.4452714217049714</v>
      </c>
      <c r="Y9" s="198">
        <v>10.937878164641846</v>
      </c>
      <c r="Z9" s="198">
        <v>12.884599918573686</v>
      </c>
      <c r="AA9" s="198"/>
      <c r="AB9" s="198">
        <v>20.298776041369273</v>
      </c>
      <c r="AC9" s="198">
        <v>17.607487312356941</v>
      </c>
      <c r="AD9" s="198">
        <v>17.750252342513821</v>
      </c>
      <c r="AE9" s="198">
        <v>16.90267753341988</v>
      </c>
      <c r="AF9" s="198">
        <v>15.568226404402379</v>
      </c>
      <c r="AG9" s="198">
        <v>14.14517962672771</v>
      </c>
      <c r="AH9" s="198">
        <v>15.446171189768565</v>
      </c>
      <c r="AI9" s="198">
        <v>16.678830156838185</v>
      </c>
      <c r="AJ9" s="198">
        <v>17.978059383891143</v>
      </c>
      <c r="AK9" s="198">
        <v>18.554375763819891</v>
      </c>
      <c r="AL9" s="198">
        <v>19.450167509729397</v>
      </c>
      <c r="AM9" s="45">
        <v>20.382656783665329</v>
      </c>
      <c r="AN9" s="45"/>
      <c r="AO9" s="45"/>
      <c r="AP9" s="45"/>
      <c r="AQ9" s="45"/>
      <c r="AR9" s="45"/>
      <c r="AS9" s="45"/>
      <c r="AT9" s="45"/>
      <c r="AU9" s="45"/>
      <c r="AV9" s="45"/>
      <c r="AW9" s="45"/>
      <c r="AX9" s="45"/>
      <c r="AY9" s="45"/>
      <c r="AZ9" s="45"/>
      <c r="BA9" s="45"/>
      <c r="BB9" s="45"/>
      <c r="BC9" s="45"/>
      <c r="BD9" s="45"/>
      <c r="BE9" s="45"/>
      <c r="BF9" s="45"/>
      <c r="BG9" s="45"/>
      <c r="BH9" s="45"/>
      <c r="BI9" s="45"/>
      <c r="BJ9" s="45"/>
      <c r="BK9" s="45"/>
      <c r="BL9" s="45"/>
      <c r="BM9" s="45"/>
      <c r="BN9" s="45"/>
      <c r="BO9" s="45"/>
      <c r="BP9" s="45"/>
      <c r="BQ9" s="45"/>
      <c r="BR9" s="45"/>
      <c r="BS9" s="45"/>
      <c r="BT9" s="45"/>
      <c r="BU9" s="45"/>
      <c r="BV9" s="45"/>
      <c r="BW9" s="45"/>
      <c r="BX9" s="45"/>
      <c r="BY9" s="45"/>
      <c r="BZ9" s="45"/>
      <c r="CA9" s="45"/>
      <c r="CB9" s="45"/>
      <c r="CC9" s="45"/>
      <c r="CD9" s="45"/>
      <c r="CE9" s="45"/>
      <c r="CF9" s="45"/>
      <c r="CG9" s="45"/>
      <c r="CH9" s="45"/>
      <c r="CI9" s="45"/>
      <c r="CJ9" s="45"/>
      <c r="CK9" s="45"/>
      <c r="CL9" s="45"/>
      <c r="CM9" s="45"/>
      <c r="CN9" s="45"/>
      <c r="CO9" s="45"/>
      <c r="CP9" s="45"/>
      <c r="CQ9" s="45"/>
      <c r="CR9" s="45"/>
      <c r="CS9" s="45"/>
      <c r="CT9" s="45"/>
      <c r="CU9" s="45"/>
      <c r="CV9" s="45"/>
      <c r="CW9" s="45"/>
      <c r="CX9" s="24"/>
      <c r="CY9" s="24"/>
      <c r="CZ9" s="24"/>
      <c r="DA9" s="24"/>
      <c r="DB9" s="24"/>
      <c r="DC9" s="24"/>
      <c r="DD9" s="24"/>
      <c r="DE9" s="24"/>
      <c r="DF9" s="24"/>
      <c r="DG9" s="24"/>
      <c r="DH9" s="24"/>
      <c r="DI9" s="24"/>
      <c r="DJ9" s="24"/>
      <c r="DK9" s="24"/>
      <c r="DL9" s="24"/>
      <c r="DM9" s="24"/>
      <c r="DN9" s="24"/>
      <c r="DO9" s="24"/>
      <c r="DP9" s="24"/>
      <c r="DQ9" s="24"/>
      <c r="DR9" s="24"/>
      <c r="DS9" s="24"/>
      <c r="DT9" s="24"/>
      <c r="DU9" s="24"/>
      <c r="DV9" s="24"/>
      <c r="DW9" s="24"/>
      <c r="DX9" s="24"/>
      <c r="DY9" s="24"/>
      <c r="DZ9" s="24"/>
      <c r="EA9" s="24"/>
    </row>
    <row r="10" spans="1:131">
      <c r="A10" s="24" t="s">
        <v>420</v>
      </c>
      <c r="B10" s="24"/>
      <c r="C10" s="198">
        <v>73.145658131418585</v>
      </c>
      <c r="D10" s="198">
        <v>4.0008899869194874</v>
      </c>
      <c r="E10" s="198">
        <v>0.8001779973838975</v>
      </c>
      <c r="F10" s="198">
        <v>4.8010679843033852</v>
      </c>
      <c r="G10" s="198">
        <v>-27.342921404999061</v>
      </c>
      <c r="H10" s="198">
        <v>48.233328879575211</v>
      </c>
      <c r="I10" s="198">
        <v>574.98088904927863</v>
      </c>
      <c r="J10" s="198">
        <v>-9.7902216838547336</v>
      </c>
      <c r="K10" s="198">
        <v>-40.758354707123935</v>
      </c>
      <c r="L10" s="199">
        <v>7.6069605392943584</v>
      </c>
      <c r="M10" s="198">
        <v>0.69488559328866673</v>
      </c>
      <c r="N10" s="198">
        <v>1.7073275578542112E-2</v>
      </c>
      <c r="O10" s="198">
        <v>2.9958608141122793</v>
      </c>
      <c r="P10" s="198">
        <v>2.214727517817785</v>
      </c>
      <c r="Q10" s="198">
        <v>2.0631208320711307</v>
      </c>
      <c r="R10" s="198">
        <v>1.1843832019243763</v>
      </c>
      <c r="S10" s="198">
        <v>0.95140190672247182</v>
      </c>
      <c r="T10" s="198">
        <v>0.73800958884303935</v>
      </c>
      <c r="U10" s="198">
        <v>0.7701072442609419</v>
      </c>
      <c r="V10" s="198">
        <v>1.1209165207336302</v>
      </c>
      <c r="W10" s="198">
        <v>1.4161900386280537</v>
      </c>
      <c r="X10" s="198">
        <v>2.3103541607048128</v>
      </c>
      <c r="Y10" s="198">
        <v>2.6754522129339762</v>
      </c>
      <c r="Z10" s="198">
        <v>3.1516287570611889</v>
      </c>
      <c r="AA10" s="198"/>
      <c r="AB10" s="198">
        <v>4.9651682403349291</v>
      </c>
      <c r="AC10" s="198">
        <v>4.3068674001448626</v>
      </c>
      <c r="AD10" s="198">
        <v>4.3417883427731647</v>
      </c>
      <c r="AE10" s="198">
        <v>4.1344678858724881</v>
      </c>
      <c r="AF10" s="198">
        <v>3.8080553794941068</v>
      </c>
      <c r="AG10" s="198">
        <v>3.4599719950269212</v>
      </c>
      <c r="AH10" s="198">
        <v>3.7782001471376341</v>
      </c>
      <c r="AI10" s="198">
        <v>4.0797138513129365</v>
      </c>
      <c r="AJ10" s="198">
        <v>4.3975109284338041</v>
      </c>
      <c r="AK10" s="198">
        <v>4.53848040266098</v>
      </c>
      <c r="AL10" s="198">
        <v>4.7575949304374063</v>
      </c>
      <c r="AM10" s="45">
        <v>4.9856858319756912</v>
      </c>
      <c r="AN10" s="45"/>
      <c r="AO10" s="45"/>
      <c r="AP10" s="45"/>
      <c r="AQ10" s="45"/>
      <c r="AR10" s="45"/>
      <c r="AS10" s="45"/>
      <c r="AT10" s="45"/>
      <c r="AU10" s="45"/>
      <c r="AV10" s="45"/>
      <c r="AW10" s="45"/>
      <c r="AX10" s="45"/>
      <c r="AY10" s="45"/>
      <c r="AZ10" s="45"/>
      <c r="BA10" s="45"/>
      <c r="BB10" s="45"/>
      <c r="BC10" s="45"/>
      <c r="BD10" s="45"/>
      <c r="BE10" s="45"/>
      <c r="BF10" s="45"/>
      <c r="BG10" s="45"/>
      <c r="BH10" s="45"/>
      <c r="BI10" s="45"/>
      <c r="BJ10" s="45"/>
      <c r="BK10" s="45"/>
      <c r="BL10" s="45"/>
      <c r="BM10" s="45"/>
      <c r="BN10" s="45"/>
      <c r="BO10" s="45"/>
      <c r="BP10" s="45"/>
      <c r="BQ10" s="45"/>
      <c r="BR10" s="45"/>
      <c r="BS10" s="45"/>
      <c r="BT10" s="45"/>
      <c r="BU10" s="45"/>
      <c r="BV10" s="45"/>
      <c r="BW10" s="45"/>
      <c r="BX10" s="45"/>
      <c r="BY10" s="45"/>
      <c r="BZ10" s="45"/>
      <c r="CA10" s="45"/>
      <c r="CB10" s="45"/>
      <c r="CC10" s="45"/>
      <c r="CD10" s="45"/>
      <c r="CE10" s="45"/>
      <c r="CF10" s="45"/>
      <c r="CG10" s="45"/>
      <c r="CH10" s="45"/>
      <c r="CI10" s="45"/>
      <c r="CJ10" s="45"/>
      <c r="CK10" s="45"/>
      <c r="CL10" s="45"/>
      <c r="CM10" s="45"/>
      <c r="CN10" s="45"/>
      <c r="CO10" s="45"/>
      <c r="CP10" s="45"/>
      <c r="CQ10" s="45"/>
      <c r="CR10" s="45"/>
      <c r="CS10" s="45"/>
      <c r="CT10" s="45"/>
      <c r="CU10" s="45"/>
      <c r="CV10" s="45"/>
      <c r="CW10" s="45"/>
      <c r="CX10" s="24"/>
      <c r="CY10" s="24"/>
      <c r="CZ10" s="24"/>
      <c r="DA10" s="24"/>
      <c r="DB10" s="24"/>
      <c r="DC10" s="24"/>
      <c r="DD10" s="24"/>
      <c r="DE10" s="24"/>
      <c r="DF10" s="24"/>
      <c r="DG10" s="24"/>
      <c r="DH10" s="24"/>
      <c r="DI10" s="24"/>
      <c r="DJ10" s="24"/>
      <c r="DK10" s="24"/>
      <c r="DL10" s="24"/>
      <c r="DM10" s="24"/>
      <c r="DN10" s="24"/>
      <c r="DO10" s="24"/>
      <c r="DP10" s="24"/>
      <c r="DQ10" s="24"/>
      <c r="DR10" s="24"/>
      <c r="DS10" s="24"/>
      <c r="DT10" s="24"/>
      <c r="DU10" s="24"/>
      <c r="DV10" s="24"/>
      <c r="DW10" s="24"/>
      <c r="DX10" s="24"/>
      <c r="DY10" s="24"/>
      <c r="DZ10" s="24"/>
      <c r="EA10" s="24"/>
    </row>
    <row r="11" spans="1:131">
      <c r="A11" s="24" t="s">
        <v>421</v>
      </c>
      <c r="B11" s="24"/>
      <c r="C11" s="198">
        <v>73.145658131418585</v>
      </c>
      <c r="D11" s="198">
        <v>4.0008899869194874</v>
      </c>
      <c r="E11" s="198">
        <v>0.8001779973838975</v>
      </c>
      <c r="F11" s="198">
        <v>4.8010679843033852</v>
      </c>
      <c r="G11" s="198">
        <v>-27.342921404999061</v>
      </c>
      <c r="H11" s="198">
        <v>48.233328879575211</v>
      </c>
      <c r="I11" s="198">
        <v>574.98088904927863</v>
      </c>
      <c r="J11" s="198">
        <v>-9.7902216838547336</v>
      </c>
      <c r="K11" s="198">
        <v>-40.758354707123935</v>
      </c>
      <c r="L11" s="199">
        <v>7.6069605392943584</v>
      </c>
      <c r="M11" s="198">
        <v>0.69488559328866673</v>
      </c>
      <c r="N11" s="198">
        <v>1.7073275578542112E-2</v>
      </c>
      <c r="O11" s="198">
        <v>2.9958608141122793</v>
      </c>
      <c r="P11" s="198">
        <v>2.214727517817785</v>
      </c>
      <c r="Q11" s="198">
        <v>2.0631208320711307</v>
      </c>
      <c r="R11" s="198">
        <v>1.1843832019243763</v>
      </c>
      <c r="S11" s="198">
        <v>0.95140190672247182</v>
      </c>
      <c r="T11" s="198">
        <v>0.73800958884303935</v>
      </c>
      <c r="U11" s="198">
        <v>0.7701072442609419</v>
      </c>
      <c r="V11" s="198">
        <v>1.1209165207336302</v>
      </c>
      <c r="W11" s="198">
        <v>1.4161900386280537</v>
      </c>
      <c r="X11" s="198">
        <v>2.3103541607048128</v>
      </c>
      <c r="Y11" s="198">
        <v>2.6754522129339762</v>
      </c>
      <c r="Z11" s="198">
        <v>3.1516287570611889</v>
      </c>
      <c r="AA11" s="198"/>
      <c r="AB11" s="198">
        <v>4.9651682403349291</v>
      </c>
      <c r="AC11" s="198">
        <v>4.3068674001448626</v>
      </c>
      <c r="AD11" s="198">
        <v>4.3417883427731647</v>
      </c>
      <c r="AE11" s="198">
        <v>4.1344678858724881</v>
      </c>
      <c r="AF11" s="198">
        <v>3.8080553794941068</v>
      </c>
      <c r="AG11" s="198">
        <v>3.4599719950269212</v>
      </c>
      <c r="AH11" s="198">
        <v>3.7782001471376341</v>
      </c>
      <c r="AI11" s="198">
        <v>4.0797138513129365</v>
      </c>
      <c r="AJ11" s="198">
        <v>4.3975109284338041</v>
      </c>
      <c r="AK11" s="198">
        <v>4.53848040266098</v>
      </c>
      <c r="AL11" s="198">
        <v>4.7575949304374063</v>
      </c>
      <c r="AM11" s="45">
        <v>4.9856858319756912</v>
      </c>
      <c r="AN11" s="45"/>
      <c r="AO11" s="45"/>
      <c r="AP11" s="45"/>
      <c r="AQ11" s="45"/>
      <c r="AR11" s="45"/>
      <c r="AS11" s="45"/>
      <c r="AT11" s="45"/>
      <c r="AU11" s="45"/>
      <c r="AV11" s="45"/>
      <c r="AW11" s="45"/>
      <c r="AX11" s="45"/>
      <c r="AY11" s="45"/>
      <c r="AZ11" s="45"/>
      <c r="BA11" s="45"/>
      <c r="BB11" s="45"/>
      <c r="BC11" s="45"/>
      <c r="BD11" s="45"/>
      <c r="BE11" s="45"/>
      <c r="BF11" s="45"/>
      <c r="BG11" s="45"/>
      <c r="BH11" s="45"/>
      <c r="BI11" s="45"/>
      <c r="BJ11" s="45"/>
      <c r="BK11" s="45"/>
      <c r="BL11" s="45"/>
      <c r="BM11" s="45"/>
      <c r="BN11" s="45"/>
      <c r="BO11" s="45"/>
      <c r="BP11" s="45"/>
      <c r="BQ11" s="45"/>
      <c r="BR11" s="45"/>
      <c r="BS11" s="45"/>
      <c r="BT11" s="45"/>
      <c r="BU11" s="45"/>
      <c r="BV11" s="45"/>
      <c r="BW11" s="45"/>
      <c r="BX11" s="45"/>
      <c r="BY11" s="45"/>
      <c r="BZ11" s="45"/>
      <c r="CA11" s="45"/>
      <c r="CB11" s="45"/>
      <c r="CC11" s="45"/>
      <c r="CD11" s="45"/>
      <c r="CE11" s="45"/>
      <c r="CF11" s="45"/>
      <c r="CG11" s="45"/>
      <c r="CH11" s="45"/>
      <c r="CI11" s="45"/>
      <c r="CJ11" s="45"/>
      <c r="CK11" s="45"/>
      <c r="CL11" s="45"/>
      <c r="CM11" s="45"/>
      <c r="CN11" s="45"/>
      <c r="CO11" s="45"/>
      <c r="CP11" s="45"/>
      <c r="CQ11" s="45"/>
      <c r="CR11" s="45"/>
      <c r="CS11" s="45"/>
      <c r="CT11" s="45"/>
      <c r="CU11" s="45"/>
      <c r="CV11" s="45"/>
      <c r="CW11" s="45"/>
      <c r="CX11" s="24"/>
      <c r="CY11" s="24"/>
      <c r="CZ11" s="24"/>
      <c r="DA11" s="24"/>
      <c r="DB11" s="24"/>
      <c r="DC11" s="24"/>
      <c r="DD11" s="24"/>
      <c r="DE11" s="24"/>
      <c r="DF11" s="24"/>
      <c r="DG11" s="24"/>
      <c r="DH11" s="24"/>
      <c r="DI11" s="24"/>
      <c r="DJ11" s="24"/>
      <c r="DK11" s="24"/>
      <c r="DL11" s="24"/>
      <c r="DM11" s="24"/>
      <c r="DN11" s="24"/>
      <c r="DO11" s="24"/>
      <c r="DP11" s="24"/>
      <c r="DQ11" s="24"/>
      <c r="DR11" s="24"/>
      <c r="DS11" s="24"/>
      <c r="DT11" s="24"/>
      <c r="DU11" s="24"/>
      <c r="DV11" s="24"/>
      <c r="DW11" s="24"/>
      <c r="DX11" s="24"/>
      <c r="DY11" s="24"/>
      <c r="DZ11" s="24"/>
      <c r="EA11" s="24"/>
    </row>
    <row r="12" spans="1:131">
      <c r="A12" s="24" t="s">
        <v>423</v>
      </c>
      <c r="B12" s="24"/>
      <c r="C12" s="198">
        <v>1391.6616897786967</v>
      </c>
      <c r="D12" s="198">
        <v>134.02315442591345</v>
      </c>
      <c r="E12" s="198">
        <v>26.804630885182689</v>
      </c>
      <c r="F12" s="198">
        <v>160.82778531109614</v>
      </c>
      <c r="G12" s="198">
        <v>186.45985783564288</v>
      </c>
      <c r="H12" s="198">
        <v>917.6823025038716</v>
      </c>
      <c r="I12" s="198">
        <v>1012.3519312723475</v>
      </c>
      <c r="J12" s="198">
        <v>-7.1566326291843261</v>
      </c>
      <c r="K12" s="198">
        <v>-3.3936670549990158</v>
      </c>
      <c r="L12" s="199">
        <v>3.9720955455112055</v>
      </c>
      <c r="M12" s="198">
        <v>13.220821080336949</v>
      </c>
      <c r="N12" s="198">
        <v>0.32483436677816196</v>
      </c>
      <c r="O12" s="198">
        <v>56.998936497618999</v>
      </c>
      <c r="P12" s="198">
        <v>42.137175583382799</v>
      </c>
      <c r="Q12" s="198">
        <v>39.25272253643822</v>
      </c>
      <c r="R12" s="198">
        <v>22.533951710082377</v>
      </c>
      <c r="S12" s="198">
        <v>18.101273800684453</v>
      </c>
      <c r="T12" s="198">
        <v>14.04129373799465</v>
      </c>
      <c r="U12" s="198">
        <v>14.651980394153476</v>
      </c>
      <c r="V12" s="198">
        <v>21.326441229667118</v>
      </c>
      <c r="W12" s="198">
        <v>26.944284494151312</v>
      </c>
      <c r="X12" s="198">
        <v>43.956558152734004</v>
      </c>
      <c r="Y12" s="198">
        <v>50.902875750796674</v>
      </c>
      <c r="Z12" s="198">
        <v>59.962561191625518</v>
      </c>
      <c r="AA12" s="198"/>
      <c r="AB12" s="198">
        <v>94.466774924156596</v>
      </c>
      <c r="AC12" s="198">
        <v>81.94201155411956</v>
      </c>
      <c r="AD12" s="198">
        <v>82.606413779326871</v>
      </c>
      <c r="AE12" s="198">
        <v>78.661956312586852</v>
      </c>
      <c r="AF12" s="198">
        <v>72.451665889397404</v>
      </c>
      <c r="AG12" s="198">
        <v>65.829067591885916</v>
      </c>
      <c r="AH12" s="198">
        <v>71.883643341356404</v>
      </c>
      <c r="AI12" s="198">
        <v>77.620211741494984</v>
      </c>
      <c r="AJ12" s="198">
        <v>83.66658590300915</v>
      </c>
      <c r="AK12" s="198">
        <v>86.348656469080638</v>
      </c>
      <c r="AL12" s="198">
        <v>90.51750670257691</v>
      </c>
      <c r="AM12" s="45">
        <v>94.857140490376139</v>
      </c>
      <c r="AN12" s="45"/>
      <c r="AO12" s="45"/>
      <c r="AP12" s="45"/>
      <c r="AQ12" s="45"/>
      <c r="AR12" s="45"/>
      <c r="AS12" s="45"/>
      <c r="AT12" s="45"/>
      <c r="AU12" s="45"/>
      <c r="AV12" s="45"/>
      <c r="AW12" s="45"/>
      <c r="AX12" s="45"/>
      <c r="AY12" s="45"/>
      <c r="AZ12" s="45"/>
      <c r="BA12" s="45"/>
      <c r="BB12" s="45"/>
      <c r="BC12" s="45"/>
      <c r="BD12" s="45"/>
      <c r="BE12" s="45"/>
      <c r="BF12" s="45"/>
      <c r="BG12" s="45"/>
      <c r="BH12" s="45"/>
      <c r="BI12" s="45"/>
      <c r="BJ12" s="45"/>
      <c r="BK12" s="45"/>
      <c r="BL12" s="45"/>
      <c r="BM12" s="45"/>
      <c r="BN12" s="45"/>
      <c r="BO12" s="45"/>
      <c r="BP12" s="45"/>
      <c r="BQ12" s="45"/>
      <c r="BR12" s="45"/>
      <c r="BS12" s="45"/>
      <c r="BT12" s="45"/>
      <c r="BU12" s="45"/>
      <c r="BV12" s="45"/>
      <c r="BW12" s="45"/>
      <c r="BX12" s="45"/>
      <c r="BY12" s="45"/>
      <c r="BZ12" s="45"/>
      <c r="CA12" s="45"/>
      <c r="CB12" s="45"/>
      <c r="CC12" s="45"/>
      <c r="CD12" s="45"/>
      <c r="CE12" s="45"/>
      <c r="CF12" s="45"/>
      <c r="CG12" s="45"/>
      <c r="CH12" s="45"/>
      <c r="CI12" s="45"/>
      <c r="CJ12" s="45"/>
      <c r="CK12" s="45"/>
      <c r="CL12" s="45"/>
      <c r="CM12" s="45"/>
      <c r="CN12" s="45"/>
      <c r="CO12" s="45"/>
      <c r="CP12" s="45"/>
      <c r="CQ12" s="45"/>
      <c r="CR12" s="45"/>
      <c r="CS12" s="45"/>
      <c r="CT12" s="45"/>
      <c r="CU12" s="45"/>
      <c r="CV12" s="45"/>
      <c r="CW12" s="45"/>
      <c r="CX12" s="24"/>
      <c r="CY12" s="24"/>
      <c r="CZ12" s="24"/>
      <c r="DA12" s="24"/>
      <c r="DB12" s="24"/>
      <c r="DC12" s="24"/>
      <c r="DD12" s="24"/>
      <c r="DE12" s="24"/>
      <c r="DF12" s="24"/>
      <c r="DG12" s="24"/>
      <c r="DH12" s="24"/>
      <c r="DI12" s="24"/>
      <c r="DJ12" s="24"/>
      <c r="DK12" s="24"/>
      <c r="DL12" s="24"/>
      <c r="DM12" s="24"/>
      <c r="DN12" s="24"/>
      <c r="DO12" s="24"/>
      <c r="DP12" s="24"/>
      <c r="DQ12" s="24"/>
      <c r="DR12" s="24"/>
      <c r="DS12" s="24"/>
      <c r="DT12" s="24"/>
      <c r="DU12" s="24"/>
      <c r="DV12" s="24"/>
      <c r="DW12" s="24"/>
      <c r="DX12" s="24"/>
      <c r="DY12" s="24"/>
      <c r="DZ12" s="24"/>
      <c r="EA12" s="24"/>
    </row>
    <row r="13" spans="1:131">
      <c r="A13" s="24" t="s">
        <v>413</v>
      </c>
      <c r="B13" s="24"/>
      <c r="C13" s="198">
        <v>797.11017216400808</v>
      </c>
      <c r="D13" s="198">
        <v>83.017365819435099</v>
      </c>
      <c r="E13" s="198">
        <v>16.603473163887021</v>
      </c>
      <c r="F13" s="198">
        <v>99.620838983322116</v>
      </c>
      <c r="G13" s="198">
        <v>120.50399816609411</v>
      </c>
      <c r="H13" s="198">
        <v>525.62623769362187</v>
      </c>
      <c r="I13" s="198">
        <v>1094.8029268334883</v>
      </c>
      <c r="J13" s="198">
        <v>-6.6601616274627427</v>
      </c>
      <c r="K13" s="198">
        <v>-2.1286144119562285</v>
      </c>
      <c r="L13" s="199">
        <v>3.6583381548019998</v>
      </c>
      <c r="M13" s="198">
        <v>7.5725666984285294</v>
      </c>
      <c r="N13" s="198">
        <v>0.18605727234504985</v>
      </c>
      <c r="O13" s="198">
        <v>32.647612863444898</v>
      </c>
      <c r="P13" s="198">
        <v>24.135155498256541</v>
      </c>
      <c r="Q13" s="198">
        <v>22.483010525282101</v>
      </c>
      <c r="R13" s="198">
        <v>12.906902776073075</v>
      </c>
      <c r="S13" s="198">
        <v>10.367972030577274</v>
      </c>
      <c r="T13" s="198">
        <v>8.0425136016197722</v>
      </c>
      <c r="U13" s="198">
        <v>8.3923001547772653</v>
      </c>
      <c r="V13" s="198">
        <v>12.215269964734631</v>
      </c>
      <c r="W13" s="198">
        <v>15.433034773978974</v>
      </c>
      <c r="X13" s="198">
        <v>25.177253849989107</v>
      </c>
      <c r="Y13" s="198">
        <v>29.155936641334829</v>
      </c>
      <c r="Z13" s="198">
        <v>34.345105441863652</v>
      </c>
      <c r="AA13" s="198"/>
      <c r="AB13" s="198">
        <v>54.108284920559541</v>
      </c>
      <c r="AC13" s="198">
        <v>46.934403251235665</v>
      </c>
      <c r="AD13" s="198">
        <v>47.3149567837579</v>
      </c>
      <c r="AE13" s="198">
        <v>45.055666904975126</v>
      </c>
      <c r="AF13" s="198">
        <v>41.498562685770651</v>
      </c>
      <c r="AG13" s="198">
        <v>37.705298483792141</v>
      </c>
      <c r="AH13" s="198">
        <v>41.173213102328432</v>
      </c>
      <c r="AI13" s="198">
        <v>44.458980799068165</v>
      </c>
      <c r="AJ13" s="198">
        <v>47.92219774629833</v>
      </c>
      <c r="AK13" s="198">
        <v>49.458422926871663</v>
      </c>
      <c r="AL13" s="198">
        <v>51.846239557705708</v>
      </c>
      <c r="AM13" s="45">
        <v>54.331876879712809</v>
      </c>
      <c r="AN13" s="45"/>
      <c r="AO13" s="45"/>
      <c r="AP13" s="45"/>
      <c r="AQ13" s="45"/>
      <c r="AR13" s="45"/>
      <c r="AS13" s="45"/>
      <c r="AT13" s="45"/>
      <c r="AU13" s="45"/>
      <c r="AV13" s="45"/>
      <c r="AW13" s="45"/>
      <c r="AX13" s="45"/>
      <c r="AY13" s="45"/>
      <c r="AZ13" s="45"/>
      <c r="BA13" s="45"/>
      <c r="BB13" s="45"/>
      <c r="BC13" s="45"/>
      <c r="BD13" s="45"/>
      <c r="BE13" s="45"/>
      <c r="BF13" s="45"/>
      <c r="BG13" s="45"/>
      <c r="BH13" s="45"/>
      <c r="BI13" s="45"/>
      <c r="BJ13" s="45"/>
      <c r="BK13" s="45"/>
      <c r="BL13" s="45"/>
      <c r="BM13" s="45"/>
      <c r="BN13" s="45"/>
      <c r="BO13" s="45"/>
      <c r="BP13" s="45"/>
      <c r="BQ13" s="45"/>
      <c r="BR13" s="45"/>
      <c r="BS13" s="45"/>
      <c r="BT13" s="45"/>
      <c r="BU13" s="45"/>
      <c r="BV13" s="45"/>
      <c r="BW13" s="45"/>
      <c r="BX13" s="45"/>
      <c r="BY13" s="45"/>
      <c r="BZ13" s="45"/>
      <c r="CA13" s="45"/>
      <c r="CB13" s="45"/>
      <c r="CC13" s="45"/>
      <c r="CD13" s="45"/>
      <c r="CE13" s="45"/>
      <c r="CF13" s="45"/>
      <c r="CG13" s="45"/>
      <c r="CH13" s="45"/>
      <c r="CI13" s="45"/>
      <c r="CJ13" s="45"/>
      <c r="CK13" s="45"/>
      <c r="CL13" s="45"/>
      <c r="CM13" s="45"/>
      <c r="CN13" s="45"/>
      <c r="CO13" s="45"/>
      <c r="CP13" s="45"/>
      <c r="CQ13" s="45"/>
      <c r="CR13" s="45"/>
      <c r="CS13" s="45"/>
      <c r="CT13" s="45"/>
      <c r="CU13" s="45"/>
      <c r="CV13" s="45"/>
      <c r="CW13" s="45"/>
      <c r="CX13" s="24"/>
      <c r="CY13" s="24"/>
      <c r="CZ13" s="24"/>
      <c r="DA13" s="24"/>
      <c r="DB13" s="24"/>
      <c r="DC13" s="24"/>
      <c r="DD13" s="24"/>
      <c r="DE13" s="24"/>
      <c r="DF13" s="24"/>
      <c r="DG13" s="24"/>
      <c r="DH13" s="24"/>
      <c r="DI13" s="24"/>
      <c r="DJ13" s="24"/>
      <c r="DK13" s="24"/>
      <c r="DL13" s="24"/>
      <c r="DM13" s="24"/>
      <c r="DN13" s="24"/>
      <c r="DO13" s="24"/>
      <c r="DP13" s="24"/>
      <c r="DQ13" s="24"/>
      <c r="DR13" s="24"/>
      <c r="DS13" s="24"/>
      <c r="DT13" s="24"/>
      <c r="DU13" s="24"/>
      <c r="DV13" s="24"/>
      <c r="DW13" s="24"/>
      <c r="DX13" s="24"/>
      <c r="DY13" s="24"/>
      <c r="DZ13" s="24"/>
      <c r="EA13" s="24"/>
    </row>
    <row r="14" spans="1:131">
      <c r="A14" s="24" t="s">
        <v>425</v>
      </c>
      <c r="B14" s="24"/>
      <c r="C14" s="198">
        <v>1722.7756260529418</v>
      </c>
      <c r="D14" s="198">
        <v>332.28218672874203</v>
      </c>
      <c r="E14" s="198">
        <v>66.456437345748412</v>
      </c>
      <c r="F14" s="198">
        <v>398.73862407449042</v>
      </c>
      <c r="G14" s="198">
        <v>374.38647877826577</v>
      </c>
      <c r="H14" s="198">
        <v>1136.0237296359132</v>
      </c>
      <c r="I14" s="198">
        <v>2027.5132141817267</v>
      </c>
      <c r="J14" s="198">
        <v>-1.0439333754652007</v>
      </c>
      <c r="K14" s="198">
        <v>2.7380662328742038</v>
      </c>
      <c r="L14" s="199">
        <v>2.5839820045269768</v>
      </c>
      <c r="M14" s="198">
        <v>16.366411808916986</v>
      </c>
      <c r="N14" s="198">
        <v>0.40212124376201641</v>
      </c>
      <c r="O14" s="198">
        <v>70.56052432157756</v>
      </c>
      <c r="P14" s="198">
        <v>52.162748733356906</v>
      </c>
      <c r="Q14" s="198">
        <v>48.592006332191517</v>
      </c>
      <c r="R14" s="198">
        <v>27.89538797389563</v>
      </c>
      <c r="S14" s="198">
        <v>22.408056162908998</v>
      </c>
      <c r="T14" s="198">
        <v>17.382097091365431</v>
      </c>
      <c r="U14" s="198">
        <v>18.138082611491015</v>
      </c>
      <c r="V14" s="198">
        <v>26.400578108005242</v>
      </c>
      <c r="W14" s="198">
        <v>33.355058150189997</v>
      </c>
      <c r="X14" s="198">
        <v>54.415011598653045</v>
      </c>
      <c r="Y14" s="198">
        <v>63.014045930530052</v>
      </c>
      <c r="Z14" s="198">
        <v>74.229275444858786</v>
      </c>
      <c r="AA14" s="198"/>
      <c r="AB14" s="198">
        <v>116.94297436401092</v>
      </c>
      <c r="AC14" s="198">
        <v>101.43823121094492</v>
      </c>
      <c r="AD14" s="198">
        <v>102.26071268606873</v>
      </c>
      <c r="AE14" s="198">
        <v>97.37776215893102</v>
      </c>
      <c r="AF14" s="198">
        <v>89.689875763580062</v>
      </c>
      <c r="AG14" s="198">
        <v>81.491582304839497</v>
      </c>
      <c r="AH14" s="198">
        <v>88.986705296216584</v>
      </c>
      <c r="AI14" s="198">
        <v>96.088158393280608</v>
      </c>
      <c r="AJ14" s="198">
        <v>103.57312841721604</v>
      </c>
      <c r="AK14" s="198">
        <v>106.89333607437786</v>
      </c>
      <c r="AL14" s="198">
        <v>112.05406847340983</v>
      </c>
      <c r="AM14" s="45">
        <v>117.4262184510421</v>
      </c>
      <c r="AN14" s="45"/>
      <c r="AO14" s="45"/>
      <c r="AP14" s="45"/>
      <c r="AQ14" s="45"/>
      <c r="AR14" s="45"/>
      <c r="AS14" s="45"/>
      <c r="AT14" s="45"/>
      <c r="AU14" s="45"/>
      <c r="AV14" s="45"/>
      <c r="AW14" s="45"/>
      <c r="AX14" s="45"/>
      <c r="AY14" s="45"/>
      <c r="AZ14" s="45"/>
      <c r="BA14" s="45"/>
      <c r="BB14" s="45"/>
      <c r="BC14" s="45"/>
      <c r="BD14" s="45"/>
      <c r="BE14" s="45"/>
      <c r="BF14" s="45"/>
      <c r="BG14" s="45"/>
      <c r="BH14" s="45"/>
      <c r="BI14" s="45"/>
      <c r="BJ14" s="45"/>
      <c r="BK14" s="45"/>
      <c r="BL14" s="45"/>
      <c r="BM14" s="45"/>
      <c r="BN14" s="45"/>
      <c r="BO14" s="45"/>
      <c r="BP14" s="45"/>
      <c r="BQ14" s="45"/>
      <c r="BR14" s="45"/>
      <c r="BS14" s="45"/>
      <c r="BT14" s="45"/>
      <c r="BU14" s="45"/>
      <c r="BV14" s="45"/>
      <c r="BW14" s="45"/>
      <c r="BX14" s="45"/>
      <c r="BY14" s="45"/>
      <c r="BZ14" s="45"/>
      <c r="CA14" s="45"/>
      <c r="CB14" s="45"/>
      <c r="CC14" s="45"/>
      <c r="CD14" s="45"/>
      <c r="CE14" s="45"/>
      <c r="CF14" s="45"/>
      <c r="CG14" s="45"/>
      <c r="CH14" s="45"/>
      <c r="CI14" s="45"/>
      <c r="CJ14" s="45"/>
      <c r="CK14" s="45"/>
      <c r="CL14" s="45"/>
      <c r="CM14" s="45"/>
      <c r="CN14" s="45"/>
      <c r="CO14" s="45"/>
      <c r="CP14" s="45"/>
      <c r="CQ14" s="45"/>
      <c r="CR14" s="45"/>
      <c r="CS14" s="45"/>
      <c r="CT14" s="45"/>
      <c r="CU14" s="45"/>
      <c r="CV14" s="45"/>
      <c r="CW14" s="45"/>
      <c r="CX14" s="24"/>
      <c r="CY14" s="24"/>
      <c r="CZ14" s="24"/>
      <c r="DA14" s="24"/>
      <c r="DB14" s="24"/>
      <c r="DC14" s="24"/>
      <c r="DD14" s="24"/>
      <c r="DE14" s="24"/>
      <c r="DF14" s="24"/>
      <c r="DG14" s="24"/>
      <c r="DH14" s="24"/>
      <c r="DI14" s="24"/>
      <c r="DJ14" s="24"/>
      <c r="DK14" s="24"/>
      <c r="DL14" s="24"/>
      <c r="DM14" s="24"/>
      <c r="DN14" s="24"/>
      <c r="DO14" s="24"/>
      <c r="DP14" s="24"/>
      <c r="DQ14" s="24"/>
      <c r="DR14" s="24"/>
      <c r="DS14" s="24"/>
      <c r="DT14" s="24"/>
      <c r="DU14" s="24"/>
      <c r="DV14" s="24"/>
      <c r="DW14" s="24"/>
      <c r="DX14" s="24"/>
      <c r="DY14" s="24"/>
      <c r="DZ14" s="24"/>
      <c r="EA14" s="24"/>
    </row>
    <row r="15" spans="1:131">
      <c r="A15" s="24" t="s">
        <v>424</v>
      </c>
      <c r="B15" s="24"/>
      <c r="C15" s="198">
        <v>3387.6594304155228</v>
      </c>
      <c r="D15" s="198">
        <v>532.0694632777404</v>
      </c>
      <c r="E15" s="198">
        <v>106.41389265554808</v>
      </c>
      <c r="F15" s="198">
        <v>638.48335593328852</v>
      </c>
      <c r="G15" s="198">
        <v>913.03024039711443</v>
      </c>
      <c r="H15" s="198">
        <v>2233.8727357631246</v>
      </c>
      <c r="I15" s="198">
        <v>1651.0261178437197</v>
      </c>
      <c r="J15" s="198">
        <v>-3.3109154122748703</v>
      </c>
      <c r="K15" s="198">
        <v>6.5790829489429381</v>
      </c>
      <c r="L15" s="199">
        <v>2.3523085296231838</v>
      </c>
      <c r="M15" s="198">
        <v>32.182849854666841</v>
      </c>
      <c r="N15" s="198">
        <v>0.7907296823799802</v>
      </c>
      <c r="O15" s="198">
        <v>138.74994631814602</v>
      </c>
      <c r="P15" s="198">
        <v>102.57263046367333</v>
      </c>
      <c r="Q15" s="198">
        <v>95.551136204083235</v>
      </c>
      <c r="R15" s="198">
        <v>54.85338468096208</v>
      </c>
      <c r="S15" s="198">
        <v>44.063116304633951</v>
      </c>
      <c r="T15" s="198">
        <v>34.18008952615213</v>
      </c>
      <c r="U15" s="198">
        <v>35.666656573991425</v>
      </c>
      <c r="V15" s="198">
        <v>51.913996253193531</v>
      </c>
      <c r="W15" s="198">
        <v>65.589259324172076</v>
      </c>
      <c r="X15" s="198">
        <v>107.00147158494927</v>
      </c>
      <c r="Y15" s="198">
        <v>123.91057994840529</v>
      </c>
      <c r="Z15" s="198">
        <v>145.96416455566899</v>
      </c>
      <c r="AA15" s="198"/>
      <c r="AB15" s="198">
        <v>229.95621944845649</v>
      </c>
      <c r="AC15" s="198">
        <v>199.46775155725797</v>
      </c>
      <c r="AD15" s="198">
        <v>201.08507599777664</v>
      </c>
      <c r="AE15" s="198">
        <v>191.48326067641094</v>
      </c>
      <c r="AF15" s="198">
        <v>176.3658301455163</v>
      </c>
      <c r="AG15" s="198">
        <v>160.24473710889885</v>
      </c>
      <c r="AH15" s="198">
        <v>174.98311841629871</v>
      </c>
      <c r="AI15" s="198">
        <v>188.94738874269069</v>
      </c>
      <c r="AJ15" s="198">
        <v>203.66580529357771</v>
      </c>
      <c r="AK15" s="198">
        <v>210.19464898664282</v>
      </c>
      <c r="AL15" s="198">
        <v>220.34269352305554</v>
      </c>
      <c r="AM15" s="45">
        <v>230.90646878090988</v>
      </c>
      <c r="AN15" s="45"/>
      <c r="AO15" s="45"/>
      <c r="AP15" s="45"/>
      <c r="AQ15" s="45"/>
      <c r="AR15" s="45"/>
      <c r="AS15" s="45"/>
      <c r="AT15" s="45"/>
      <c r="AU15" s="45"/>
      <c r="AV15" s="45"/>
      <c r="AW15" s="45"/>
      <c r="AX15" s="45"/>
      <c r="AY15" s="45"/>
      <c r="AZ15" s="45"/>
      <c r="BA15" s="45"/>
      <c r="BB15" s="45"/>
      <c r="BC15" s="45"/>
      <c r="BD15" s="45"/>
      <c r="BE15" s="45"/>
      <c r="BF15" s="45"/>
      <c r="BG15" s="45"/>
      <c r="BH15" s="45"/>
      <c r="BI15" s="45"/>
      <c r="BJ15" s="45"/>
      <c r="BK15" s="45"/>
      <c r="BL15" s="45"/>
      <c r="BM15" s="45"/>
      <c r="BN15" s="45"/>
      <c r="BO15" s="45"/>
      <c r="BP15" s="45"/>
      <c r="BQ15" s="45"/>
      <c r="BR15" s="45"/>
      <c r="BS15" s="45"/>
      <c r="BT15" s="45"/>
      <c r="BU15" s="45"/>
      <c r="BV15" s="45"/>
      <c r="BW15" s="45"/>
      <c r="BX15" s="45"/>
      <c r="BY15" s="45"/>
      <c r="BZ15" s="45"/>
      <c r="CA15" s="45"/>
      <c r="CB15" s="45"/>
      <c r="CC15" s="45"/>
      <c r="CD15" s="45"/>
      <c r="CE15" s="45"/>
      <c r="CF15" s="45"/>
      <c r="CG15" s="45"/>
      <c r="CH15" s="45"/>
      <c r="CI15" s="45"/>
      <c r="CJ15" s="45"/>
      <c r="CK15" s="45"/>
      <c r="CL15" s="45"/>
      <c r="CM15" s="45"/>
      <c r="CN15" s="45"/>
      <c r="CO15" s="45"/>
      <c r="CP15" s="45"/>
      <c r="CQ15" s="45"/>
      <c r="CR15" s="45"/>
      <c r="CS15" s="45"/>
      <c r="CT15" s="45"/>
      <c r="CU15" s="45"/>
      <c r="CV15" s="45"/>
      <c r="CW15" s="45"/>
      <c r="CX15" s="24"/>
      <c r="CY15" s="24"/>
      <c r="CZ15" s="24"/>
      <c r="DA15" s="24"/>
      <c r="DB15" s="24"/>
      <c r="DC15" s="24"/>
      <c r="DD15" s="24"/>
      <c r="DE15" s="24"/>
      <c r="DF15" s="24"/>
      <c r="DG15" s="24"/>
      <c r="DH15" s="24"/>
      <c r="DI15" s="24"/>
      <c r="DJ15" s="24"/>
      <c r="DK15" s="24"/>
      <c r="DL15" s="24"/>
      <c r="DM15" s="24"/>
      <c r="DN15" s="24"/>
      <c r="DO15" s="24"/>
      <c r="DP15" s="24"/>
      <c r="DQ15" s="24"/>
      <c r="DR15" s="24"/>
      <c r="DS15" s="24"/>
      <c r="DT15" s="24"/>
      <c r="DU15" s="24"/>
      <c r="DV15" s="24"/>
      <c r="DW15" s="24"/>
      <c r="DX15" s="24"/>
      <c r="DY15" s="24"/>
      <c r="DZ15" s="24"/>
      <c r="EA15" s="24"/>
    </row>
    <row r="16" spans="1:131">
      <c r="A16" s="24" t="s">
        <v>426</v>
      </c>
      <c r="B16" s="24"/>
      <c r="C16" s="198">
        <v>1722.7756260529418</v>
      </c>
      <c r="D16" s="198">
        <v>371.54658006207535</v>
      </c>
      <c r="E16" s="198">
        <v>74.309316012415067</v>
      </c>
      <c r="F16" s="198">
        <v>445.85589607449043</v>
      </c>
      <c r="G16" s="198">
        <v>431.20497891064264</v>
      </c>
      <c r="H16" s="198">
        <v>1136.0237296359132</v>
      </c>
      <c r="I16" s="198">
        <v>2267.095952919241</v>
      </c>
      <c r="J16" s="198">
        <v>0.39869180433642498</v>
      </c>
      <c r="K16" s="198">
        <v>5.1648504452596447</v>
      </c>
      <c r="L16" s="199">
        <v>2.3109113015883271</v>
      </c>
      <c r="M16" s="198">
        <v>16.366411808916986</v>
      </c>
      <c r="N16" s="198">
        <v>0.40212124376201641</v>
      </c>
      <c r="O16" s="198">
        <v>70.56052432157756</v>
      </c>
      <c r="P16" s="198">
        <v>52.162748733356906</v>
      </c>
      <c r="Q16" s="198">
        <v>48.592006332191517</v>
      </c>
      <c r="R16" s="198">
        <v>27.89538797389563</v>
      </c>
      <c r="S16" s="198">
        <v>22.408056162908998</v>
      </c>
      <c r="T16" s="198">
        <v>17.382097091365431</v>
      </c>
      <c r="U16" s="198">
        <v>18.138082611491015</v>
      </c>
      <c r="V16" s="198">
        <v>26.400578108005242</v>
      </c>
      <c r="W16" s="198">
        <v>33.355058150189997</v>
      </c>
      <c r="X16" s="198">
        <v>54.415011598653045</v>
      </c>
      <c r="Y16" s="198">
        <v>63.014045930530052</v>
      </c>
      <c r="Z16" s="198">
        <v>74.229275444858786</v>
      </c>
      <c r="AA16" s="198"/>
      <c r="AB16" s="198">
        <v>116.94297436401092</v>
      </c>
      <c r="AC16" s="198">
        <v>101.43823121094492</v>
      </c>
      <c r="AD16" s="198">
        <v>102.26071268606873</v>
      </c>
      <c r="AE16" s="198">
        <v>97.37776215893102</v>
      </c>
      <c r="AF16" s="198">
        <v>89.689875763580062</v>
      </c>
      <c r="AG16" s="198">
        <v>81.491582304839497</v>
      </c>
      <c r="AH16" s="198">
        <v>88.986705296216584</v>
      </c>
      <c r="AI16" s="198">
        <v>96.088158393280608</v>
      </c>
      <c r="AJ16" s="198">
        <v>103.57312841721604</v>
      </c>
      <c r="AK16" s="198">
        <v>106.89333607437786</v>
      </c>
      <c r="AL16" s="198">
        <v>112.05406847340983</v>
      </c>
      <c r="AM16" s="45">
        <v>117.4262184510421</v>
      </c>
      <c r="AN16" s="45"/>
      <c r="AO16" s="45"/>
      <c r="AP16" s="45"/>
      <c r="AQ16" s="45"/>
      <c r="AR16" s="45"/>
      <c r="AS16" s="45"/>
      <c r="AT16" s="45"/>
      <c r="AU16" s="45"/>
      <c r="AV16" s="45"/>
      <c r="AW16" s="45"/>
      <c r="AX16" s="45"/>
      <c r="AY16" s="45"/>
      <c r="AZ16" s="45"/>
      <c r="BA16" s="45"/>
      <c r="BB16" s="45"/>
      <c r="BC16" s="45"/>
      <c r="BD16" s="45"/>
      <c r="BE16" s="45"/>
      <c r="BF16" s="45"/>
      <c r="BG16" s="45"/>
      <c r="BH16" s="45"/>
      <c r="BI16" s="45"/>
      <c r="BJ16" s="45"/>
      <c r="BK16" s="45"/>
      <c r="BL16" s="45"/>
      <c r="BM16" s="45"/>
      <c r="BN16" s="45"/>
      <c r="BO16" s="45"/>
      <c r="BP16" s="45"/>
      <c r="BQ16" s="45"/>
      <c r="BR16" s="45"/>
      <c r="BS16" s="45"/>
      <c r="BT16" s="45"/>
      <c r="BU16" s="45"/>
      <c r="BV16" s="45"/>
      <c r="BW16" s="45"/>
      <c r="BX16" s="45"/>
      <c r="BY16" s="45"/>
      <c r="BZ16" s="45"/>
      <c r="CA16" s="45"/>
      <c r="CB16" s="45"/>
      <c r="CC16" s="45"/>
      <c r="CD16" s="45"/>
      <c r="CE16" s="45"/>
      <c r="CF16" s="45"/>
      <c r="CG16" s="45"/>
      <c r="CH16" s="45"/>
      <c r="CI16" s="45"/>
      <c r="CJ16" s="45"/>
      <c r="CK16" s="45"/>
      <c r="CL16" s="45"/>
      <c r="CM16" s="45"/>
      <c r="CN16" s="45"/>
      <c r="CO16" s="45"/>
      <c r="CP16" s="45"/>
      <c r="CQ16" s="45"/>
      <c r="CR16" s="45"/>
      <c r="CS16" s="45"/>
      <c r="CT16" s="45"/>
      <c r="CU16" s="45"/>
      <c r="CV16" s="45"/>
      <c r="CW16" s="45"/>
      <c r="CX16" s="24"/>
      <c r="CY16" s="24"/>
      <c r="CZ16" s="24"/>
      <c r="DA16" s="24"/>
      <c r="DB16" s="24"/>
      <c r="DC16" s="24"/>
      <c r="DD16" s="24"/>
      <c r="DE16" s="24"/>
      <c r="DF16" s="24"/>
      <c r="DG16" s="24"/>
      <c r="DH16" s="24"/>
      <c r="DI16" s="24"/>
      <c r="DJ16" s="24"/>
      <c r="DK16" s="24"/>
      <c r="DL16" s="24"/>
      <c r="DM16" s="24"/>
      <c r="DN16" s="24"/>
      <c r="DO16" s="24"/>
      <c r="DP16" s="24"/>
      <c r="DQ16" s="24"/>
      <c r="DR16" s="24"/>
      <c r="DS16" s="24"/>
      <c r="DT16" s="24"/>
      <c r="DU16" s="24"/>
      <c r="DV16" s="24"/>
      <c r="DW16" s="24"/>
      <c r="DX16" s="24"/>
      <c r="DY16" s="24"/>
      <c r="DZ16" s="24"/>
      <c r="EA16" s="24"/>
    </row>
    <row r="17" spans="1:131">
      <c r="A17" s="24" t="s">
        <v>428</v>
      </c>
      <c r="B17" s="24"/>
      <c r="C17" s="198">
        <v>686.32071762629175</v>
      </c>
      <c r="D17" s="198">
        <v>154.26033291735365</v>
      </c>
      <c r="E17" s="198">
        <v>30.85206658347073</v>
      </c>
      <c r="F17" s="198">
        <v>185.11239950082438</v>
      </c>
      <c r="G17" s="198">
        <v>193.6295917161556</v>
      </c>
      <c r="H17" s="198">
        <v>452.5700326690461</v>
      </c>
      <c r="I17" s="198">
        <v>2362.7213604095077</v>
      </c>
      <c r="J17" s="198">
        <v>0.97449130225179015</v>
      </c>
      <c r="K17" s="198">
        <v>7.5069814065752984</v>
      </c>
      <c r="L17" s="199">
        <v>2.0437526010154135</v>
      </c>
      <c r="M17" s="198">
        <v>6.5200640918042199</v>
      </c>
      <c r="N17" s="198">
        <v>0.16019737940211778</v>
      </c>
      <c r="O17" s="198">
        <v>28.109957533717932</v>
      </c>
      <c r="P17" s="198">
        <v>20.780637131522365</v>
      </c>
      <c r="Q17" s="198">
        <v>19.358121947208314</v>
      </c>
      <c r="R17" s="198">
        <v>11.112986742546086</v>
      </c>
      <c r="S17" s="198">
        <v>8.9269391520084955</v>
      </c>
      <c r="T17" s="198">
        <v>6.9246935986248941</v>
      </c>
      <c r="U17" s="198">
        <v>7.2258637085575579</v>
      </c>
      <c r="V17" s="198">
        <v>10.517483204907098</v>
      </c>
      <c r="W17" s="198">
        <v>13.288014469158504</v>
      </c>
      <c r="X17" s="198">
        <v>21.67789539465128</v>
      </c>
      <c r="Y17" s="198">
        <v>25.103585498630952</v>
      </c>
      <c r="Z17" s="198">
        <v>29.571517510330498</v>
      </c>
      <c r="AA17" s="198"/>
      <c r="AB17" s="198">
        <v>46.587834697165938</v>
      </c>
      <c r="AC17" s="198">
        <v>40.4110428465616</v>
      </c>
      <c r="AD17" s="198">
        <v>40.738703667683502</v>
      </c>
      <c r="AE17" s="198">
        <v>38.793429971423393</v>
      </c>
      <c r="AF17" s="198">
        <v>35.730723703645879</v>
      </c>
      <c r="AG17" s="198">
        <v>32.464681065925831</v>
      </c>
      <c r="AH17" s="198">
        <v>35.450594096240067</v>
      </c>
      <c r="AI17" s="198">
        <v>38.279676602435593</v>
      </c>
      <c r="AJ17" s="198">
        <v>41.261544885543508</v>
      </c>
      <c r="AK17" s="198">
        <v>42.584251840222457</v>
      </c>
      <c r="AL17" s="198">
        <v>44.640188498495121</v>
      </c>
      <c r="AM17" s="45">
        <v>46.780349859085064</v>
      </c>
      <c r="AN17" s="45"/>
      <c r="AO17" s="45"/>
      <c r="AP17" s="45"/>
      <c r="AQ17" s="45"/>
      <c r="AR17" s="45"/>
      <c r="AS17" s="45"/>
      <c r="AT17" s="45"/>
      <c r="AU17" s="45"/>
      <c r="AV17" s="45"/>
      <c r="AW17" s="45"/>
      <c r="AX17" s="45"/>
      <c r="AY17" s="45"/>
      <c r="AZ17" s="45"/>
      <c r="BA17" s="45"/>
      <c r="BB17" s="45"/>
      <c r="BC17" s="45"/>
      <c r="BD17" s="45"/>
      <c r="BE17" s="45"/>
      <c r="BF17" s="45"/>
      <c r="BG17" s="45"/>
      <c r="BH17" s="45"/>
      <c r="BI17" s="45"/>
      <c r="BJ17" s="45"/>
      <c r="BK17" s="45"/>
      <c r="BL17" s="45"/>
      <c r="BM17" s="45"/>
      <c r="BN17" s="45"/>
      <c r="BO17" s="45"/>
      <c r="BP17" s="45"/>
      <c r="BQ17" s="45"/>
      <c r="BR17" s="45"/>
      <c r="BS17" s="45"/>
      <c r="BT17" s="45"/>
      <c r="BU17" s="45"/>
      <c r="BV17" s="45"/>
      <c r="BW17" s="45"/>
      <c r="BX17" s="45"/>
      <c r="BY17" s="45"/>
      <c r="BZ17" s="45"/>
      <c r="CA17" s="45"/>
      <c r="CB17" s="45"/>
      <c r="CC17" s="45"/>
      <c r="CD17" s="45"/>
      <c r="CE17" s="45"/>
      <c r="CF17" s="45"/>
      <c r="CG17" s="45"/>
      <c r="CH17" s="45"/>
      <c r="CI17" s="45"/>
      <c r="CJ17" s="45"/>
      <c r="CK17" s="45"/>
      <c r="CL17" s="45"/>
      <c r="CM17" s="45"/>
      <c r="CN17" s="45"/>
      <c r="CO17" s="45"/>
      <c r="CP17" s="45"/>
      <c r="CQ17" s="45"/>
      <c r="CR17" s="45"/>
      <c r="CS17" s="45"/>
      <c r="CT17" s="45"/>
      <c r="CU17" s="45"/>
      <c r="CV17" s="45"/>
      <c r="CW17" s="45"/>
      <c r="CX17" s="24"/>
      <c r="CY17" s="24"/>
      <c r="CZ17" s="24"/>
      <c r="DA17" s="24"/>
      <c r="DB17" s="24"/>
      <c r="DC17" s="24"/>
      <c r="DD17" s="24"/>
      <c r="DE17" s="24"/>
      <c r="DF17" s="24"/>
      <c r="DG17" s="24"/>
      <c r="DH17" s="24"/>
      <c r="DI17" s="24"/>
      <c r="DJ17" s="24"/>
      <c r="DK17" s="24"/>
      <c r="DL17" s="24"/>
      <c r="DM17" s="24"/>
      <c r="DN17" s="24"/>
      <c r="DO17" s="24"/>
      <c r="DP17" s="24"/>
      <c r="DQ17" s="24"/>
      <c r="DR17" s="24"/>
      <c r="DS17" s="24"/>
      <c r="DT17" s="24"/>
      <c r="DU17" s="24"/>
      <c r="DV17" s="24"/>
      <c r="DW17" s="24"/>
      <c r="DX17" s="24"/>
      <c r="DY17" s="24"/>
      <c r="DZ17" s="24"/>
      <c r="EA17" s="24"/>
    </row>
    <row r="18" spans="1:131">
      <c r="A18" s="24" t="s">
        <v>430</v>
      </c>
      <c r="B18" s="24"/>
      <c r="C18" s="198">
        <v>696.18365257841458</v>
      </c>
      <c r="D18" s="198">
        <v>186.95819668884204</v>
      </c>
      <c r="E18" s="198">
        <v>37.39163933776841</v>
      </c>
      <c r="F18" s="198">
        <v>224.34983602661043</v>
      </c>
      <c r="G18" s="198">
        <v>212.62470120468703</v>
      </c>
      <c r="H18" s="198">
        <v>459.073797860534</v>
      </c>
      <c r="I18" s="198">
        <v>2822.9685605433629</v>
      </c>
      <c r="J18" s="198">
        <v>3.7458270142695529</v>
      </c>
      <c r="K18" s="198">
        <v>9.22053043459732</v>
      </c>
      <c r="L18" s="199">
        <v>1.9109443501490648</v>
      </c>
      <c r="M18" s="198">
        <v>6.6137622220945982</v>
      </c>
      <c r="N18" s="198">
        <v>0.16249953390797076</v>
      </c>
      <c r="O18" s="198">
        <v>28.513918357778262</v>
      </c>
      <c r="P18" s="198">
        <v>21.07927021519313</v>
      </c>
      <c r="Q18" s="198">
        <v>19.636312438413242</v>
      </c>
      <c r="R18" s="198">
        <v>11.272688559132099</v>
      </c>
      <c r="S18" s="198">
        <v>9.0552258522589746</v>
      </c>
      <c r="T18" s="198">
        <v>7.0242065533887157</v>
      </c>
      <c r="U18" s="198">
        <v>7.3297046999484285</v>
      </c>
      <c r="V18" s="198">
        <v>10.668627196405437</v>
      </c>
      <c r="W18" s="198">
        <v>13.478973038507039</v>
      </c>
      <c r="X18" s="198">
        <v>21.98942274139355</v>
      </c>
      <c r="Y18" s="198">
        <v>25.464342539004704</v>
      </c>
      <c r="Z18" s="198">
        <v>29.996482029321985</v>
      </c>
      <c r="AA18" s="198"/>
      <c r="AB18" s="198">
        <v>47.257336245607604</v>
      </c>
      <c r="AC18" s="198">
        <v>40.991779340021367</v>
      </c>
      <c r="AD18" s="198">
        <v>41.324148888830038</v>
      </c>
      <c r="AE18" s="198">
        <v>39.350920174693371</v>
      </c>
      <c r="AF18" s="198">
        <v>36.244200558752595</v>
      </c>
      <c r="AG18" s="198">
        <v>32.931222479249435</v>
      </c>
      <c r="AH18" s="198">
        <v>35.960045282260815</v>
      </c>
      <c r="AI18" s="198">
        <v>38.829783790841496</v>
      </c>
      <c r="AJ18" s="198">
        <v>41.854503720645738</v>
      </c>
      <c r="AK18" s="198">
        <v>43.196218949910715</v>
      </c>
      <c r="AL18" s="198">
        <v>45.281700934450605</v>
      </c>
      <c r="AM18" s="45">
        <v>47.452617992405401</v>
      </c>
      <c r="AN18" s="45"/>
      <c r="AO18" s="45"/>
      <c r="AP18" s="45"/>
      <c r="AQ18" s="45"/>
      <c r="AR18" s="45"/>
      <c r="AS18" s="45"/>
      <c r="AT18" s="45"/>
      <c r="AU18" s="45"/>
      <c r="AV18" s="45"/>
      <c r="AW18" s="45"/>
      <c r="AX18" s="45"/>
      <c r="AY18" s="45"/>
      <c r="AZ18" s="45"/>
      <c r="BA18" s="45"/>
      <c r="BB18" s="45"/>
      <c r="BC18" s="45"/>
      <c r="BD18" s="45"/>
      <c r="BE18" s="45"/>
      <c r="BF18" s="45"/>
      <c r="BG18" s="45"/>
      <c r="BH18" s="45"/>
      <c r="BI18" s="45"/>
      <c r="BJ18" s="45"/>
      <c r="BK18" s="45"/>
      <c r="BL18" s="45"/>
      <c r="BM18" s="45"/>
      <c r="BN18" s="45"/>
      <c r="BO18" s="45"/>
      <c r="BP18" s="45"/>
      <c r="BQ18" s="45"/>
      <c r="BR18" s="45"/>
      <c r="BS18" s="45"/>
      <c r="BT18" s="45"/>
      <c r="BU18" s="45"/>
      <c r="BV18" s="45"/>
      <c r="BW18" s="45"/>
      <c r="BX18" s="45"/>
      <c r="BY18" s="45"/>
      <c r="BZ18" s="45"/>
      <c r="CA18" s="45"/>
      <c r="CB18" s="45"/>
      <c r="CC18" s="45"/>
      <c r="CD18" s="45"/>
      <c r="CE18" s="45"/>
      <c r="CF18" s="45"/>
      <c r="CG18" s="45"/>
      <c r="CH18" s="45"/>
      <c r="CI18" s="45"/>
      <c r="CJ18" s="45"/>
      <c r="CK18" s="45"/>
      <c r="CL18" s="45"/>
      <c r="CM18" s="45"/>
      <c r="CN18" s="45"/>
      <c r="CO18" s="45"/>
      <c r="CP18" s="45"/>
      <c r="CQ18" s="45"/>
      <c r="CR18" s="45"/>
      <c r="CS18" s="45"/>
      <c r="CT18" s="45"/>
      <c r="CU18" s="45"/>
      <c r="CV18" s="45"/>
      <c r="CW18" s="45"/>
      <c r="CX18" s="24"/>
      <c r="CY18" s="24"/>
      <c r="CZ18" s="24"/>
      <c r="DA18" s="24"/>
      <c r="DB18" s="24"/>
      <c r="DC18" s="24"/>
      <c r="DD18" s="24"/>
      <c r="DE18" s="24"/>
      <c r="DF18" s="24"/>
      <c r="DG18" s="24"/>
      <c r="DH18" s="24"/>
      <c r="DI18" s="24"/>
      <c r="DJ18" s="24"/>
      <c r="DK18" s="24"/>
      <c r="DL18" s="24"/>
      <c r="DM18" s="24"/>
      <c r="DN18" s="24"/>
      <c r="DO18" s="24"/>
      <c r="DP18" s="24"/>
      <c r="DQ18" s="24"/>
      <c r="DR18" s="24"/>
      <c r="DS18" s="24"/>
      <c r="DT18" s="24"/>
      <c r="DU18" s="24"/>
      <c r="DV18" s="24"/>
      <c r="DW18" s="24"/>
      <c r="DX18" s="24"/>
      <c r="DY18" s="24"/>
      <c r="DZ18" s="24"/>
      <c r="EA18" s="24"/>
    </row>
    <row r="19" spans="1:131">
      <c r="A19" s="24" t="s">
        <v>429</v>
      </c>
      <c r="B19" s="24"/>
      <c r="C19" s="198">
        <v>1391.6616897786967</v>
      </c>
      <c r="D19" s="198">
        <v>338.08982109258011</v>
      </c>
      <c r="E19" s="198">
        <v>67.617964218516022</v>
      </c>
      <c r="F19" s="198">
        <v>405.70778531109613</v>
      </c>
      <c r="G19" s="198">
        <v>561.06952601991736</v>
      </c>
      <c r="H19" s="198">
        <v>917.6823025038716</v>
      </c>
      <c r="I19" s="198">
        <v>2553.7817311694212</v>
      </c>
      <c r="J19" s="198">
        <v>2.1249435559196197</v>
      </c>
      <c r="K19" s="198">
        <v>16.413183473026297</v>
      </c>
      <c r="L19" s="199">
        <v>1.5745897731264602</v>
      </c>
      <c r="M19" s="198">
        <v>13.220821080336949</v>
      </c>
      <c r="N19" s="198">
        <v>0.32483436677816196</v>
      </c>
      <c r="O19" s="198">
        <v>56.998936497618999</v>
      </c>
      <c r="P19" s="198">
        <v>42.137175583382799</v>
      </c>
      <c r="Q19" s="198">
        <v>39.25272253643822</v>
      </c>
      <c r="R19" s="198">
        <v>22.533951710082377</v>
      </c>
      <c r="S19" s="198">
        <v>18.101273800684453</v>
      </c>
      <c r="T19" s="198">
        <v>14.04129373799465</v>
      </c>
      <c r="U19" s="198">
        <v>14.651980394153476</v>
      </c>
      <c r="V19" s="198">
        <v>21.326441229667118</v>
      </c>
      <c r="W19" s="198">
        <v>26.944284494151312</v>
      </c>
      <c r="X19" s="198">
        <v>43.956558152734004</v>
      </c>
      <c r="Y19" s="198">
        <v>50.902875750796674</v>
      </c>
      <c r="Z19" s="198">
        <v>59.962561191625518</v>
      </c>
      <c r="AA19" s="198"/>
      <c r="AB19" s="198">
        <v>94.466774924156596</v>
      </c>
      <c r="AC19" s="198">
        <v>81.94201155411956</v>
      </c>
      <c r="AD19" s="198">
        <v>82.606413779326871</v>
      </c>
      <c r="AE19" s="198">
        <v>78.661956312586852</v>
      </c>
      <c r="AF19" s="198">
        <v>72.451665889397404</v>
      </c>
      <c r="AG19" s="198">
        <v>65.829067591885916</v>
      </c>
      <c r="AH19" s="198">
        <v>71.883643341356404</v>
      </c>
      <c r="AI19" s="198">
        <v>77.620211741494984</v>
      </c>
      <c r="AJ19" s="198">
        <v>83.66658590300915</v>
      </c>
      <c r="AK19" s="198">
        <v>86.348656469080638</v>
      </c>
      <c r="AL19" s="198">
        <v>90.51750670257691</v>
      </c>
      <c r="AM19" s="45">
        <v>94.857140490376139</v>
      </c>
      <c r="AN19" s="45"/>
      <c r="AO19" s="45"/>
      <c r="AP19" s="45"/>
      <c r="AQ19" s="45"/>
      <c r="AR19" s="45"/>
      <c r="AS19" s="45"/>
      <c r="AT19" s="45"/>
      <c r="AU19" s="45"/>
      <c r="AV19" s="45"/>
      <c r="AW19" s="45"/>
      <c r="AX19" s="45"/>
      <c r="AY19" s="45"/>
      <c r="AZ19" s="45"/>
      <c r="BA19" s="45"/>
      <c r="BB19" s="45"/>
      <c r="BC19" s="45"/>
      <c r="BD19" s="45"/>
      <c r="BE19" s="45"/>
      <c r="BF19" s="45"/>
      <c r="BG19" s="45"/>
      <c r="BH19" s="45"/>
      <c r="BI19" s="45"/>
      <c r="BJ19" s="45"/>
      <c r="BK19" s="45"/>
      <c r="BL19" s="45"/>
      <c r="BM19" s="45"/>
      <c r="BN19" s="45"/>
      <c r="BO19" s="45"/>
      <c r="BP19" s="45"/>
      <c r="BQ19" s="45"/>
      <c r="BR19" s="45"/>
      <c r="BS19" s="45"/>
      <c r="BT19" s="45"/>
      <c r="BU19" s="45"/>
      <c r="BV19" s="45"/>
      <c r="BW19" s="45"/>
      <c r="BX19" s="45"/>
      <c r="BY19" s="45"/>
      <c r="BZ19" s="45"/>
      <c r="CA19" s="45"/>
      <c r="CB19" s="45"/>
      <c r="CC19" s="45"/>
      <c r="CD19" s="45"/>
      <c r="CE19" s="45"/>
      <c r="CF19" s="45"/>
      <c r="CG19" s="45"/>
      <c r="CH19" s="45"/>
      <c r="CI19" s="45"/>
      <c r="CJ19" s="45"/>
      <c r="CK19" s="45"/>
      <c r="CL19" s="45"/>
      <c r="CM19" s="45"/>
      <c r="CN19" s="45"/>
      <c r="CO19" s="45"/>
      <c r="CP19" s="45"/>
      <c r="CQ19" s="45"/>
      <c r="CR19" s="45"/>
      <c r="CS19" s="45"/>
      <c r="CT19" s="45"/>
      <c r="CU19" s="45"/>
      <c r="CV19" s="45"/>
      <c r="CW19" s="45"/>
      <c r="CX19" s="24"/>
      <c r="CY19" s="24"/>
      <c r="CZ19" s="24"/>
      <c r="DA19" s="24"/>
      <c r="DB19" s="24"/>
      <c r="DC19" s="24"/>
      <c r="DD19" s="24"/>
      <c r="DE19" s="24"/>
      <c r="DF19" s="24"/>
      <c r="DG19" s="24"/>
      <c r="DH19" s="24"/>
      <c r="DI19" s="24"/>
      <c r="DJ19" s="24"/>
      <c r="DK19" s="24"/>
      <c r="DL19" s="24"/>
      <c r="DM19" s="24"/>
      <c r="DN19" s="24"/>
      <c r="DO19" s="24"/>
      <c r="DP19" s="24"/>
      <c r="DQ19" s="24"/>
      <c r="DR19" s="24"/>
      <c r="DS19" s="24"/>
      <c r="DT19" s="24"/>
      <c r="DU19" s="24"/>
      <c r="DV19" s="24"/>
      <c r="DW19" s="24"/>
      <c r="DX19" s="24"/>
      <c r="DY19" s="24"/>
      <c r="DZ19" s="24"/>
      <c r="EA19" s="24"/>
    </row>
    <row r="20" spans="1:131">
      <c r="A20" s="24" t="s">
        <v>435</v>
      </c>
      <c r="B20" s="24"/>
      <c r="C20" s="198">
        <v>696.18365257841458</v>
      </c>
      <c r="D20" s="198">
        <v>228.79070335550873</v>
      </c>
      <c r="E20" s="198">
        <v>45.758140671101749</v>
      </c>
      <c r="F20" s="198">
        <v>274.54884402661048</v>
      </c>
      <c r="G20" s="198">
        <v>273.15945250975392</v>
      </c>
      <c r="H20" s="198">
        <v>459.073797860534</v>
      </c>
      <c r="I20" s="198">
        <v>3454.6169890167243</v>
      </c>
      <c r="J20" s="198">
        <v>7.5492392821964849</v>
      </c>
      <c r="K20" s="198">
        <v>15.618630907422439</v>
      </c>
      <c r="L20" s="199">
        <v>1.561543823402028</v>
      </c>
      <c r="M20" s="198">
        <v>6.6137622220945982</v>
      </c>
      <c r="N20" s="198">
        <v>0.16249953390797076</v>
      </c>
      <c r="O20" s="198">
        <v>28.513918357778262</v>
      </c>
      <c r="P20" s="198">
        <v>21.07927021519313</v>
      </c>
      <c r="Q20" s="198">
        <v>19.636312438413242</v>
      </c>
      <c r="R20" s="198">
        <v>11.272688559132099</v>
      </c>
      <c r="S20" s="198">
        <v>9.0552258522589746</v>
      </c>
      <c r="T20" s="198">
        <v>7.0242065533887157</v>
      </c>
      <c r="U20" s="198">
        <v>7.3297046999484285</v>
      </c>
      <c r="V20" s="198">
        <v>10.668627196405437</v>
      </c>
      <c r="W20" s="198">
        <v>13.478973038507039</v>
      </c>
      <c r="X20" s="198">
        <v>21.98942274139355</v>
      </c>
      <c r="Y20" s="198">
        <v>25.464342539004704</v>
      </c>
      <c r="Z20" s="198">
        <v>29.996482029321985</v>
      </c>
      <c r="AA20" s="198"/>
      <c r="AB20" s="198">
        <v>47.257336245607604</v>
      </c>
      <c r="AC20" s="198">
        <v>40.991779340021367</v>
      </c>
      <c r="AD20" s="198">
        <v>41.324148888830038</v>
      </c>
      <c r="AE20" s="198">
        <v>39.350920174693371</v>
      </c>
      <c r="AF20" s="198">
        <v>36.244200558752595</v>
      </c>
      <c r="AG20" s="198">
        <v>32.931222479249435</v>
      </c>
      <c r="AH20" s="198">
        <v>35.960045282260815</v>
      </c>
      <c r="AI20" s="198">
        <v>38.829783790841496</v>
      </c>
      <c r="AJ20" s="198">
        <v>41.854503720645738</v>
      </c>
      <c r="AK20" s="198">
        <v>43.196218949910715</v>
      </c>
      <c r="AL20" s="198">
        <v>45.281700934450605</v>
      </c>
      <c r="AM20" s="45">
        <v>47.452617992405401</v>
      </c>
      <c r="AN20" s="45"/>
      <c r="AO20" s="45"/>
      <c r="AP20" s="45"/>
      <c r="AQ20" s="45"/>
      <c r="AR20" s="45"/>
      <c r="AS20" s="45"/>
      <c r="AT20" s="45"/>
      <c r="AU20" s="45"/>
      <c r="AV20" s="45"/>
      <c r="AW20" s="45"/>
      <c r="AX20" s="45"/>
      <c r="AY20" s="45"/>
      <c r="AZ20" s="45"/>
      <c r="BA20" s="45"/>
      <c r="BB20" s="45"/>
      <c r="BC20" s="45"/>
      <c r="BD20" s="45"/>
      <c r="BE20" s="45"/>
      <c r="BF20" s="45"/>
      <c r="BG20" s="45"/>
      <c r="BH20" s="45"/>
      <c r="BI20" s="45"/>
      <c r="BJ20" s="45"/>
      <c r="BK20" s="45"/>
      <c r="BL20" s="45"/>
      <c r="BM20" s="45"/>
      <c r="BN20" s="45"/>
      <c r="BO20" s="45"/>
      <c r="BP20" s="45"/>
      <c r="BQ20" s="45"/>
      <c r="BR20" s="45"/>
      <c r="BS20" s="45"/>
      <c r="BT20" s="45"/>
      <c r="BU20" s="45"/>
      <c r="BV20" s="45"/>
      <c r="BW20" s="45"/>
      <c r="BX20" s="45"/>
      <c r="BY20" s="45"/>
      <c r="BZ20" s="45"/>
      <c r="CA20" s="45"/>
      <c r="CB20" s="45"/>
      <c r="CC20" s="45"/>
      <c r="CD20" s="45"/>
      <c r="CE20" s="45"/>
      <c r="CF20" s="45"/>
      <c r="CG20" s="45"/>
      <c r="CH20" s="45"/>
      <c r="CI20" s="45"/>
      <c r="CJ20" s="45"/>
      <c r="CK20" s="45"/>
      <c r="CL20" s="45"/>
      <c r="CM20" s="45"/>
      <c r="CN20" s="45"/>
      <c r="CO20" s="45"/>
      <c r="CP20" s="45"/>
      <c r="CQ20" s="45"/>
      <c r="CR20" s="45"/>
      <c r="CS20" s="45"/>
      <c r="CT20" s="45"/>
      <c r="CU20" s="45"/>
      <c r="CV20" s="45"/>
      <c r="CW20" s="45"/>
      <c r="CX20" s="24"/>
      <c r="CY20" s="24"/>
      <c r="CZ20" s="24"/>
      <c r="DA20" s="24"/>
      <c r="DB20" s="24"/>
      <c r="DC20" s="24"/>
      <c r="DD20" s="24"/>
      <c r="DE20" s="24"/>
      <c r="DF20" s="24"/>
      <c r="DG20" s="24"/>
      <c r="DH20" s="24"/>
      <c r="DI20" s="24"/>
      <c r="DJ20" s="24"/>
      <c r="DK20" s="24"/>
      <c r="DL20" s="24"/>
      <c r="DM20" s="24"/>
      <c r="DN20" s="24"/>
      <c r="DO20" s="24"/>
      <c r="DP20" s="24"/>
      <c r="DQ20" s="24"/>
      <c r="DR20" s="24"/>
      <c r="DS20" s="24"/>
      <c r="DT20" s="24"/>
      <c r="DU20" s="24"/>
      <c r="DV20" s="24"/>
      <c r="DW20" s="24"/>
      <c r="DX20" s="24"/>
      <c r="DY20" s="24"/>
      <c r="DZ20" s="24"/>
      <c r="EA20" s="24"/>
    </row>
    <row r="21" spans="1:131">
      <c r="A21" s="24" t="s">
        <v>419</v>
      </c>
      <c r="B21" s="24"/>
      <c r="C21" s="198">
        <v>686.32071762629175</v>
      </c>
      <c r="D21" s="198">
        <v>210.259506250687</v>
      </c>
      <c r="E21" s="198">
        <v>42.051901250137405</v>
      </c>
      <c r="F21" s="198">
        <v>252.3114075008244</v>
      </c>
      <c r="G21" s="198">
        <v>283.68911922308496</v>
      </c>
      <c r="H21" s="198">
        <v>452.5700326690461</v>
      </c>
      <c r="I21" s="198">
        <v>3220.4301472226912</v>
      </c>
      <c r="J21" s="198">
        <v>6.1391049940145992</v>
      </c>
      <c r="K21" s="198">
        <v>17.162434750091414</v>
      </c>
      <c r="L21" s="199">
        <v>1.4994325928714816</v>
      </c>
      <c r="M21" s="198">
        <v>6.5200640918042199</v>
      </c>
      <c r="N21" s="198">
        <v>0.16019737940211778</v>
      </c>
      <c r="O21" s="198">
        <v>28.109957533717932</v>
      </c>
      <c r="P21" s="198">
        <v>20.780637131522365</v>
      </c>
      <c r="Q21" s="198">
        <v>19.358121947208314</v>
      </c>
      <c r="R21" s="198">
        <v>11.112986742546086</v>
      </c>
      <c r="S21" s="198">
        <v>8.9269391520084955</v>
      </c>
      <c r="T21" s="198">
        <v>6.9246935986248941</v>
      </c>
      <c r="U21" s="198">
        <v>7.2258637085575579</v>
      </c>
      <c r="V21" s="198">
        <v>10.517483204907098</v>
      </c>
      <c r="W21" s="198">
        <v>13.288014469158504</v>
      </c>
      <c r="X21" s="198">
        <v>21.67789539465128</v>
      </c>
      <c r="Y21" s="198">
        <v>25.103585498630952</v>
      </c>
      <c r="Z21" s="198">
        <v>29.571517510330498</v>
      </c>
      <c r="AA21" s="198"/>
      <c r="AB21" s="198">
        <v>46.587834697165938</v>
      </c>
      <c r="AC21" s="198">
        <v>40.4110428465616</v>
      </c>
      <c r="AD21" s="198">
        <v>40.738703667683502</v>
      </c>
      <c r="AE21" s="198">
        <v>38.793429971423393</v>
      </c>
      <c r="AF21" s="198">
        <v>35.730723703645879</v>
      </c>
      <c r="AG21" s="198">
        <v>32.464681065925831</v>
      </c>
      <c r="AH21" s="198">
        <v>35.450594096240067</v>
      </c>
      <c r="AI21" s="198">
        <v>38.279676602435593</v>
      </c>
      <c r="AJ21" s="198">
        <v>41.261544885543508</v>
      </c>
      <c r="AK21" s="198">
        <v>42.584251840222457</v>
      </c>
      <c r="AL21" s="198">
        <v>44.640188498495121</v>
      </c>
      <c r="AM21" s="45">
        <v>46.780349859085064</v>
      </c>
      <c r="AN21" s="45"/>
      <c r="AO21" s="45"/>
      <c r="AP21" s="45"/>
      <c r="AQ21" s="45"/>
      <c r="AR21" s="45"/>
      <c r="AS21" s="45"/>
      <c r="AT21" s="45"/>
      <c r="AU21" s="45"/>
      <c r="AV21" s="45"/>
      <c r="AW21" s="45"/>
      <c r="AX21" s="45"/>
      <c r="AY21" s="45"/>
      <c r="AZ21" s="45"/>
      <c r="BA21" s="45"/>
      <c r="BB21" s="45"/>
      <c r="BC21" s="45"/>
      <c r="BD21" s="45"/>
      <c r="BE21" s="45"/>
      <c r="BF21" s="45"/>
      <c r="BG21" s="45"/>
      <c r="BH21" s="45"/>
      <c r="BI21" s="45"/>
      <c r="BJ21" s="45"/>
      <c r="BK21" s="45"/>
      <c r="BL21" s="45"/>
      <c r="BM21" s="45"/>
      <c r="BN21" s="45"/>
      <c r="BO21" s="45"/>
      <c r="BP21" s="45"/>
      <c r="BQ21" s="45"/>
      <c r="BR21" s="45"/>
      <c r="BS21" s="45"/>
      <c r="BT21" s="45"/>
      <c r="BU21" s="45"/>
      <c r="BV21" s="45"/>
      <c r="BW21" s="45"/>
      <c r="BX21" s="45"/>
      <c r="BY21" s="45"/>
      <c r="BZ21" s="45"/>
      <c r="CA21" s="45"/>
      <c r="CB21" s="45"/>
      <c r="CC21" s="45"/>
      <c r="CD21" s="45"/>
      <c r="CE21" s="45"/>
      <c r="CF21" s="45"/>
      <c r="CG21" s="45"/>
      <c r="CH21" s="45"/>
      <c r="CI21" s="45"/>
      <c r="CJ21" s="45"/>
      <c r="CK21" s="45"/>
      <c r="CL21" s="45"/>
      <c r="CM21" s="45"/>
      <c r="CN21" s="45"/>
      <c r="CO21" s="45"/>
      <c r="CP21" s="45"/>
      <c r="CQ21" s="45"/>
      <c r="CR21" s="45"/>
      <c r="CS21" s="45"/>
      <c r="CT21" s="45"/>
      <c r="CU21" s="45"/>
      <c r="CV21" s="45"/>
      <c r="CW21" s="45"/>
      <c r="CX21" s="24"/>
      <c r="CY21" s="24"/>
      <c r="CZ21" s="24"/>
      <c r="DA21" s="24"/>
      <c r="DB21" s="24"/>
      <c r="DC21" s="24"/>
      <c r="DD21" s="24"/>
      <c r="DE21" s="24"/>
      <c r="DF21" s="24"/>
      <c r="DG21" s="24"/>
      <c r="DH21" s="24"/>
      <c r="DI21" s="24"/>
      <c r="DJ21" s="24"/>
      <c r="DK21" s="24"/>
      <c r="DL21" s="24"/>
      <c r="DM21" s="24"/>
      <c r="DN21" s="24"/>
      <c r="DO21" s="24"/>
      <c r="DP21" s="24"/>
      <c r="DQ21" s="24"/>
      <c r="DR21" s="24"/>
      <c r="DS21" s="24"/>
      <c r="DT21" s="24"/>
      <c r="DU21" s="24"/>
      <c r="DV21" s="24"/>
      <c r="DW21" s="24"/>
      <c r="DX21" s="24"/>
      <c r="DY21" s="24"/>
      <c r="DZ21" s="24"/>
      <c r="EA21" s="24"/>
    </row>
    <row r="22" spans="1:131">
      <c r="A22" s="24" t="s">
        <v>432</v>
      </c>
      <c r="B22" s="24"/>
      <c r="C22" s="198">
        <v>1391.6616897786967</v>
      </c>
      <c r="D22" s="198">
        <v>366.92315442591342</v>
      </c>
      <c r="E22" s="198">
        <v>73.384630885182688</v>
      </c>
      <c r="F22" s="198">
        <v>440.3077853110961</v>
      </c>
      <c r="G22" s="198">
        <v>613.99951017205683</v>
      </c>
      <c r="H22" s="198">
        <v>917.6823025038716</v>
      </c>
      <c r="I22" s="198">
        <v>2771.5760429810789</v>
      </c>
      <c r="J22" s="198">
        <v>3.4363717493392349</v>
      </c>
      <c r="K22" s="198">
        <v>19.211766567887768</v>
      </c>
      <c r="L22" s="199">
        <v>1.4508563121982538</v>
      </c>
      <c r="M22" s="198">
        <v>13.220821080336949</v>
      </c>
      <c r="N22" s="198">
        <v>0.32483436677816196</v>
      </c>
      <c r="O22" s="198">
        <v>56.998936497618999</v>
      </c>
      <c r="P22" s="198">
        <v>42.137175583382799</v>
      </c>
      <c r="Q22" s="198">
        <v>39.25272253643822</v>
      </c>
      <c r="R22" s="198">
        <v>22.533951710082377</v>
      </c>
      <c r="S22" s="198">
        <v>18.101273800684453</v>
      </c>
      <c r="T22" s="198">
        <v>14.04129373799465</v>
      </c>
      <c r="U22" s="198">
        <v>14.651980394153476</v>
      </c>
      <c r="V22" s="198">
        <v>21.326441229667118</v>
      </c>
      <c r="W22" s="198">
        <v>26.944284494151312</v>
      </c>
      <c r="X22" s="198">
        <v>43.956558152734004</v>
      </c>
      <c r="Y22" s="198">
        <v>50.902875750796674</v>
      </c>
      <c r="Z22" s="198">
        <v>59.962561191625518</v>
      </c>
      <c r="AA22" s="198"/>
      <c r="AB22" s="198">
        <v>94.466774924156596</v>
      </c>
      <c r="AC22" s="198">
        <v>81.94201155411956</v>
      </c>
      <c r="AD22" s="198">
        <v>82.606413779326871</v>
      </c>
      <c r="AE22" s="198">
        <v>78.661956312586852</v>
      </c>
      <c r="AF22" s="198">
        <v>72.451665889397404</v>
      </c>
      <c r="AG22" s="198">
        <v>65.829067591885916</v>
      </c>
      <c r="AH22" s="198">
        <v>71.883643341356404</v>
      </c>
      <c r="AI22" s="198">
        <v>77.620211741494984</v>
      </c>
      <c r="AJ22" s="198">
        <v>83.66658590300915</v>
      </c>
      <c r="AK22" s="198">
        <v>86.348656469080638</v>
      </c>
      <c r="AL22" s="198">
        <v>90.51750670257691</v>
      </c>
      <c r="AM22" s="45">
        <v>94.857140490376139</v>
      </c>
      <c r="AN22" s="45"/>
      <c r="AO22" s="45"/>
      <c r="AP22" s="45"/>
      <c r="AQ22" s="45"/>
      <c r="AR22" s="45"/>
      <c r="AS22" s="45"/>
      <c r="AT22" s="45"/>
      <c r="AU22" s="45"/>
      <c r="AV22" s="45"/>
      <c r="AW22" s="45"/>
      <c r="AX22" s="45"/>
      <c r="AY22" s="45"/>
      <c r="AZ22" s="45"/>
      <c r="BA22" s="45"/>
      <c r="BB22" s="45"/>
      <c r="BC22" s="45"/>
      <c r="BD22" s="45"/>
      <c r="BE22" s="45"/>
      <c r="BF22" s="45"/>
      <c r="BG22" s="45"/>
      <c r="BH22" s="45"/>
      <c r="BI22" s="45"/>
      <c r="BJ22" s="45"/>
      <c r="BK22" s="45"/>
      <c r="BL22" s="45"/>
      <c r="BM22" s="45"/>
      <c r="BN22" s="45"/>
      <c r="BO22" s="45"/>
      <c r="BP22" s="45"/>
      <c r="BQ22" s="45"/>
      <c r="BR22" s="45"/>
      <c r="BS22" s="45"/>
      <c r="BT22" s="45"/>
      <c r="BU22" s="45"/>
      <c r="BV22" s="45"/>
      <c r="BW22" s="45"/>
      <c r="BX22" s="45"/>
      <c r="BY22" s="45"/>
      <c r="BZ22" s="45"/>
      <c r="CA22" s="45"/>
      <c r="CB22" s="45"/>
      <c r="CC22" s="45"/>
      <c r="CD22" s="45"/>
      <c r="CE22" s="45"/>
      <c r="CF22" s="45"/>
      <c r="CG22" s="45"/>
      <c r="CH22" s="45"/>
      <c r="CI22" s="45"/>
      <c r="CJ22" s="45"/>
      <c r="CK22" s="45"/>
      <c r="CL22" s="45"/>
      <c r="CM22" s="45"/>
      <c r="CN22" s="45"/>
      <c r="CO22" s="45"/>
      <c r="CP22" s="45"/>
      <c r="CQ22" s="45"/>
      <c r="CR22" s="45"/>
      <c r="CS22" s="45"/>
      <c r="CT22" s="45"/>
      <c r="CU22" s="45"/>
      <c r="CV22" s="45"/>
      <c r="CW22" s="45"/>
      <c r="CX22" s="24"/>
      <c r="CY22" s="24"/>
      <c r="CZ22" s="24"/>
      <c r="DA22" s="24"/>
      <c r="DB22" s="24"/>
      <c r="DC22" s="24"/>
      <c r="DD22" s="24"/>
      <c r="DE22" s="24"/>
      <c r="DF22" s="24"/>
      <c r="DG22" s="24"/>
      <c r="DH22" s="24"/>
      <c r="DI22" s="24"/>
      <c r="DJ22" s="24"/>
      <c r="DK22" s="24"/>
      <c r="DL22" s="24"/>
      <c r="DM22" s="24"/>
      <c r="DN22" s="24"/>
      <c r="DO22" s="24"/>
      <c r="DP22" s="24"/>
      <c r="DQ22" s="24"/>
      <c r="DR22" s="24"/>
      <c r="DS22" s="24"/>
      <c r="DT22" s="24"/>
      <c r="DU22" s="24"/>
      <c r="DV22" s="24"/>
      <c r="DW22" s="24"/>
      <c r="DX22" s="24"/>
      <c r="DY22" s="24"/>
      <c r="DZ22" s="24"/>
      <c r="EA22" s="24"/>
    </row>
    <row r="23" spans="1:131">
      <c r="A23" s="24" t="s">
        <v>433</v>
      </c>
      <c r="B23" s="24"/>
      <c r="C23" s="198">
        <v>3387.6594304155228</v>
      </c>
      <c r="D23" s="198">
        <v>984.136129944407</v>
      </c>
      <c r="E23" s="198">
        <v>196.82722598888142</v>
      </c>
      <c r="F23" s="198">
        <v>1180.9633559332883</v>
      </c>
      <c r="G23" s="198">
        <v>1742.8989630229121</v>
      </c>
      <c r="H23" s="198">
        <v>2233.8727357631246</v>
      </c>
      <c r="I23" s="198">
        <v>3053.8013665401668</v>
      </c>
      <c r="J23" s="198">
        <v>5.1357652878281117</v>
      </c>
      <c r="K23" s="198">
        <v>24.604269484975486</v>
      </c>
      <c r="L23" s="199">
        <v>1.2717666781433574</v>
      </c>
      <c r="M23" s="198">
        <v>32.182849854666841</v>
      </c>
      <c r="N23" s="198">
        <v>0.7907296823799802</v>
      </c>
      <c r="O23" s="198">
        <v>138.74994631814602</v>
      </c>
      <c r="P23" s="198">
        <v>102.57263046367333</v>
      </c>
      <c r="Q23" s="198">
        <v>95.551136204083235</v>
      </c>
      <c r="R23" s="198">
        <v>54.85338468096208</v>
      </c>
      <c r="S23" s="198">
        <v>44.063116304633951</v>
      </c>
      <c r="T23" s="198">
        <v>34.18008952615213</v>
      </c>
      <c r="U23" s="198">
        <v>35.666656573991425</v>
      </c>
      <c r="V23" s="198">
        <v>51.913996253193531</v>
      </c>
      <c r="W23" s="198">
        <v>65.589259324172076</v>
      </c>
      <c r="X23" s="198">
        <v>107.00147158494927</v>
      </c>
      <c r="Y23" s="198">
        <v>123.91057994840529</v>
      </c>
      <c r="Z23" s="198">
        <v>145.96416455566899</v>
      </c>
      <c r="AA23" s="198"/>
      <c r="AB23" s="198">
        <v>229.95621944845649</v>
      </c>
      <c r="AC23" s="198">
        <v>199.46775155725797</v>
      </c>
      <c r="AD23" s="198">
        <v>201.08507599777664</v>
      </c>
      <c r="AE23" s="198">
        <v>191.48326067641094</v>
      </c>
      <c r="AF23" s="198">
        <v>176.3658301455163</v>
      </c>
      <c r="AG23" s="198">
        <v>160.24473710889885</v>
      </c>
      <c r="AH23" s="198">
        <v>174.98311841629871</v>
      </c>
      <c r="AI23" s="198">
        <v>188.94738874269069</v>
      </c>
      <c r="AJ23" s="198">
        <v>203.66580529357771</v>
      </c>
      <c r="AK23" s="198">
        <v>210.19464898664282</v>
      </c>
      <c r="AL23" s="198">
        <v>220.34269352305554</v>
      </c>
      <c r="AM23" s="45">
        <v>230.90646878090988</v>
      </c>
      <c r="AN23" s="45"/>
      <c r="AO23" s="45"/>
      <c r="AP23" s="45"/>
      <c r="AQ23" s="45"/>
      <c r="AR23" s="45"/>
      <c r="AS23" s="45"/>
      <c r="AT23" s="45"/>
      <c r="AU23" s="45"/>
      <c r="AV23" s="45"/>
      <c r="AW23" s="45"/>
      <c r="AX23" s="45"/>
      <c r="AY23" s="45"/>
      <c r="AZ23" s="45"/>
      <c r="BA23" s="45"/>
      <c r="BB23" s="45"/>
      <c r="BC23" s="45"/>
      <c r="BD23" s="45"/>
      <c r="BE23" s="45"/>
      <c r="BF23" s="45"/>
      <c r="BG23" s="45"/>
      <c r="BH23" s="45"/>
      <c r="BI23" s="45"/>
      <c r="BJ23" s="45"/>
      <c r="BK23" s="45"/>
      <c r="BL23" s="45"/>
      <c r="BM23" s="45"/>
      <c r="BN23" s="45"/>
      <c r="BO23" s="45"/>
      <c r="BP23" s="45"/>
      <c r="BQ23" s="45"/>
      <c r="BR23" s="45"/>
      <c r="BS23" s="45"/>
      <c r="BT23" s="45"/>
      <c r="BU23" s="45"/>
      <c r="BV23" s="45"/>
      <c r="BW23" s="45"/>
      <c r="BX23" s="45"/>
      <c r="BY23" s="45"/>
      <c r="BZ23" s="45"/>
      <c r="CA23" s="45"/>
      <c r="CB23" s="45"/>
      <c r="CC23" s="45"/>
      <c r="CD23" s="45"/>
      <c r="CE23" s="45"/>
      <c r="CF23" s="45"/>
      <c r="CG23" s="45"/>
      <c r="CH23" s="45"/>
      <c r="CI23" s="45"/>
      <c r="CJ23" s="45"/>
      <c r="CK23" s="45"/>
      <c r="CL23" s="45"/>
      <c r="CM23" s="45"/>
      <c r="CN23" s="45"/>
      <c r="CO23" s="45"/>
      <c r="CP23" s="45"/>
      <c r="CQ23" s="45"/>
      <c r="CR23" s="45"/>
      <c r="CS23" s="45"/>
      <c r="CT23" s="45"/>
      <c r="CU23" s="45"/>
      <c r="CV23" s="45"/>
      <c r="CW23" s="45"/>
      <c r="CX23" s="24"/>
      <c r="CY23" s="24"/>
      <c r="CZ23" s="24"/>
      <c r="DA23" s="24"/>
      <c r="DB23" s="24"/>
      <c r="DC23" s="24"/>
      <c r="DD23" s="24"/>
      <c r="DE23" s="24"/>
      <c r="DF23" s="24"/>
      <c r="DG23" s="24"/>
      <c r="DH23" s="24"/>
      <c r="DI23" s="24"/>
      <c r="DJ23" s="24"/>
      <c r="DK23" s="24"/>
      <c r="DL23" s="24"/>
      <c r="DM23" s="24"/>
      <c r="DN23" s="24"/>
      <c r="DO23" s="24"/>
      <c r="DP23" s="24"/>
      <c r="DQ23" s="24"/>
      <c r="DR23" s="24"/>
      <c r="DS23" s="24"/>
      <c r="DT23" s="24"/>
      <c r="DU23" s="24"/>
      <c r="DV23" s="24"/>
      <c r="DW23" s="24"/>
      <c r="DX23" s="24"/>
      <c r="DY23" s="24"/>
      <c r="DZ23" s="24"/>
      <c r="EA23" s="24"/>
    </row>
    <row r="24" spans="1:131">
      <c r="A24" s="24" t="s">
        <v>434</v>
      </c>
      <c r="B24" s="24"/>
      <c r="C24" s="198">
        <v>3387.6594304155228</v>
      </c>
      <c r="D24" s="198">
        <v>1014.9694632777404</v>
      </c>
      <c r="E24" s="198">
        <v>202.99389265554808</v>
      </c>
      <c r="F24" s="198">
        <v>1217.9633559332885</v>
      </c>
      <c r="G24" s="198">
        <v>1799.5003911624831</v>
      </c>
      <c r="H24" s="198">
        <v>2233.8727357631246</v>
      </c>
      <c r="I24" s="198">
        <v>3149.4780443933018</v>
      </c>
      <c r="J24" s="198">
        <v>5.7118735054652721</v>
      </c>
      <c r="K24" s="198">
        <v>25.833682369935676</v>
      </c>
      <c r="L24" s="199">
        <v>1.2331322094936441</v>
      </c>
      <c r="M24" s="198">
        <v>32.182849854666841</v>
      </c>
      <c r="N24" s="198">
        <v>0.7907296823799802</v>
      </c>
      <c r="O24" s="198">
        <v>138.74994631814602</v>
      </c>
      <c r="P24" s="198">
        <v>102.57263046367333</v>
      </c>
      <c r="Q24" s="198">
        <v>95.551136204083235</v>
      </c>
      <c r="R24" s="198">
        <v>54.85338468096208</v>
      </c>
      <c r="S24" s="198">
        <v>44.063116304633951</v>
      </c>
      <c r="T24" s="198">
        <v>34.18008952615213</v>
      </c>
      <c r="U24" s="198">
        <v>35.666656573991425</v>
      </c>
      <c r="V24" s="198">
        <v>51.913996253193531</v>
      </c>
      <c r="W24" s="198">
        <v>65.589259324172076</v>
      </c>
      <c r="X24" s="198">
        <v>107.00147158494927</v>
      </c>
      <c r="Y24" s="198">
        <v>123.91057994840529</v>
      </c>
      <c r="Z24" s="198">
        <v>145.96416455566899</v>
      </c>
      <c r="AA24" s="198"/>
      <c r="AB24" s="198">
        <v>229.95621944845649</v>
      </c>
      <c r="AC24" s="198">
        <v>199.46775155725797</v>
      </c>
      <c r="AD24" s="198">
        <v>201.08507599777664</v>
      </c>
      <c r="AE24" s="198">
        <v>191.48326067641094</v>
      </c>
      <c r="AF24" s="198">
        <v>176.3658301455163</v>
      </c>
      <c r="AG24" s="198">
        <v>160.24473710889885</v>
      </c>
      <c r="AH24" s="198">
        <v>174.98311841629871</v>
      </c>
      <c r="AI24" s="198">
        <v>188.94738874269069</v>
      </c>
      <c r="AJ24" s="198">
        <v>203.66580529357771</v>
      </c>
      <c r="AK24" s="198">
        <v>210.19464898664282</v>
      </c>
      <c r="AL24" s="198">
        <v>220.34269352305554</v>
      </c>
      <c r="AM24" s="45">
        <v>230.90646878090988</v>
      </c>
      <c r="AN24" s="45"/>
      <c r="AO24" s="45"/>
      <c r="AP24" s="45"/>
      <c r="AQ24" s="45"/>
      <c r="AR24" s="45"/>
      <c r="AS24" s="45"/>
      <c r="AT24" s="45"/>
      <c r="AU24" s="45"/>
      <c r="AV24" s="45"/>
      <c r="AW24" s="45"/>
      <c r="AX24" s="45"/>
      <c r="AY24" s="45"/>
      <c r="AZ24" s="45"/>
      <c r="BA24" s="45"/>
      <c r="BB24" s="45"/>
      <c r="BC24" s="45"/>
      <c r="BD24" s="45"/>
      <c r="BE24" s="45"/>
      <c r="BF24" s="45"/>
      <c r="BG24" s="45"/>
      <c r="BH24" s="45"/>
      <c r="BI24" s="45"/>
      <c r="BJ24" s="45"/>
      <c r="BK24" s="45"/>
      <c r="BL24" s="45"/>
      <c r="BM24" s="45"/>
      <c r="BN24" s="45"/>
      <c r="BO24" s="45"/>
      <c r="BP24" s="45"/>
      <c r="BQ24" s="45"/>
      <c r="BR24" s="45"/>
      <c r="BS24" s="45"/>
      <c r="BT24" s="45"/>
      <c r="BU24" s="45"/>
      <c r="BV24" s="45"/>
      <c r="BW24" s="45"/>
      <c r="BX24" s="45"/>
      <c r="BY24" s="45"/>
      <c r="BZ24" s="45"/>
      <c r="CA24" s="45"/>
      <c r="CB24" s="45"/>
      <c r="CC24" s="45"/>
      <c r="CD24" s="45"/>
      <c r="CE24" s="45"/>
      <c r="CF24" s="45"/>
      <c r="CG24" s="45"/>
      <c r="CH24" s="45"/>
      <c r="CI24" s="45"/>
      <c r="CJ24" s="45"/>
      <c r="CK24" s="45"/>
      <c r="CL24" s="45"/>
      <c r="CM24" s="45"/>
      <c r="CN24" s="45"/>
      <c r="CO24" s="45"/>
      <c r="CP24" s="45"/>
      <c r="CQ24" s="45"/>
      <c r="CR24" s="45"/>
      <c r="CS24" s="45"/>
      <c r="CT24" s="45"/>
      <c r="CU24" s="45"/>
      <c r="CV24" s="45"/>
      <c r="CW24" s="45"/>
      <c r="CX24" s="24"/>
      <c r="CY24" s="24"/>
      <c r="CZ24" s="24"/>
      <c r="DA24" s="24"/>
      <c r="DB24" s="24"/>
      <c r="DC24" s="24"/>
      <c r="DD24" s="24"/>
      <c r="DE24" s="24"/>
      <c r="DF24" s="24"/>
      <c r="DG24" s="24"/>
      <c r="DH24" s="24"/>
      <c r="DI24" s="24"/>
      <c r="DJ24" s="24"/>
      <c r="DK24" s="24"/>
      <c r="DL24" s="24"/>
      <c r="DM24" s="24"/>
      <c r="DN24" s="24"/>
      <c r="DO24" s="24"/>
      <c r="DP24" s="24"/>
      <c r="DQ24" s="24"/>
      <c r="DR24" s="24"/>
      <c r="DS24" s="24"/>
      <c r="DT24" s="24"/>
      <c r="DU24" s="24"/>
      <c r="DV24" s="24"/>
      <c r="DW24" s="24"/>
      <c r="DX24" s="24"/>
      <c r="DY24" s="24"/>
      <c r="DZ24" s="24"/>
      <c r="EA24" s="24"/>
    </row>
    <row r="25" spans="1:131">
      <c r="A25" s="24" t="s">
        <v>427</v>
      </c>
      <c r="B25" s="24"/>
      <c r="C25" s="198">
        <v>797.11017216400808</v>
      </c>
      <c r="D25" s="198">
        <v>260.08403248610176</v>
      </c>
      <c r="E25" s="198">
        <v>52.016806497220358</v>
      </c>
      <c r="F25" s="198">
        <v>312.10083898332209</v>
      </c>
      <c r="G25" s="198">
        <v>445.54917252004157</v>
      </c>
      <c r="H25" s="198">
        <v>525.62623769362187</v>
      </c>
      <c r="I25" s="198">
        <v>3429.8939405974252</v>
      </c>
      <c r="J25" s="198">
        <v>7.4003717454153373</v>
      </c>
      <c r="K25" s="198">
        <v>27.876513737276213</v>
      </c>
      <c r="L25" s="199">
        <v>1.1677210399474411</v>
      </c>
      <c r="M25" s="198">
        <v>7.5725666984285294</v>
      </c>
      <c r="N25" s="198">
        <v>0.18605727234504985</v>
      </c>
      <c r="O25" s="198">
        <v>32.647612863444898</v>
      </c>
      <c r="P25" s="198">
        <v>24.135155498256541</v>
      </c>
      <c r="Q25" s="198">
        <v>22.483010525282101</v>
      </c>
      <c r="R25" s="198">
        <v>12.906902776073075</v>
      </c>
      <c r="S25" s="198">
        <v>10.367972030577274</v>
      </c>
      <c r="T25" s="198">
        <v>8.0425136016197722</v>
      </c>
      <c r="U25" s="198">
        <v>8.3923001547772653</v>
      </c>
      <c r="V25" s="198">
        <v>12.215269964734631</v>
      </c>
      <c r="W25" s="198">
        <v>15.433034773978974</v>
      </c>
      <c r="X25" s="198">
        <v>25.177253849989107</v>
      </c>
      <c r="Y25" s="198">
        <v>29.155936641334829</v>
      </c>
      <c r="Z25" s="198">
        <v>34.345105441863652</v>
      </c>
      <c r="AA25" s="198"/>
      <c r="AB25" s="198">
        <v>54.108284920559541</v>
      </c>
      <c r="AC25" s="198">
        <v>46.934403251235665</v>
      </c>
      <c r="AD25" s="198">
        <v>47.3149567837579</v>
      </c>
      <c r="AE25" s="198">
        <v>45.055666904975126</v>
      </c>
      <c r="AF25" s="198">
        <v>41.498562685770651</v>
      </c>
      <c r="AG25" s="198">
        <v>37.705298483792141</v>
      </c>
      <c r="AH25" s="198">
        <v>41.173213102328432</v>
      </c>
      <c r="AI25" s="198">
        <v>44.458980799068165</v>
      </c>
      <c r="AJ25" s="198">
        <v>47.92219774629833</v>
      </c>
      <c r="AK25" s="198">
        <v>49.458422926871663</v>
      </c>
      <c r="AL25" s="198">
        <v>51.846239557705708</v>
      </c>
      <c r="AM25" s="45">
        <v>54.331876879712809</v>
      </c>
      <c r="AN25" s="45"/>
      <c r="AO25" s="45"/>
      <c r="AP25" s="45"/>
      <c r="AQ25" s="45"/>
      <c r="AR25" s="45"/>
      <c r="AS25" s="45"/>
      <c r="AT25" s="45"/>
      <c r="AU25" s="45"/>
      <c r="AV25" s="45"/>
      <c r="AW25" s="45"/>
      <c r="AX25" s="45"/>
      <c r="AY25" s="45"/>
      <c r="AZ25" s="45"/>
      <c r="BA25" s="45"/>
      <c r="BB25" s="45"/>
      <c r="BC25" s="45"/>
      <c r="BD25" s="45"/>
      <c r="BE25" s="45"/>
      <c r="BF25" s="45"/>
      <c r="BG25" s="45"/>
      <c r="BH25" s="45"/>
      <c r="BI25" s="45"/>
      <c r="BJ25" s="45"/>
      <c r="BK25" s="45"/>
      <c r="BL25" s="45"/>
      <c r="BM25" s="45"/>
      <c r="BN25" s="45"/>
      <c r="BO25" s="45"/>
      <c r="BP25" s="45"/>
      <c r="BQ25" s="45"/>
      <c r="BR25" s="45"/>
      <c r="BS25" s="45"/>
      <c r="BT25" s="45"/>
      <c r="BU25" s="45"/>
      <c r="BV25" s="45"/>
      <c r="BW25" s="45"/>
      <c r="BX25" s="45"/>
      <c r="BY25" s="45"/>
      <c r="BZ25" s="45"/>
      <c r="CA25" s="45"/>
      <c r="CB25" s="45"/>
      <c r="CC25" s="45"/>
      <c r="CD25" s="45"/>
      <c r="CE25" s="45"/>
      <c r="CF25" s="45"/>
      <c r="CG25" s="45"/>
      <c r="CH25" s="45"/>
      <c r="CI25" s="45"/>
      <c r="CJ25" s="45"/>
      <c r="CK25" s="45"/>
      <c r="CL25" s="45"/>
      <c r="CM25" s="45"/>
      <c r="CN25" s="45"/>
      <c r="CO25" s="45"/>
      <c r="CP25" s="45"/>
      <c r="CQ25" s="45"/>
      <c r="CR25" s="45"/>
      <c r="CS25" s="45"/>
      <c r="CT25" s="45"/>
      <c r="CU25" s="45"/>
      <c r="CV25" s="45"/>
      <c r="CW25" s="45"/>
      <c r="CX25" s="24"/>
      <c r="CY25" s="24"/>
      <c r="CZ25" s="24"/>
      <c r="DA25" s="24"/>
      <c r="DB25" s="24"/>
      <c r="DC25" s="24"/>
      <c r="DD25" s="24"/>
      <c r="DE25" s="24"/>
      <c r="DF25" s="24"/>
      <c r="DG25" s="24"/>
      <c r="DH25" s="24"/>
      <c r="DI25" s="24"/>
      <c r="DJ25" s="24"/>
      <c r="DK25" s="24"/>
      <c r="DL25" s="24"/>
      <c r="DM25" s="24"/>
      <c r="DN25" s="24"/>
      <c r="DO25" s="24"/>
      <c r="DP25" s="24"/>
      <c r="DQ25" s="24"/>
      <c r="DR25" s="24"/>
      <c r="DS25" s="24"/>
      <c r="DT25" s="24"/>
      <c r="DU25" s="24"/>
      <c r="DV25" s="24"/>
      <c r="DW25" s="24"/>
      <c r="DX25" s="24"/>
      <c r="DY25" s="24"/>
      <c r="DZ25" s="24"/>
      <c r="EA25" s="24"/>
    </row>
    <row r="26" spans="1:131">
      <c r="A26" s="24" t="s">
        <v>431</v>
      </c>
      <c r="B26" s="24"/>
      <c r="C26" s="198">
        <v>797.11017216400808</v>
      </c>
      <c r="D26" s="198">
        <v>285.91736581943508</v>
      </c>
      <c r="E26" s="198">
        <v>57.183473163887015</v>
      </c>
      <c r="F26" s="198">
        <v>343.10083898332209</v>
      </c>
      <c r="G26" s="198">
        <v>492.97199069103345</v>
      </c>
      <c r="H26" s="198">
        <v>525.62623769362187</v>
      </c>
      <c r="I26" s="198">
        <v>3770.574576076915</v>
      </c>
      <c r="J26" s="198">
        <v>9.4517485082128658</v>
      </c>
      <c r="K26" s="198">
        <v>32.254144444289594</v>
      </c>
      <c r="L26" s="199">
        <v>1.0622145878337224</v>
      </c>
      <c r="M26" s="198">
        <v>7.5725666984285294</v>
      </c>
      <c r="N26" s="198">
        <v>0.18605727234504985</v>
      </c>
      <c r="O26" s="198">
        <v>32.647612863444898</v>
      </c>
      <c r="P26" s="198">
        <v>24.135155498256541</v>
      </c>
      <c r="Q26" s="198">
        <v>22.483010525282101</v>
      </c>
      <c r="R26" s="198">
        <v>12.906902776073075</v>
      </c>
      <c r="S26" s="198">
        <v>10.367972030577274</v>
      </c>
      <c r="T26" s="198">
        <v>8.0425136016197722</v>
      </c>
      <c r="U26" s="198">
        <v>8.3923001547772653</v>
      </c>
      <c r="V26" s="198">
        <v>12.215269964734631</v>
      </c>
      <c r="W26" s="198">
        <v>15.433034773978974</v>
      </c>
      <c r="X26" s="198">
        <v>25.177253849989107</v>
      </c>
      <c r="Y26" s="198">
        <v>29.155936641334829</v>
      </c>
      <c r="Z26" s="198">
        <v>34.345105441863652</v>
      </c>
      <c r="AA26" s="198"/>
      <c r="AB26" s="198">
        <v>54.108284920559541</v>
      </c>
      <c r="AC26" s="198">
        <v>46.934403251235665</v>
      </c>
      <c r="AD26" s="198">
        <v>47.3149567837579</v>
      </c>
      <c r="AE26" s="198">
        <v>45.055666904975126</v>
      </c>
      <c r="AF26" s="198">
        <v>41.498562685770651</v>
      </c>
      <c r="AG26" s="198">
        <v>37.705298483792141</v>
      </c>
      <c r="AH26" s="198">
        <v>41.173213102328432</v>
      </c>
      <c r="AI26" s="198">
        <v>44.458980799068165</v>
      </c>
      <c r="AJ26" s="198">
        <v>47.92219774629833</v>
      </c>
      <c r="AK26" s="198">
        <v>49.458422926871663</v>
      </c>
      <c r="AL26" s="198">
        <v>51.846239557705708</v>
      </c>
      <c r="AM26" s="45">
        <v>54.331876879712809</v>
      </c>
      <c r="AN26" s="45"/>
      <c r="AO26" s="45"/>
      <c r="AP26" s="45"/>
      <c r="AQ26" s="45"/>
      <c r="AR26" s="45"/>
      <c r="AS26" s="45"/>
      <c r="AT26" s="45"/>
      <c r="AU26" s="45"/>
      <c r="AV26" s="45"/>
      <c r="AW26" s="45"/>
      <c r="AX26" s="45"/>
      <c r="AY26" s="45"/>
      <c r="AZ26" s="45"/>
      <c r="BA26" s="45"/>
      <c r="BB26" s="45"/>
      <c r="BC26" s="45"/>
      <c r="BD26" s="45"/>
      <c r="BE26" s="45"/>
      <c r="BF26" s="45"/>
      <c r="BG26" s="45"/>
      <c r="BH26" s="45"/>
      <c r="BI26" s="45"/>
      <c r="BJ26" s="45"/>
      <c r="BK26" s="45"/>
      <c r="BL26" s="45"/>
      <c r="BM26" s="45"/>
      <c r="BN26" s="45"/>
      <c r="BO26" s="45"/>
      <c r="BP26" s="45"/>
      <c r="BQ26" s="45"/>
      <c r="BR26" s="45"/>
      <c r="BS26" s="45"/>
      <c r="BT26" s="45"/>
      <c r="BU26" s="45"/>
      <c r="BV26" s="45"/>
      <c r="BW26" s="45"/>
      <c r="BX26" s="45"/>
      <c r="BY26" s="45"/>
      <c r="BZ26" s="45"/>
      <c r="CA26" s="45"/>
      <c r="CB26" s="45"/>
      <c r="CC26" s="45"/>
      <c r="CD26" s="45"/>
      <c r="CE26" s="45"/>
      <c r="CF26" s="45"/>
      <c r="CG26" s="45"/>
      <c r="CH26" s="45"/>
      <c r="CI26" s="45"/>
      <c r="CJ26" s="45"/>
      <c r="CK26" s="45"/>
      <c r="CL26" s="45"/>
      <c r="CM26" s="45"/>
      <c r="CN26" s="45"/>
      <c r="CO26" s="45"/>
      <c r="CP26" s="45"/>
      <c r="CQ26" s="45"/>
      <c r="CR26" s="45"/>
      <c r="CS26" s="45"/>
      <c r="CT26" s="45"/>
      <c r="CU26" s="45"/>
      <c r="CV26" s="45"/>
      <c r="CW26" s="45"/>
      <c r="CX26" s="24"/>
      <c r="CY26" s="24"/>
      <c r="CZ26" s="24"/>
      <c r="DA26" s="24"/>
      <c r="DB26" s="24"/>
      <c r="DC26" s="24"/>
      <c r="DD26" s="24"/>
      <c r="DE26" s="24"/>
      <c r="DF26" s="24"/>
      <c r="DG26" s="24"/>
      <c r="DH26" s="24"/>
      <c r="DI26" s="24"/>
      <c r="DJ26" s="24"/>
      <c r="DK26" s="24"/>
      <c r="DL26" s="24"/>
      <c r="DM26" s="24"/>
      <c r="DN26" s="24"/>
      <c r="DO26" s="24"/>
      <c r="DP26" s="24"/>
      <c r="DQ26" s="24"/>
      <c r="DR26" s="24"/>
      <c r="DS26" s="24"/>
      <c r="DT26" s="24"/>
      <c r="DU26" s="24"/>
      <c r="DV26" s="24"/>
      <c r="DW26" s="24"/>
      <c r="DX26" s="24"/>
      <c r="DY26" s="24"/>
      <c r="DZ26" s="24"/>
      <c r="EA26" s="24"/>
    </row>
    <row r="27" spans="1:131">
      <c r="A27" s="24" t="s">
        <v>436</v>
      </c>
      <c r="B27" s="24"/>
      <c r="C27" s="198">
        <v>73.145658131418585</v>
      </c>
      <c r="D27" s="198">
        <v>30.451059986919489</v>
      </c>
      <c r="E27" s="198">
        <v>6.0902119973838982</v>
      </c>
      <c r="F27" s="198">
        <v>36.541271984303386</v>
      </c>
      <c r="G27" s="198">
        <v>48.28035434486889</v>
      </c>
      <c r="H27" s="198">
        <v>48.233328879575211</v>
      </c>
      <c r="I27" s="198">
        <v>4376.2206911499916</v>
      </c>
      <c r="J27" s="198">
        <v>13.09859026424895</v>
      </c>
      <c r="K27" s="198">
        <v>35.315784721114987</v>
      </c>
      <c r="L27" s="200">
        <v>0.99945986332258718</v>
      </c>
      <c r="M27" s="198">
        <v>0.69488559328866673</v>
      </c>
      <c r="N27" s="198">
        <v>1.7073275578542112E-2</v>
      </c>
      <c r="O27" s="198">
        <v>2.9958608141122793</v>
      </c>
      <c r="P27" s="198">
        <v>2.214727517817785</v>
      </c>
      <c r="Q27" s="198">
        <v>2.0631208320711307</v>
      </c>
      <c r="R27" s="198">
        <v>1.1843832019243763</v>
      </c>
      <c r="S27" s="198">
        <v>0.95140190672247182</v>
      </c>
      <c r="T27" s="198">
        <v>0.73800958884303935</v>
      </c>
      <c r="U27" s="198">
        <v>0.7701072442609419</v>
      </c>
      <c r="V27" s="198">
        <v>1.1209165207336302</v>
      </c>
      <c r="W27" s="198">
        <v>1.4161900386280537</v>
      </c>
      <c r="X27" s="198">
        <v>2.3103541607048128</v>
      </c>
      <c r="Y27" s="198">
        <v>2.6754522129339762</v>
      </c>
      <c r="Z27" s="198">
        <v>3.1516287570611889</v>
      </c>
      <c r="AA27" s="198"/>
      <c r="AB27" s="198">
        <v>4.9651682403349291</v>
      </c>
      <c r="AC27" s="198">
        <v>4.3068674001448626</v>
      </c>
      <c r="AD27" s="198">
        <v>4.3417883427731647</v>
      </c>
      <c r="AE27" s="198">
        <v>4.1344678858724881</v>
      </c>
      <c r="AF27" s="198">
        <v>3.8080553794941068</v>
      </c>
      <c r="AG27" s="198">
        <v>3.4599719950269212</v>
      </c>
      <c r="AH27" s="198">
        <v>3.7782001471376341</v>
      </c>
      <c r="AI27" s="198">
        <v>4.0797138513129365</v>
      </c>
      <c r="AJ27" s="198">
        <v>4.3975109284338041</v>
      </c>
      <c r="AK27" s="198">
        <v>4.53848040266098</v>
      </c>
      <c r="AL27" s="198">
        <v>4.7575949304374063</v>
      </c>
      <c r="AM27" s="45">
        <v>4.9856858319756912</v>
      </c>
      <c r="AN27" s="45"/>
      <c r="AO27" s="45"/>
      <c r="AP27" s="45"/>
      <c r="AQ27" s="45"/>
      <c r="AR27" s="45"/>
      <c r="AS27" s="45"/>
      <c r="AT27" s="45"/>
      <c r="AU27" s="45"/>
      <c r="AV27" s="45"/>
      <c r="AW27" s="45"/>
      <c r="AX27" s="45"/>
      <c r="AY27" s="45"/>
      <c r="AZ27" s="45"/>
      <c r="BA27" s="45"/>
      <c r="BB27" s="45"/>
      <c r="BC27" s="45"/>
      <c r="BD27" s="45"/>
      <c r="BE27" s="45"/>
      <c r="BF27" s="45"/>
      <c r="BG27" s="45"/>
      <c r="BH27" s="45"/>
      <c r="BI27" s="45"/>
      <c r="BJ27" s="45"/>
      <c r="BK27" s="45"/>
      <c r="BL27" s="45"/>
      <c r="BM27" s="45"/>
      <c r="BN27" s="45"/>
      <c r="BO27" s="45"/>
      <c r="BP27" s="45"/>
      <c r="BQ27" s="45"/>
      <c r="BR27" s="45"/>
      <c r="BS27" s="45"/>
      <c r="BT27" s="45"/>
      <c r="BU27" s="45"/>
      <c r="BV27" s="45"/>
      <c r="BW27" s="45"/>
      <c r="BX27" s="45"/>
      <c r="BY27" s="45"/>
      <c r="BZ27" s="45"/>
      <c r="CA27" s="45"/>
      <c r="CB27" s="45"/>
      <c r="CC27" s="45"/>
      <c r="CD27" s="45"/>
      <c r="CE27" s="45"/>
      <c r="CF27" s="45"/>
      <c r="CG27" s="45"/>
      <c r="CH27" s="45"/>
      <c r="CI27" s="45"/>
      <c r="CJ27" s="45"/>
      <c r="CK27" s="45"/>
      <c r="CL27" s="45"/>
      <c r="CM27" s="45"/>
      <c r="CN27" s="45"/>
      <c r="CO27" s="45"/>
      <c r="CP27" s="45"/>
      <c r="CQ27" s="45"/>
      <c r="CR27" s="45"/>
      <c r="CS27" s="45"/>
      <c r="CT27" s="45"/>
      <c r="CU27" s="45"/>
      <c r="CV27" s="45"/>
      <c r="CW27" s="45"/>
      <c r="CX27" s="24"/>
      <c r="CY27" s="24"/>
      <c r="CZ27" s="24"/>
      <c r="DA27" s="24"/>
      <c r="DB27" s="24"/>
      <c r="DC27" s="24"/>
      <c r="DD27" s="24"/>
      <c r="DE27" s="24"/>
      <c r="DF27" s="24"/>
      <c r="DG27" s="24"/>
      <c r="DH27" s="24"/>
      <c r="DI27" s="24"/>
      <c r="DJ27" s="24"/>
      <c r="DK27" s="24"/>
      <c r="DL27" s="24"/>
      <c r="DM27" s="24"/>
      <c r="DN27" s="24"/>
      <c r="DO27" s="24"/>
      <c r="DP27" s="24"/>
      <c r="DQ27" s="24"/>
      <c r="DR27" s="24"/>
      <c r="DS27" s="24"/>
      <c r="DT27" s="24"/>
      <c r="DU27" s="24"/>
      <c r="DV27" s="24"/>
      <c r="DW27" s="24"/>
      <c r="DX27" s="24"/>
      <c r="DY27" s="24"/>
      <c r="DZ27" s="24"/>
      <c r="EA27" s="24"/>
    </row>
    <row r="28" spans="1:131">
      <c r="A28" s="24"/>
      <c r="B28" s="24"/>
      <c r="C28" s="45"/>
      <c r="D28" s="45"/>
      <c r="E28" s="45"/>
      <c r="F28" s="45"/>
      <c r="G28" s="45"/>
      <c r="H28" s="45"/>
      <c r="I28" s="45"/>
      <c r="J28" s="45"/>
      <c r="K28" s="45"/>
      <c r="L28" s="45"/>
      <c r="M28" s="45"/>
      <c r="N28" s="45"/>
      <c r="O28" s="45"/>
      <c r="P28" s="45"/>
      <c r="Q28" s="45"/>
      <c r="R28" s="45"/>
      <c r="S28" s="45"/>
      <c r="T28" s="45"/>
      <c r="U28" s="45"/>
      <c r="V28" s="45"/>
      <c r="W28" s="45"/>
      <c r="X28" s="45"/>
      <c r="Y28" s="45"/>
      <c r="Z28" s="45"/>
      <c r="AA28" s="45"/>
      <c r="AB28" s="45"/>
      <c r="AC28" s="45"/>
      <c r="AD28" s="45"/>
      <c r="AE28" s="45"/>
      <c r="AF28" s="45"/>
      <c r="AG28" s="45"/>
      <c r="AH28" s="45"/>
      <c r="AI28" s="45"/>
      <c r="AJ28" s="45"/>
      <c r="AK28" s="45"/>
      <c r="AL28" s="45"/>
      <c r="AM28" s="45"/>
      <c r="AN28" s="45"/>
      <c r="AO28" s="45"/>
      <c r="AP28" s="45"/>
      <c r="AQ28" s="45"/>
      <c r="AR28" s="45"/>
      <c r="AS28" s="45"/>
      <c r="AT28" s="45"/>
      <c r="AU28" s="45"/>
      <c r="AV28" s="45"/>
      <c r="AW28" s="45"/>
      <c r="AX28" s="45"/>
      <c r="AY28" s="45"/>
      <c r="AZ28" s="45"/>
      <c r="BA28" s="45"/>
      <c r="BB28" s="45"/>
      <c r="BC28" s="45"/>
      <c r="BD28" s="45"/>
      <c r="BE28" s="45"/>
      <c r="BF28" s="45"/>
      <c r="BG28" s="45"/>
      <c r="BH28" s="45"/>
      <c r="BI28" s="45"/>
      <c r="BJ28" s="45"/>
      <c r="BK28" s="45"/>
      <c r="BL28" s="45"/>
      <c r="BM28" s="45"/>
      <c r="BN28" s="45"/>
      <c r="BO28" s="45"/>
      <c r="BP28" s="45"/>
      <c r="BQ28" s="45"/>
      <c r="BR28" s="45"/>
      <c r="BS28" s="45"/>
      <c r="BT28" s="45"/>
      <c r="BU28" s="45"/>
      <c r="BV28" s="45"/>
      <c r="BW28" s="45"/>
      <c r="BX28" s="45"/>
      <c r="BY28" s="45"/>
      <c r="BZ28" s="45"/>
      <c r="CA28" s="45"/>
      <c r="CB28" s="45"/>
      <c r="CC28" s="45"/>
      <c r="CD28" s="45"/>
      <c r="CE28" s="45"/>
      <c r="CF28" s="45"/>
      <c r="CG28" s="45"/>
      <c r="CH28" s="45"/>
      <c r="CI28" s="45"/>
      <c r="CJ28" s="45"/>
      <c r="CK28" s="45"/>
      <c r="CL28" s="45"/>
      <c r="CM28" s="45"/>
      <c r="CN28" s="45"/>
      <c r="CO28" s="45"/>
      <c r="CP28" s="45"/>
      <c r="CQ28" s="45"/>
      <c r="CR28" s="45"/>
      <c r="CS28" s="45"/>
      <c r="CT28" s="45"/>
      <c r="CU28" s="45"/>
      <c r="CV28" s="45"/>
      <c r="CW28" s="45"/>
      <c r="CX28" s="24"/>
      <c r="CY28" s="24"/>
      <c r="CZ28" s="24"/>
      <c r="DA28" s="24"/>
      <c r="DB28" s="24"/>
      <c r="DC28" s="24"/>
      <c r="DD28" s="24"/>
      <c r="DE28" s="24"/>
      <c r="DF28" s="24"/>
      <c r="DG28" s="24"/>
      <c r="DH28" s="24"/>
      <c r="DI28" s="24"/>
      <c r="DJ28" s="24"/>
      <c r="DK28" s="24"/>
      <c r="DL28" s="24"/>
      <c r="DM28" s="24"/>
      <c r="DN28" s="24"/>
      <c r="DO28" s="24"/>
      <c r="DP28" s="24"/>
      <c r="DQ28" s="24"/>
      <c r="DR28" s="24"/>
      <c r="DS28" s="24"/>
      <c r="DT28" s="24"/>
      <c r="DU28" s="24"/>
      <c r="DV28" s="24"/>
      <c r="DW28" s="24"/>
      <c r="DX28" s="24"/>
      <c r="DY28" s="24"/>
      <c r="DZ28" s="24"/>
      <c r="EA28" s="24"/>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sheetPr codeName="Sheet4">
    <tabColor rgb="FFFFFF00"/>
  </sheetPr>
  <dimension ref="A1:EA172"/>
  <sheetViews>
    <sheetView topLeftCell="A4" workbookViewId="0">
      <selection activeCell="A34" sqref="A34:EA172"/>
    </sheetView>
  </sheetViews>
  <sheetFormatPr defaultRowHeight="12.75"/>
  <cols>
    <col min="1" max="1" width="44.140625" customWidth="1"/>
    <col min="2" max="2" width="54.85546875" customWidth="1"/>
    <col min="3" max="3" width="17.42578125" bestFit="1" customWidth="1"/>
    <col min="4" max="4" width="12.140625" bestFit="1" customWidth="1"/>
    <col min="5" max="5" width="12.5703125" customWidth="1"/>
    <col min="6" max="6" width="13.7109375" customWidth="1"/>
    <col min="7" max="7" width="25.42578125" customWidth="1"/>
    <col min="8" max="8" width="15.7109375" bestFit="1" customWidth="1"/>
    <col min="9" max="9" width="15.42578125" bestFit="1" customWidth="1"/>
    <col min="10" max="10" width="14.42578125" bestFit="1" customWidth="1"/>
    <col min="11" max="11" width="14.28515625" customWidth="1"/>
    <col min="12" max="12" width="12.5703125" customWidth="1"/>
    <col min="13" max="13" width="13.28515625" bestFit="1" customWidth="1"/>
    <col min="14" max="14" width="12.140625" bestFit="1" customWidth="1"/>
    <col min="15" max="15" width="13.28515625" bestFit="1" customWidth="1"/>
    <col min="16" max="16" width="27.7109375" customWidth="1"/>
    <col min="17" max="18" width="13.28515625" bestFit="1" customWidth="1"/>
    <col min="19" max="19" width="14.42578125" bestFit="1" customWidth="1"/>
    <col min="20" max="20" width="10.7109375" customWidth="1"/>
    <col min="21" max="21" width="14" bestFit="1" customWidth="1"/>
    <col min="22" max="22" width="12.140625" bestFit="1" customWidth="1"/>
    <col min="23" max="23" width="15.42578125" bestFit="1" customWidth="1"/>
    <col min="24" max="24" width="12.42578125" bestFit="1" customWidth="1"/>
    <col min="25" max="25" width="13.28515625" bestFit="1" customWidth="1"/>
    <col min="26" max="26" width="12.28515625" bestFit="1" customWidth="1"/>
    <col min="27" max="27" width="12.5703125" bestFit="1" customWidth="1"/>
    <col min="28" max="30" width="14.28515625" bestFit="1" customWidth="1"/>
    <col min="31" max="31" width="13.7109375" bestFit="1" customWidth="1"/>
    <col min="32" max="32" width="14" bestFit="1" customWidth="1"/>
    <col min="33" max="33" width="12.85546875" bestFit="1" customWidth="1"/>
    <col min="34" max="34" width="15.28515625" bestFit="1" customWidth="1"/>
    <col min="35" max="35" width="12.28515625" bestFit="1" customWidth="1"/>
    <col min="36" max="36" width="10.85546875" bestFit="1" customWidth="1"/>
    <col min="37" max="37" width="12.28515625" bestFit="1" customWidth="1"/>
    <col min="38" max="38" width="12.5703125" bestFit="1" customWidth="1"/>
    <col min="39" max="43" width="12.85546875" customWidth="1"/>
    <col min="44" max="44" width="12.5703125" customWidth="1"/>
    <col min="45" max="45" width="12.28515625" customWidth="1"/>
    <col min="46" max="46" width="12.7109375" customWidth="1"/>
    <col min="47" max="47" width="11.85546875" customWidth="1"/>
    <col min="48" max="48" width="12.5703125" bestFit="1" customWidth="1"/>
    <col min="49" max="49" width="13.42578125" customWidth="1"/>
    <col min="50" max="50" width="15.7109375" bestFit="1" customWidth="1"/>
    <col min="51" max="51" width="11" bestFit="1" customWidth="1"/>
    <col min="52" max="52" width="16.140625" bestFit="1" customWidth="1"/>
    <col min="53" max="53" width="17.28515625" bestFit="1" customWidth="1"/>
    <col min="54" max="54" width="15" bestFit="1" customWidth="1"/>
    <col min="55" max="55" width="12.5703125" bestFit="1" customWidth="1"/>
    <col min="56" max="56" width="13.5703125" customWidth="1"/>
    <col min="57" max="58" width="14.5703125" bestFit="1" customWidth="1"/>
    <col min="59" max="59" width="14.85546875" bestFit="1" customWidth="1"/>
    <col min="60" max="60" width="15" bestFit="1" customWidth="1"/>
    <col min="61" max="61" width="13.28515625" bestFit="1" customWidth="1"/>
    <col min="62" max="62" width="14" bestFit="1" customWidth="1"/>
    <col min="63" max="63" width="13.28515625" bestFit="1" customWidth="1"/>
    <col min="64" max="64" width="11.140625" bestFit="1" customWidth="1"/>
    <col min="65" max="65" width="16.85546875" bestFit="1" customWidth="1"/>
    <col min="66" max="66" width="14.7109375" customWidth="1"/>
    <col min="67" max="67" width="12" customWidth="1"/>
    <col min="68" max="68" width="14" customWidth="1"/>
    <col min="69" max="69" width="12.5703125" customWidth="1"/>
    <col min="70" max="70" width="11.28515625" customWidth="1"/>
    <col min="71" max="71" width="14.42578125" customWidth="1"/>
    <col min="72" max="72" width="15.7109375" customWidth="1"/>
    <col min="73" max="73" width="12.85546875" customWidth="1"/>
    <col min="74" max="74" width="13" customWidth="1"/>
    <col min="75" max="75" width="11.7109375" customWidth="1"/>
    <col min="76" max="76" width="14" customWidth="1"/>
    <col min="77" max="77" width="14.85546875" customWidth="1"/>
    <col min="78" max="78" width="11.85546875" customWidth="1"/>
    <col min="79" max="79" width="13.85546875" customWidth="1"/>
    <col min="80" max="80" width="13.7109375" customWidth="1"/>
    <col min="81" max="81" width="13" customWidth="1"/>
    <col min="82" max="82" width="12.42578125" customWidth="1"/>
    <col min="83" max="83" width="13" customWidth="1"/>
    <col min="84" max="84" width="12.7109375" customWidth="1"/>
    <col min="85" max="85" width="12.42578125" customWidth="1"/>
    <col min="86" max="86" width="10.28515625" customWidth="1"/>
    <col min="87" max="91" width="9.85546875" customWidth="1"/>
    <col min="92" max="99" width="10.7109375" customWidth="1"/>
    <col min="100" max="100" width="16.5703125" customWidth="1"/>
    <col min="101" max="105" width="10.7109375" customWidth="1"/>
  </cols>
  <sheetData>
    <row r="1" spans="1:105">
      <c r="A1" s="15" t="s">
        <v>14</v>
      </c>
      <c r="B1" s="16"/>
      <c r="C1" s="16"/>
      <c r="D1" s="16"/>
      <c r="E1" s="16"/>
      <c r="F1" s="16"/>
      <c r="G1" s="16"/>
      <c r="H1" s="17"/>
      <c r="I1" s="18"/>
      <c r="J1" s="18"/>
      <c r="K1" s="18"/>
      <c r="L1" s="18"/>
      <c r="M1" s="18"/>
      <c r="N1" s="19"/>
      <c r="O1" s="20"/>
      <c r="P1" s="19"/>
      <c r="Q1" s="19"/>
      <c r="R1" s="19"/>
      <c r="S1" s="17"/>
      <c r="T1" s="17"/>
      <c r="U1" s="17"/>
      <c r="V1" s="19"/>
      <c r="W1" s="17"/>
      <c r="X1" s="17"/>
      <c r="Y1" s="17"/>
      <c r="Z1" s="17"/>
      <c r="AA1" s="17"/>
      <c r="AB1" s="17"/>
      <c r="AC1" s="17"/>
      <c r="AD1" s="17"/>
      <c r="AE1" s="17"/>
      <c r="AF1" s="17"/>
      <c r="AG1" s="17"/>
      <c r="AH1" s="17"/>
      <c r="AI1" s="17"/>
      <c r="AJ1" s="17"/>
      <c r="AK1" s="17"/>
      <c r="AL1" s="17"/>
      <c r="AM1" s="17"/>
      <c r="AN1" s="17"/>
      <c r="AO1" s="17"/>
      <c r="AP1" s="21"/>
      <c r="AQ1" s="17"/>
      <c r="AR1" s="17"/>
      <c r="AS1" s="17"/>
      <c r="AT1" s="17"/>
      <c r="AU1" s="17"/>
      <c r="AV1" s="21"/>
      <c r="AW1" s="17"/>
      <c r="AX1" s="17"/>
      <c r="AY1" s="17"/>
      <c r="AZ1" s="17"/>
      <c r="BA1" s="17"/>
      <c r="BB1" s="17"/>
      <c r="BC1" s="17"/>
      <c r="BD1" s="17"/>
      <c r="BE1" s="17"/>
      <c r="BF1" s="17"/>
      <c r="BG1" s="17"/>
      <c r="BH1" s="17"/>
      <c r="BI1" s="17"/>
      <c r="BJ1" s="17"/>
      <c r="BK1" s="17"/>
      <c r="BL1" s="17"/>
      <c r="BM1" s="22"/>
      <c r="BN1" s="17"/>
      <c r="BO1" s="17"/>
      <c r="BP1" s="17"/>
      <c r="BQ1" s="17"/>
      <c r="BR1" s="17"/>
      <c r="BS1" s="17"/>
      <c r="BT1" s="17"/>
      <c r="BU1" s="17"/>
      <c r="BV1" s="17"/>
      <c r="BW1" s="17"/>
      <c r="BX1" s="17"/>
      <c r="BY1" s="17"/>
      <c r="BZ1" s="17"/>
      <c r="CA1" s="17"/>
      <c r="CB1" s="17"/>
      <c r="CC1" s="17"/>
      <c r="CD1" s="17"/>
      <c r="CE1" s="17"/>
      <c r="CF1" s="17"/>
      <c r="CG1" s="17"/>
      <c r="CH1" s="17"/>
      <c r="CI1" s="17"/>
      <c r="CJ1" s="17"/>
      <c r="CK1" s="17"/>
      <c r="CL1" s="17"/>
      <c r="CM1" s="17"/>
      <c r="CN1" s="17"/>
      <c r="CO1" s="17"/>
      <c r="CP1" s="21"/>
      <c r="CQ1" s="17"/>
      <c r="CR1" s="17"/>
      <c r="CS1" s="17"/>
      <c r="CT1" s="17"/>
      <c r="CU1" s="17"/>
      <c r="CV1" s="17"/>
      <c r="CW1" s="17"/>
      <c r="CX1" s="17"/>
      <c r="CY1" s="17"/>
      <c r="CZ1" s="17"/>
      <c r="DA1" s="17"/>
    </row>
    <row r="2" spans="1:105">
      <c r="A2" s="23" t="s">
        <v>15</v>
      </c>
      <c r="B2" s="17" t="str">
        <f>'7PSourceSummary'!D2</f>
        <v>Exterior Building Lighting</v>
      </c>
      <c r="C2" s="17"/>
      <c r="D2" s="17"/>
      <c r="E2" s="17"/>
      <c r="F2" s="17"/>
      <c r="G2" s="17"/>
      <c r="H2" s="17"/>
      <c r="I2" s="18"/>
      <c r="J2" s="18"/>
      <c r="K2" s="18"/>
      <c r="L2" s="18"/>
      <c r="M2" s="18"/>
      <c r="N2" s="19"/>
      <c r="O2" s="19"/>
      <c r="P2" s="19"/>
      <c r="Q2" s="19"/>
      <c r="R2" s="19"/>
      <c r="S2" s="17"/>
      <c r="T2" s="17"/>
      <c r="U2" s="17"/>
      <c r="V2" s="19"/>
      <c r="W2" s="17"/>
      <c r="X2" s="17"/>
      <c r="Y2" s="17"/>
      <c r="Z2" s="17"/>
      <c r="AA2" s="17"/>
      <c r="AB2" s="17"/>
      <c r="AC2" s="17"/>
      <c r="AD2" s="17"/>
      <c r="AE2" s="17"/>
      <c r="AF2" s="17"/>
      <c r="AG2" s="17"/>
      <c r="AH2" s="17"/>
      <c r="AI2" s="17"/>
      <c r="AJ2" s="17"/>
      <c r="AK2" s="17"/>
      <c r="AL2" s="17"/>
      <c r="AM2" s="17"/>
      <c r="AN2" s="17"/>
      <c r="AO2" s="17"/>
      <c r="AP2" s="17"/>
      <c r="AQ2" s="17"/>
      <c r="AR2" s="17"/>
      <c r="AS2" s="17"/>
      <c r="AT2" s="17"/>
      <c r="AU2" s="17"/>
      <c r="AV2" s="17"/>
      <c r="AW2" s="17"/>
      <c r="AX2" s="17"/>
      <c r="AY2" s="17"/>
      <c r="AZ2" s="17"/>
      <c r="BA2" s="17"/>
      <c r="BB2" s="21"/>
      <c r="BC2" s="17"/>
      <c r="BD2" s="17"/>
      <c r="BE2" s="17"/>
      <c r="BF2" s="17"/>
      <c r="BG2" s="17"/>
      <c r="BH2" s="17"/>
      <c r="BI2" s="17"/>
      <c r="BJ2" s="17"/>
      <c r="BK2" s="17"/>
      <c r="BL2" s="17"/>
      <c r="BM2" s="17"/>
      <c r="BN2" s="17"/>
      <c r="BO2" s="17"/>
      <c r="BP2" s="17"/>
      <c r="BQ2" s="17"/>
      <c r="BR2" s="17"/>
      <c r="BS2" s="17"/>
      <c r="BT2" s="17"/>
      <c r="BU2" s="17"/>
      <c r="BV2" s="17"/>
      <c r="BW2" s="17"/>
      <c r="BX2" s="17"/>
      <c r="BY2" s="17"/>
      <c r="BZ2" s="17"/>
      <c r="CA2" s="17"/>
      <c r="CB2" s="17"/>
      <c r="CC2" s="17"/>
      <c r="CD2" s="17"/>
      <c r="CE2" s="17"/>
      <c r="CF2" s="17"/>
      <c r="CG2" s="17"/>
      <c r="CH2" s="17"/>
      <c r="CI2" s="17"/>
      <c r="CJ2" s="17"/>
      <c r="CK2" s="17"/>
      <c r="CL2" s="17"/>
      <c r="CM2" s="17"/>
      <c r="CN2" s="17"/>
      <c r="CO2" s="17"/>
      <c r="CP2" s="17"/>
      <c r="CQ2" s="17"/>
      <c r="CR2" s="17"/>
      <c r="CS2" s="17"/>
      <c r="CT2" s="17"/>
      <c r="CU2" s="17"/>
      <c r="CV2" s="17"/>
      <c r="CW2" s="17"/>
      <c r="CX2" s="17"/>
      <c r="CY2" s="17"/>
      <c r="CZ2" s="17"/>
      <c r="DA2" s="17"/>
    </row>
    <row r="3" spans="1:105">
      <c r="A3" s="23" t="s">
        <v>16</v>
      </c>
      <c r="B3" s="24"/>
      <c r="C3" s="23">
        <v>2012</v>
      </c>
      <c r="D3" s="24"/>
      <c r="E3" s="24"/>
      <c r="F3" s="24"/>
      <c r="G3" s="24"/>
      <c r="H3" s="24"/>
      <c r="I3" s="24"/>
      <c r="J3" s="25"/>
      <c r="K3" s="26"/>
      <c r="L3" s="24"/>
      <c r="M3" s="24"/>
      <c r="N3" s="24"/>
      <c r="O3" s="24"/>
      <c r="P3" s="24"/>
      <c r="Q3" s="24"/>
      <c r="R3" s="24"/>
      <c r="S3" s="24"/>
      <c r="T3" s="24"/>
      <c r="U3" s="24"/>
      <c r="V3" s="24"/>
      <c r="W3" s="24"/>
      <c r="X3" s="24"/>
      <c r="Y3" s="24"/>
      <c r="Z3" s="24"/>
      <c r="AA3" s="24"/>
      <c r="AB3" s="24"/>
      <c r="AC3" s="24"/>
      <c r="AD3" s="24"/>
      <c r="AE3" s="24"/>
      <c r="AF3" s="24"/>
      <c r="AG3" s="24"/>
      <c r="AH3" s="24"/>
      <c r="AI3" s="24"/>
      <c r="AJ3" s="24"/>
      <c r="AK3" s="24"/>
      <c r="AL3" s="24"/>
      <c r="AM3" s="24"/>
      <c r="AN3" s="24"/>
      <c r="AO3" s="24"/>
      <c r="AP3" s="24"/>
      <c r="AQ3" s="24"/>
      <c r="AR3" s="24"/>
      <c r="AS3" s="24"/>
      <c r="AT3" s="24"/>
      <c r="AU3" s="24"/>
      <c r="AV3" s="24"/>
      <c r="AW3" s="24"/>
      <c r="AX3" s="24"/>
      <c r="AY3" s="24"/>
      <c r="AZ3" s="24"/>
      <c r="BA3" s="24"/>
      <c r="BB3" s="24"/>
      <c r="BC3" s="24"/>
      <c r="BD3" s="24"/>
      <c r="BE3" s="24"/>
      <c r="BF3" s="24"/>
      <c r="BG3" s="24"/>
      <c r="BH3" s="24"/>
      <c r="BI3" s="24"/>
      <c r="BJ3" s="24"/>
      <c r="BK3" s="24"/>
      <c r="BL3" s="24"/>
      <c r="BM3" s="24"/>
      <c r="BN3" s="24"/>
      <c r="BO3" s="24"/>
      <c r="BP3" s="24"/>
      <c r="BQ3" s="24"/>
      <c r="BR3" s="24"/>
      <c r="BS3" s="24"/>
      <c r="BT3" s="24"/>
      <c r="BU3" s="24"/>
      <c r="BV3" s="24"/>
      <c r="BW3" s="24"/>
      <c r="BX3" s="24"/>
      <c r="BY3" s="24"/>
      <c r="BZ3" s="24"/>
      <c r="CA3" s="24"/>
      <c r="CB3" s="24"/>
      <c r="CC3" s="24"/>
      <c r="CD3" s="24"/>
      <c r="CE3" s="24"/>
      <c r="CF3" s="24"/>
      <c r="CG3" s="24"/>
      <c r="CH3" s="24"/>
      <c r="CI3" s="24"/>
      <c r="CJ3" s="24"/>
      <c r="CK3" s="24"/>
      <c r="CL3" s="24"/>
      <c r="CM3" s="24"/>
      <c r="CN3" s="24"/>
      <c r="CO3" s="26"/>
      <c r="CP3" s="26"/>
      <c r="CQ3" s="24"/>
      <c r="CR3" s="24"/>
      <c r="CS3" s="24"/>
      <c r="CT3" s="24"/>
      <c r="CU3" s="24"/>
      <c r="CV3" s="24"/>
      <c r="CW3" s="24"/>
      <c r="CX3" s="24"/>
      <c r="CY3" s="24"/>
      <c r="CZ3" s="24"/>
      <c r="DA3" s="24"/>
    </row>
    <row r="4" spans="1:105">
      <c r="A4" s="24"/>
      <c r="B4" s="27"/>
      <c r="C4" s="24"/>
      <c r="D4" s="24"/>
      <c r="E4" s="24"/>
      <c r="F4" s="24"/>
      <c r="G4" s="24"/>
      <c r="H4" s="24"/>
      <c r="I4" s="24"/>
      <c r="J4" s="24"/>
      <c r="K4" s="24"/>
      <c r="L4" s="24"/>
      <c r="M4" s="24"/>
      <c r="N4" s="24"/>
      <c r="O4" s="24"/>
      <c r="P4" s="24"/>
      <c r="Q4" s="24"/>
      <c r="R4" s="24"/>
      <c r="S4" s="24"/>
      <c r="T4" s="24"/>
      <c r="U4" s="24"/>
      <c r="V4" s="24"/>
      <c r="W4" s="24"/>
      <c r="X4" s="24"/>
      <c r="Y4" s="24"/>
      <c r="Z4" s="24"/>
      <c r="AA4" s="24"/>
      <c r="AB4" s="24"/>
      <c r="AC4" s="24"/>
      <c r="AD4" s="24"/>
      <c r="AE4" s="24"/>
      <c r="AF4" s="24"/>
      <c r="AG4" s="24"/>
      <c r="AH4" s="24"/>
      <c r="AI4" s="24"/>
      <c r="AJ4" s="24"/>
      <c r="AK4" s="24"/>
      <c r="AL4" s="24"/>
      <c r="AM4" s="24"/>
      <c r="AN4" s="24"/>
      <c r="AO4" s="24"/>
      <c r="AP4" s="24"/>
      <c r="AQ4" s="24"/>
      <c r="AR4" s="24"/>
      <c r="AS4" s="24"/>
      <c r="AT4" s="24"/>
      <c r="AU4" s="24"/>
      <c r="AV4" s="24"/>
      <c r="AW4" s="24"/>
      <c r="AX4" s="24"/>
      <c r="AY4" s="24"/>
      <c r="AZ4" s="24"/>
      <c r="BA4" s="24"/>
      <c r="BB4" s="24"/>
      <c r="BC4" s="24"/>
      <c r="BD4" s="24"/>
      <c r="BE4" s="24"/>
      <c r="BF4" s="24"/>
      <c r="BG4" s="24"/>
      <c r="BH4" s="24"/>
      <c r="BI4" s="24"/>
      <c r="BJ4" s="24"/>
      <c r="BK4" s="24"/>
      <c r="BL4" s="24"/>
      <c r="BM4" s="24"/>
      <c r="BN4" s="24"/>
      <c r="BO4" s="24"/>
      <c r="BP4" s="24"/>
      <c r="BQ4" s="24"/>
      <c r="BR4" s="24"/>
      <c r="BS4" s="24"/>
      <c r="BT4" s="24"/>
      <c r="BU4" s="24"/>
      <c r="BV4" s="24"/>
      <c r="BW4" s="24"/>
      <c r="BX4" s="24"/>
      <c r="BY4" s="24"/>
      <c r="BZ4" s="24"/>
      <c r="CA4" s="24"/>
      <c r="CB4" s="24"/>
      <c r="CC4" s="24"/>
      <c r="CD4" s="24"/>
      <c r="CE4" s="24"/>
      <c r="CF4" s="24"/>
      <c r="CG4" s="24"/>
      <c r="CH4" s="24"/>
      <c r="CI4" s="24"/>
      <c r="CJ4" s="24"/>
      <c r="CK4" s="24"/>
      <c r="CL4" s="24"/>
      <c r="CM4" s="24"/>
      <c r="CN4" s="24"/>
      <c r="CO4" s="24"/>
      <c r="CP4" s="24"/>
      <c r="CQ4" s="24"/>
      <c r="CR4" s="24"/>
      <c r="CS4" s="24"/>
      <c r="CT4" s="24"/>
      <c r="CU4" s="24"/>
      <c r="CV4" s="24"/>
      <c r="CW4" s="24"/>
      <c r="CX4" s="24"/>
      <c r="CY4" s="24"/>
      <c r="CZ4" s="24"/>
      <c r="DA4" s="24"/>
    </row>
    <row r="5" spans="1:105">
      <c r="A5" s="28">
        <v>1</v>
      </c>
      <c r="B5" s="28">
        <v>2</v>
      </c>
      <c r="C5" s="28">
        <v>3</v>
      </c>
      <c r="D5" s="28">
        <v>4</v>
      </c>
      <c r="E5" s="28">
        <v>5</v>
      </c>
      <c r="F5" s="28">
        <v>6</v>
      </c>
      <c r="G5" s="28">
        <v>7</v>
      </c>
      <c r="H5" s="28">
        <v>8</v>
      </c>
      <c r="I5" s="28">
        <v>9</v>
      </c>
      <c r="J5" s="28">
        <v>10</v>
      </c>
      <c r="K5" s="28">
        <v>11</v>
      </c>
      <c r="L5" s="28">
        <v>12</v>
      </c>
      <c r="M5" s="28">
        <v>13</v>
      </c>
      <c r="N5" s="28">
        <v>14</v>
      </c>
      <c r="O5" s="28">
        <v>15</v>
      </c>
      <c r="P5" s="28">
        <v>16</v>
      </c>
      <c r="Q5" s="28">
        <v>17</v>
      </c>
      <c r="R5" s="28">
        <v>18</v>
      </c>
      <c r="S5" s="28">
        <v>19</v>
      </c>
      <c r="T5" s="28">
        <v>20</v>
      </c>
      <c r="U5" s="28">
        <v>21</v>
      </c>
      <c r="V5" s="28">
        <v>22</v>
      </c>
      <c r="W5" s="28">
        <v>23</v>
      </c>
      <c r="X5" s="28">
        <v>24</v>
      </c>
      <c r="Y5" s="28">
        <v>25</v>
      </c>
      <c r="Z5" s="28">
        <v>26</v>
      </c>
      <c r="AA5" s="28">
        <v>27</v>
      </c>
      <c r="AB5" s="28">
        <v>28</v>
      </c>
      <c r="AC5" s="28">
        <v>29</v>
      </c>
      <c r="AD5" s="28">
        <v>30</v>
      </c>
      <c r="AE5" s="28">
        <v>31</v>
      </c>
      <c r="AF5" s="28">
        <v>32</v>
      </c>
      <c r="AG5" s="28">
        <v>33</v>
      </c>
      <c r="AH5" s="28">
        <v>34</v>
      </c>
      <c r="AI5" s="28">
        <v>35</v>
      </c>
      <c r="AJ5" s="28">
        <v>36</v>
      </c>
      <c r="AK5" s="28">
        <v>37</v>
      </c>
      <c r="AL5" s="28">
        <v>38</v>
      </c>
      <c r="AM5" s="28">
        <v>39</v>
      </c>
      <c r="AN5" s="28">
        <v>40</v>
      </c>
      <c r="AO5" s="28">
        <v>41</v>
      </c>
      <c r="AP5" s="28">
        <v>42</v>
      </c>
      <c r="AQ5" s="28">
        <v>43</v>
      </c>
      <c r="AR5" s="28">
        <v>44</v>
      </c>
      <c r="AS5" s="28">
        <v>45</v>
      </c>
      <c r="AT5" s="28">
        <v>46</v>
      </c>
      <c r="AU5" s="28">
        <v>47</v>
      </c>
      <c r="AV5" s="28">
        <v>48</v>
      </c>
      <c r="AW5" s="28">
        <v>49</v>
      </c>
      <c r="AX5" s="28">
        <v>50</v>
      </c>
      <c r="AY5" s="28">
        <v>51</v>
      </c>
      <c r="AZ5" s="28">
        <v>52</v>
      </c>
      <c r="BA5" s="28">
        <v>53</v>
      </c>
      <c r="BB5" s="28">
        <v>54</v>
      </c>
      <c r="BC5" s="28">
        <v>55</v>
      </c>
      <c r="BD5" s="28">
        <v>56</v>
      </c>
      <c r="BE5" s="28">
        <v>57</v>
      </c>
      <c r="BF5" s="28">
        <v>58</v>
      </c>
      <c r="BG5" s="28">
        <v>59</v>
      </c>
      <c r="BH5" s="28">
        <v>60</v>
      </c>
      <c r="BI5" s="28">
        <v>61</v>
      </c>
      <c r="BJ5" s="28">
        <v>62</v>
      </c>
      <c r="BK5" s="28">
        <v>63</v>
      </c>
      <c r="BL5" s="28">
        <v>64</v>
      </c>
      <c r="BM5" s="28">
        <v>65</v>
      </c>
      <c r="BN5" s="28">
        <v>66</v>
      </c>
      <c r="BO5" s="28">
        <v>67</v>
      </c>
      <c r="BP5" s="28">
        <v>68</v>
      </c>
      <c r="BQ5" s="28">
        <v>69</v>
      </c>
      <c r="BR5" s="28">
        <v>70</v>
      </c>
      <c r="BS5" s="28">
        <v>71</v>
      </c>
      <c r="BT5" s="28">
        <v>72</v>
      </c>
      <c r="BU5" s="28">
        <v>73</v>
      </c>
      <c r="BV5" s="28">
        <v>74</v>
      </c>
      <c r="BW5" s="28">
        <v>75</v>
      </c>
      <c r="BX5" s="28">
        <v>76</v>
      </c>
      <c r="BY5" s="28">
        <v>77</v>
      </c>
      <c r="BZ5" s="28">
        <v>78</v>
      </c>
      <c r="CA5" s="28">
        <v>79</v>
      </c>
      <c r="CB5" s="28">
        <v>80</v>
      </c>
      <c r="CC5" s="28">
        <v>81</v>
      </c>
      <c r="CD5" s="28">
        <v>82</v>
      </c>
      <c r="CE5" s="28">
        <v>83</v>
      </c>
      <c r="CF5" s="28">
        <v>84</v>
      </c>
      <c r="CG5" s="28">
        <v>85</v>
      </c>
      <c r="CH5" s="28">
        <v>86</v>
      </c>
      <c r="CI5" s="28">
        <v>87</v>
      </c>
      <c r="CJ5" s="28">
        <v>88</v>
      </c>
      <c r="CK5" s="28">
        <v>89</v>
      </c>
      <c r="CL5" s="28">
        <v>90</v>
      </c>
      <c r="CM5" s="28">
        <v>91</v>
      </c>
      <c r="CN5" s="28">
        <v>92</v>
      </c>
      <c r="CO5" s="28">
        <v>93</v>
      </c>
      <c r="CP5" s="28">
        <v>94</v>
      </c>
      <c r="CQ5" s="28">
        <v>95</v>
      </c>
      <c r="CR5" s="28">
        <v>96</v>
      </c>
      <c r="CS5" s="28">
        <v>97</v>
      </c>
      <c r="CT5" s="28">
        <v>98</v>
      </c>
      <c r="CU5" s="28">
        <v>99</v>
      </c>
      <c r="CV5" s="28">
        <v>100</v>
      </c>
      <c r="CW5" s="28">
        <v>101</v>
      </c>
      <c r="CX5" s="28">
        <v>102</v>
      </c>
      <c r="CY5" s="28">
        <v>103</v>
      </c>
      <c r="CZ5" s="28">
        <v>104</v>
      </c>
      <c r="DA5" s="28">
        <v>105</v>
      </c>
    </row>
    <row r="6" spans="1:105">
      <c r="A6" s="29" t="s">
        <v>17</v>
      </c>
      <c r="B6" s="30"/>
      <c r="C6" s="30"/>
      <c r="D6" s="30"/>
      <c r="E6" s="30"/>
      <c r="F6" s="30"/>
      <c r="G6" s="31"/>
      <c r="H6" s="32"/>
      <c r="I6" s="454" t="s">
        <v>18</v>
      </c>
      <c r="J6" s="455"/>
      <c r="K6" s="455"/>
      <c r="L6" s="455"/>
      <c r="M6" s="455"/>
      <c r="N6" s="456"/>
      <c r="O6" s="457" t="s">
        <v>19</v>
      </c>
      <c r="P6" s="458"/>
      <c r="Q6" s="33" t="s">
        <v>20</v>
      </c>
      <c r="R6" s="459" t="s">
        <v>21</v>
      </c>
      <c r="S6" s="459"/>
      <c r="T6" s="459"/>
      <c r="U6" s="34"/>
      <c r="V6" s="34"/>
      <c r="W6" s="34"/>
      <c r="X6" s="35"/>
      <c r="Y6" s="36"/>
      <c r="Z6" s="34"/>
      <c r="AA6" s="34"/>
      <c r="AB6" s="34"/>
      <c r="AC6" s="34"/>
      <c r="AD6" s="34"/>
      <c r="AE6" s="37"/>
      <c r="AF6" s="37"/>
      <c r="AG6" s="37"/>
      <c r="AH6" s="37"/>
      <c r="AI6" s="37"/>
      <c r="AJ6" s="37"/>
      <c r="AK6" s="37"/>
      <c r="AL6" s="37"/>
      <c r="AM6" s="37"/>
      <c r="AN6" s="37"/>
      <c r="AO6" s="37"/>
      <c r="AP6" s="17"/>
      <c r="AQ6" s="17"/>
      <c r="AR6" s="17"/>
      <c r="AS6" s="17"/>
      <c r="AT6" s="17"/>
      <c r="AU6" s="17"/>
      <c r="AV6" s="17"/>
      <c r="AW6" s="17"/>
      <c r="AX6" s="17"/>
      <c r="AY6" s="17"/>
      <c r="AZ6" s="17"/>
      <c r="BA6" s="17"/>
      <c r="BB6" s="17"/>
      <c r="BC6" s="17"/>
      <c r="BD6" s="17"/>
      <c r="BE6" s="17"/>
      <c r="BF6" s="17"/>
      <c r="BG6" s="17"/>
      <c r="BH6" s="17"/>
      <c r="BI6" s="17"/>
      <c r="BJ6" s="17"/>
      <c r="BK6" s="17"/>
      <c r="BL6" s="17"/>
      <c r="BM6" s="17"/>
      <c r="BN6" s="17"/>
      <c r="BO6" s="17"/>
      <c r="BP6" s="17"/>
      <c r="BQ6" s="17"/>
      <c r="BR6" s="17"/>
      <c r="BS6" s="17"/>
      <c r="BT6" s="17"/>
      <c r="BU6" s="17"/>
      <c r="BV6" s="17"/>
      <c r="BW6" s="17"/>
      <c r="BX6" s="17"/>
      <c r="BY6" s="17"/>
      <c r="BZ6" s="17"/>
      <c r="CA6" s="17"/>
      <c r="CB6" s="17"/>
      <c r="CC6" s="17"/>
      <c r="CD6" s="17"/>
      <c r="CE6" s="17"/>
      <c r="CF6" s="17"/>
      <c r="CG6" s="17"/>
      <c r="CH6" s="17"/>
      <c r="CI6" s="17"/>
      <c r="CJ6" s="17"/>
      <c r="CK6" s="17"/>
      <c r="CL6" s="17"/>
      <c r="CM6" s="17"/>
      <c r="CN6" s="17"/>
      <c r="CO6" s="17"/>
      <c r="CP6" s="17"/>
      <c r="CQ6" s="17"/>
      <c r="CR6" s="17"/>
      <c r="CS6" s="17"/>
      <c r="CT6" s="17"/>
      <c r="CU6" s="17"/>
      <c r="CV6" s="17"/>
      <c r="CW6" s="17"/>
      <c r="CX6" s="17"/>
      <c r="CY6" s="17"/>
      <c r="CZ6" s="17"/>
      <c r="DA6" s="17"/>
    </row>
    <row r="7" spans="1:105" ht="25.5">
      <c r="A7" s="38" t="s">
        <v>22</v>
      </c>
      <c r="B7" s="38" t="s">
        <v>23</v>
      </c>
      <c r="C7" s="38" t="s">
        <v>24</v>
      </c>
      <c r="D7" s="38" t="s">
        <v>25</v>
      </c>
      <c r="E7" s="38" t="s">
        <v>26</v>
      </c>
      <c r="F7" s="39" t="s">
        <v>27</v>
      </c>
      <c r="G7" s="38" t="s">
        <v>28</v>
      </c>
      <c r="H7" s="40" t="s">
        <v>29</v>
      </c>
      <c r="I7" s="40" t="s">
        <v>30</v>
      </c>
      <c r="J7" s="40" t="s">
        <v>31</v>
      </c>
      <c r="K7" s="40" t="s">
        <v>32</v>
      </c>
      <c r="L7" s="40" t="s">
        <v>33</v>
      </c>
      <c r="M7" s="40" t="s">
        <v>34</v>
      </c>
      <c r="N7" s="40" t="s">
        <v>35</v>
      </c>
      <c r="O7" s="41" t="s">
        <v>36</v>
      </c>
      <c r="P7" s="40" t="s">
        <v>28</v>
      </c>
      <c r="Q7" s="42" t="s">
        <v>37</v>
      </c>
      <c r="R7" s="43" t="s">
        <v>38</v>
      </c>
      <c r="S7" s="43" t="s">
        <v>39</v>
      </c>
      <c r="T7" s="43" t="s">
        <v>40</v>
      </c>
      <c r="U7" s="44"/>
      <c r="V7" s="44"/>
      <c r="W7" s="44"/>
      <c r="X7" s="44"/>
      <c r="Y7" s="44"/>
      <c r="Z7" s="44"/>
      <c r="AA7" s="44"/>
      <c r="AB7" s="44"/>
      <c r="AC7" s="44"/>
      <c r="AD7" s="44"/>
      <c r="AE7" s="37"/>
      <c r="AF7" s="37"/>
      <c r="AG7" s="37"/>
      <c r="AH7" s="37"/>
      <c r="AI7" s="37"/>
      <c r="AJ7" s="37"/>
      <c r="AK7" s="37"/>
      <c r="AL7" s="37"/>
      <c r="AM7" s="37"/>
      <c r="AN7" s="37"/>
      <c r="AO7" s="37"/>
      <c r="AP7" s="17"/>
      <c r="AQ7" s="17"/>
      <c r="AR7" s="17"/>
      <c r="AS7" s="17"/>
      <c r="AT7" s="17"/>
      <c r="AU7" s="17"/>
      <c r="AV7" s="17"/>
      <c r="AW7" s="17"/>
      <c r="AX7" s="17"/>
      <c r="AY7" s="17"/>
      <c r="AZ7" s="17"/>
      <c r="BA7" s="17"/>
      <c r="BB7" s="17"/>
      <c r="BC7" s="17"/>
      <c r="BD7" s="17"/>
      <c r="BE7" s="17"/>
      <c r="BF7" s="17"/>
      <c r="BG7" s="17"/>
      <c r="BH7" s="17"/>
      <c r="BI7" s="17"/>
      <c r="BJ7" s="17"/>
      <c r="BK7" s="17"/>
      <c r="BL7" s="17"/>
      <c r="BM7" s="17"/>
      <c r="BN7" s="17"/>
      <c r="BO7" s="17"/>
      <c r="BP7" s="17"/>
      <c r="BQ7" s="17"/>
      <c r="BR7" s="17"/>
      <c r="BS7" s="17"/>
      <c r="BT7" s="17"/>
      <c r="BU7" s="17"/>
      <c r="BV7" s="17"/>
      <c r="BW7" s="17"/>
      <c r="BX7" s="17"/>
      <c r="BY7" s="17"/>
      <c r="BZ7" s="17"/>
      <c r="CA7" s="17"/>
      <c r="CB7" s="17"/>
      <c r="CC7" s="17"/>
      <c r="CD7" s="17"/>
      <c r="CE7" s="17"/>
      <c r="CF7" s="17"/>
      <c r="CG7" s="17"/>
      <c r="CH7" s="17"/>
      <c r="CI7" s="17"/>
      <c r="CJ7" s="17"/>
      <c r="CK7" s="17"/>
      <c r="CL7" s="17"/>
      <c r="CM7" s="17"/>
      <c r="CN7" s="17"/>
      <c r="CO7" s="17"/>
      <c r="CP7" s="17"/>
      <c r="CQ7" s="17"/>
      <c r="CR7" s="17"/>
      <c r="CS7" s="17"/>
      <c r="CT7" s="17"/>
      <c r="CU7" s="17"/>
      <c r="CV7" s="17"/>
      <c r="CW7" s="17"/>
      <c r="CX7" s="17"/>
      <c r="CY7" s="17"/>
      <c r="CZ7" s="17"/>
      <c r="DA7" s="17"/>
    </row>
    <row r="8" spans="1:105">
      <c r="A8" s="45" t="str">
        <f>'Savings and Cost Analysis'!AQ13</f>
        <v>Exterior Lighting: Parking Lot - HPS 250W - New</v>
      </c>
      <c r="B8" s="45" t="str">
        <f>'Savings and Cost Analysis'!AT13</f>
        <v>Exterior Lighting: Parking Lot - HPS 250W to LED 135W - New</v>
      </c>
      <c r="C8" s="46">
        <f>'Savings and Cost Analysis'!BB13</f>
        <v>743.50510204081638</v>
      </c>
      <c r="D8" s="169">
        <f>'Savings and Cost Analysis'!BK13</f>
        <v>11.627906976744185</v>
      </c>
      <c r="E8" s="48">
        <f>'Savings and Cost Analysis'!BQ13</f>
        <v>83.017365819435099</v>
      </c>
      <c r="F8" s="48"/>
      <c r="G8" s="49" t="str">
        <f>'Savings and Cost Analysis'!BV13</f>
        <v>S-All-Lgt-Streetlight-All-All-U</v>
      </c>
      <c r="H8" s="47"/>
      <c r="I8" s="170">
        <f>(-1)*'Savings and Cost Analysis'!BT13</f>
        <v>-25.833333333333332</v>
      </c>
      <c r="J8" s="169">
        <f>'Savings and Cost Analysis'!BU13</f>
        <v>5.5813953488372094</v>
      </c>
      <c r="K8" s="47"/>
      <c r="L8" s="47"/>
      <c r="M8" s="47"/>
      <c r="N8" s="47"/>
      <c r="O8" s="24"/>
      <c r="P8" s="50"/>
      <c r="Q8" s="51" t="str">
        <f>'Savings and Cost Analysis'!BW13</f>
        <v>L</v>
      </c>
      <c r="R8" s="47"/>
      <c r="S8" s="47"/>
      <c r="T8" s="47"/>
      <c r="U8" s="44"/>
      <c r="V8" s="44"/>
      <c r="W8" s="44"/>
      <c r="X8" s="44"/>
      <c r="Y8" s="44"/>
      <c r="Z8" s="44"/>
      <c r="AA8" s="44"/>
      <c r="AB8" s="44"/>
      <c r="AC8" s="44"/>
      <c r="AD8" s="44"/>
      <c r="AE8" s="37"/>
      <c r="AF8" s="37"/>
      <c r="AG8" s="37"/>
      <c r="AH8" s="37"/>
      <c r="AI8" s="37"/>
      <c r="AJ8" s="37"/>
      <c r="AK8" s="37"/>
      <c r="AL8" s="37"/>
      <c r="AM8" s="37"/>
      <c r="AN8" s="37"/>
      <c r="AO8" s="37"/>
      <c r="AP8" s="21"/>
      <c r="AQ8" s="21"/>
      <c r="AR8" s="21"/>
      <c r="AS8" s="21"/>
      <c r="AT8" s="21"/>
      <c r="AU8" s="21"/>
      <c r="AV8" s="21"/>
      <c r="AW8" s="21"/>
      <c r="AX8" s="21"/>
      <c r="AY8" s="21"/>
      <c r="AZ8" s="21"/>
      <c r="BA8" s="21"/>
      <c r="BB8" s="21"/>
      <c r="BC8" s="21"/>
      <c r="BD8" s="21"/>
      <c r="BE8" s="21"/>
      <c r="BF8" s="21"/>
      <c r="BG8" s="21"/>
      <c r="BH8" s="21"/>
      <c r="BI8" s="21"/>
      <c r="BJ8" s="21"/>
      <c r="BK8" s="21"/>
      <c r="BL8" s="21"/>
      <c r="BM8" s="21"/>
      <c r="BN8" s="21"/>
      <c r="BO8" s="21"/>
      <c r="BP8" s="21"/>
      <c r="BQ8" s="21"/>
      <c r="BR8" s="21"/>
      <c r="BS8" s="21"/>
      <c r="BT8" s="21"/>
      <c r="BU8" s="21"/>
      <c r="BV8" s="21"/>
      <c r="BW8" s="21"/>
      <c r="BX8" s="21"/>
      <c r="BY8" s="21"/>
      <c r="BZ8" s="21"/>
      <c r="CA8" s="21"/>
      <c r="CB8" s="21"/>
      <c r="CC8" s="21"/>
      <c r="CD8" s="21"/>
      <c r="CE8" s="21"/>
      <c r="CF8" s="21"/>
      <c r="CG8" s="21"/>
      <c r="CH8" s="21"/>
      <c r="CI8" s="21"/>
      <c r="CJ8" s="21"/>
      <c r="CK8" s="21"/>
      <c r="CL8" s="21"/>
      <c r="CM8" s="21"/>
      <c r="CN8" s="21"/>
      <c r="CO8" s="21"/>
      <c r="CP8" s="21"/>
      <c r="CQ8" s="21"/>
      <c r="CR8" s="21"/>
      <c r="CS8" s="21"/>
      <c r="CT8" s="21"/>
      <c r="CU8" s="21"/>
      <c r="CV8" s="21"/>
      <c r="CW8" s="21"/>
      <c r="CX8" s="21"/>
      <c r="CY8" s="21"/>
      <c r="CZ8" s="21"/>
      <c r="DA8" s="21"/>
    </row>
    <row r="9" spans="1:105">
      <c r="A9" s="45" t="str">
        <f>'Savings and Cost Analysis'!AQ14</f>
        <v>Exterior Lighting: Parking Lot - MH 400W - New</v>
      </c>
      <c r="B9" s="45" t="str">
        <f>'Savings and Cost Analysis'!AT14</f>
        <v>Exterior Lighting: Parking Lot - MH 400W to LED 180W - New</v>
      </c>
      <c r="C9" s="46">
        <f>'Savings and Cost Analysis'!BB14</f>
        <v>1298.0734693877553</v>
      </c>
      <c r="D9" s="169">
        <f>'Savings and Cost Analysis'!BK14</f>
        <v>11.627906976744185</v>
      </c>
      <c r="E9" s="48">
        <f>'Savings and Cost Analysis'!BQ14</f>
        <v>134.02315442591345</v>
      </c>
      <c r="F9" s="48"/>
      <c r="G9" s="49" t="str">
        <f>'Savings and Cost Analysis'!BV14</f>
        <v>S-All-Lgt-Streetlight-All-All-U</v>
      </c>
      <c r="H9" s="24"/>
      <c r="I9" s="170">
        <f>(-1)*'Savings and Cost Analysis'!BT14</f>
        <v>-28.833333333333332</v>
      </c>
      <c r="J9" s="169">
        <f>'Savings and Cost Analysis'!BU14</f>
        <v>3.7209302325581395</v>
      </c>
      <c r="K9" s="24"/>
      <c r="L9" s="24"/>
      <c r="M9" s="24"/>
      <c r="N9" s="24"/>
      <c r="O9" s="24"/>
      <c r="P9" s="50"/>
      <c r="Q9" s="51" t="str">
        <f>'Savings and Cost Analysis'!BW14</f>
        <v>L</v>
      </c>
      <c r="R9" s="24"/>
      <c r="S9" s="24"/>
      <c r="T9" s="24"/>
      <c r="U9" s="24"/>
      <c r="V9" s="24"/>
      <c r="W9" s="24"/>
      <c r="X9" s="24"/>
      <c r="Y9" s="24"/>
      <c r="Z9" s="24"/>
      <c r="AA9" s="24"/>
      <c r="AB9" s="24"/>
      <c r="AC9" s="24"/>
      <c r="AD9" s="24"/>
      <c r="AE9" s="24"/>
      <c r="AF9" s="24"/>
      <c r="AG9" s="24"/>
      <c r="AH9" s="24"/>
      <c r="AI9" s="24"/>
      <c r="AJ9" s="24"/>
      <c r="AK9" s="24"/>
      <c r="AL9" s="24"/>
      <c r="AM9" s="24"/>
      <c r="AN9" s="24"/>
      <c r="AO9" s="24"/>
      <c r="AP9" s="24"/>
      <c r="AQ9" s="24"/>
      <c r="AR9" s="24"/>
      <c r="AS9" s="24"/>
      <c r="AT9" s="24"/>
      <c r="AU9" s="24"/>
      <c r="AV9" s="24"/>
      <c r="AW9" s="24"/>
      <c r="AX9" s="24"/>
      <c r="AY9" s="24"/>
      <c r="AZ9" s="24"/>
      <c r="BA9" s="24"/>
      <c r="BB9" s="24"/>
      <c r="BC9" s="24"/>
      <c r="BD9" s="24"/>
      <c r="BE9" s="24"/>
      <c r="BF9" s="24"/>
      <c r="BG9" s="24"/>
      <c r="BH9" s="24"/>
      <c r="BI9" s="24"/>
      <c r="BJ9" s="24"/>
      <c r="BK9" s="24"/>
      <c r="BL9" s="24"/>
      <c r="BM9" s="24"/>
      <c r="BN9" s="24"/>
      <c r="BO9" s="24"/>
      <c r="BP9" s="24"/>
      <c r="BQ9" s="24"/>
      <c r="BR9" s="24"/>
      <c r="BS9" s="24"/>
      <c r="BT9" s="24"/>
      <c r="BU9" s="24"/>
      <c r="BV9" s="24"/>
      <c r="BW9" s="24"/>
      <c r="BX9" s="24"/>
      <c r="BY9" s="24"/>
      <c r="BZ9" s="24"/>
      <c r="CA9" s="24"/>
      <c r="CB9" s="24"/>
      <c r="CC9" s="24"/>
      <c r="CD9" s="24"/>
      <c r="CE9" s="24"/>
      <c r="CF9" s="24"/>
      <c r="CG9" s="24"/>
      <c r="CH9" s="24"/>
      <c r="CI9" s="24"/>
      <c r="CJ9" s="24"/>
      <c r="CK9" s="24"/>
      <c r="CL9" s="24"/>
      <c r="CM9" s="24"/>
      <c r="CN9" s="24"/>
      <c r="CO9" s="24"/>
      <c r="CP9" s="24"/>
      <c r="CQ9" s="24"/>
      <c r="CR9" s="24"/>
      <c r="CS9" s="24"/>
      <c r="CT9" s="24"/>
      <c r="CU9" s="24"/>
      <c r="CV9" s="24"/>
      <c r="CW9" s="24"/>
      <c r="CX9" s="24"/>
      <c r="CY9" s="24"/>
      <c r="CZ9" s="24"/>
      <c r="DA9" s="24"/>
    </row>
    <row r="10" spans="1:105">
      <c r="A10" s="45" t="str">
        <f>'Savings and Cost Analysis'!AQ15</f>
        <v>Exterior Lighting: Parking Lot - MH 1000W - New</v>
      </c>
      <c r="B10" s="45" t="str">
        <f>'Savings and Cost Analysis'!AT15</f>
        <v>Exterior Lighting: Parking Lot - MH 1000W to LED 421W - New</v>
      </c>
      <c r="C10" s="46">
        <f>'Savings and Cost Analysis'!BB15</f>
        <v>3159.841836734694</v>
      </c>
      <c r="D10" s="169">
        <f>'Savings and Cost Analysis'!BK15</f>
        <v>11.627906976744185</v>
      </c>
      <c r="E10" s="48">
        <f>'Savings and Cost Analysis'!BQ15</f>
        <v>532.0694632777404</v>
      </c>
      <c r="F10" s="48"/>
      <c r="G10" s="49" t="str">
        <f>'Savings and Cost Analysis'!BV15</f>
        <v>S-All-Lgt-Streetlight-All-All-U</v>
      </c>
      <c r="H10" s="24"/>
      <c r="I10" s="170">
        <f>(-1)*'Savings and Cost Analysis'!BT15</f>
        <v>-30.833333333333332</v>
      </c>
      <c r="J10" s="169">
        <f>'Savings and Cost Analysis'!BU15</f>
        <v>3.7209302325581395</v>
      </c>
      <c r="K10" s="24"/>
      <c r="L10" s="24"/>
      <c r="M10" s="24"/>
      <c r="N10" s="24"/>
      <c r="O10" s="24"/>
      <c r="P10" s="50"/>
      <c r="Q10" s="51" t="str">
        <f>'Savings and Cost Analysis'!BW15</f>
        <v>L</v>
      </c>
      <c r="R10" s="24"/>
      <c r="S10" s="24"/>
      <c r="T10" s="24"/>
      <c r="U10" s="24"/>
      <c r="V10" s="24"/>
      <c r="W10" s="24"/>
      <c r="X10" s="24"/>
      <c r="Y10" s="24"/>
      <c r="Z10" s="24"/>
      <c r="AA10" s="24"/>
      <c r="AB10" s="24"/>
      <c r="AC10" s="24"/>
      <c r="AD10" s="24"/>
      <c r="AE10" s="24"/>
      <c r="AF10" s="24"/>
      <c r="AG10" s="24"/>
      <c r="AH10" s="24"/>
      <c r="AI10" s="24"/>
      <c r="AJ10" s="24"/>
      <c r="AK10" s="24"/>
      <c r="AL10" s="24"/>
      <c r="AM10" s="24"/>
      <c r="AN10" s="24"/>
      <c r="AO10" s="24"/>
      <c r="AP10" s="24"/>
      <c r="AQ10" s="24"/>
      <c r="AR10" s="24"/>
      <c r="AS10" s="24"/>
      <c r="AT10" s="24"/>
      <c r="AU10" s="24"/>
      <c r="AV10" s="24"/>
      <c r="AW10" s="24"/>
      <c r="AX10" s="24"/>
      <c r="AY10" s="24"/>
      <c r="AZ10" s="24"/>
      <c r="BA10" s="24"/>
      <c r="BB10" s="24"/>
      <c r="BC10" s="24"/>
      <c r="BD10" s="24"/>
      <c r="BE10" s="24"/>
      <c r="BF10" s="24"/>
      <c r="BG10" s="24"/>
      <c r="BH10" s="24"/>
      <c r="BI10" s="24"/>
      <c r="BJ10" s="24"/>
      <c r="BK10" s="24"/>
      <c r="BL10" s="24"/>
      <c r="BM10" s="24"/>
      <c r="BN10" s="24"/>
      <c r="BO10" s="24"/>
      <c r="BP10" s="24"/>
      <c r="BQ10" s="24"/>
      <c r="BR10" s="24"/>
      <c r="BS10" s="24"/>
      <c r="BT10" s="24"/>
      <c r="BU10" s="24"/>
      <c r="BV10" s="24"/>
      <c r="BW10" s="24"/>
      <c r="BX10" s="24"/>
      <c r="BY10" s="24"/>
      <c r="BZ10" s="24"/>
      <c r="CA10" s="24"/>
      <c r="CB10" s="24"/>
      <c r="CC10" s="24"/>
      <c r="CD10" s="24"/>
      <c r="CE10" s="24"/>
      <c r="CF10" s="24"/>
      <c r="CG10" s="24"/>
      <c r="CH10" s="24"/>
      <c r="CI10" s="24"/>
      <c r="CJ10" s="24"/>
      <c r="CK10" s="24"/>
      <c r="CL10" s="24"/>
      <c r="CM10" s="24"/>
      <c r="CN10" s="24"/>
      <c r="CO10" s="24"/>
      <c r="CP10" s="24"/>
      <c r="CQ10" s="24"/>
      <c r="CR10" s="24"/>
      <c r="CS10" s="24"/>
      <c r="CT10" s="24"/>
      <c r="CU10" s="24"/>
      <c r="CV10" s="24"/>
      <c r="CW10" s="24"/>
      <c r="CX10" s="24"/>
      <c r="CY10" s="24"/>
      <c r="CZ10" s="24"/>
      <c r="DA10" s="24"/>
    </row>
    <row r="11" spans="1:105">
      <c r="A11" s="45" t="str">
        <f>'Savings and Cost Analysis'!AQ16</f>
        <v>Exterior Lighting: Parking Lot - HPS 250W - NR</v>
      </c>
      <c r="B11" s="45" t="str">
        <f>'Savings and Cost Analysis'!AT16</f>
        <v>Exterior Lighting: Parking Lot - HPS 250W to LED 135W - NR</v>
      </c>
      <c r="C11" s="46">
        <f>'Savings and Cost Analysis'!BB16</f>
        <v>743.50510204081638</v>
      </c>
      <c r="D11" s="169">
        <f>'Savings and Cost Analysis'!BK16</f>
        <v>11.627906976744185</v>
      </c>
      <c r="E11" s="48">
        <f>'Savings and Cost Analysis'!BQ16</f>
        <v>260.08403248610176</v>
      </c>
      <c r="F11" s="24"/>
      <c r="G11" s="49" t="str">
        <f>'Savings and Cost Analysis'!BV16</f>
        <v>S-All-Lgt-Streetlight-All-All-U</v>
      </c>
      <c r="H11" s="24"/>
      <c r="I11" s="170">
        <f>(-1)*'Savings and Cost Analysis'!BT16</f>
        <v>-25.833333333333332</v>
      </c>
      <c r="J11" s="169">
        <f>'Savings and Cost Analysis'!BU16</f>
        <v>5.5813953488372094</v>
      </c>
      <c r="K11" s="24"/>
      <c r="L11" s="24"/>
      <c r="M11" s="24"/>
      <c r="N11" s="24"/>
      <c r="O11" s="24"/>
      <c r="P11" s="24"/>
      <c r="Q11" s="51" t="str">
        <f>'Savings and Cost Analysis'!BW16</f>
        <v>L</v>
      </c>
      <c r="R11" s="24"/>
      <c r="S11" s="24"/>
      <c r="T11" s="24"/>
      <c r="U11" s="24"/>
      <c r="V11" s="24"/>
      <c r="W11" s="24"/>
      <c r="X11" s="24"/>
      <c r="Y11" s="24"/>
      <c r="Z11" s="24"/>
      <c r="AA11" s="24"/>
      <c r="AB11" s="24"/>
      <c r="AC11" s="24"/>
      <c r="AD11" s="24"/>
      <c r="AE11" s="24"/>
      <c r="AF11" s="24"/>
      <c r="AG11" s="24"/>
      <c r="AH11" s="24"/>
      <c r="AI11" s="24"/>
      <c r="AJ11" s="24"/>
      <c r="AK11" s="24"/>
      <c r="AL11" s="24"/>
      <c r="AM11" s="24"/>
      <c r="AN11" s="24"/>
      <c r="AO11" s="24"/>
      <c r="AP11" s="24"/>
      <c r="AQ11" s="24"/>
      <c r="AR11" s="24"/>
      <c r="AS11" s="24"/>
      <c r="AT11" s="24"/>
      <c r="AU11" s="24"/>
      <c r="AV11" s="24"/>
      <c r="AW11" s="24"/>
      <c r="AX11" s="24"/>
      <c r="AY11" s="24"/>
      <c r="AZ11" s="24"/>
      <c r="BA11" s="24"/>
      <c r="BB11" s="24"/>
      <c r="BC11" s="24"/>
      <c r="BD11" s="24"/>
      <c r="BE11" s="24"/>
      <c r="BF11" s="24"/>
      <c r="BG11" s="24"/>
      <c r="BH11" s="24"/>
      <c r="BI11" s="24"/>
      <c r="BJ11" s="24"/>
      <c r="BK11" s="24"/>
      <c r="BL11" s="24"/>
      <c r="BM11" s="24"/>
      <c r="BN11" s="24"/>
      <c r="BO11" s="24"/>
      <c r="BP11" s="24"/>
      <c r="BQ11" s="24"/>
      <c r="BR11" s="24"/>
      <c r="BS11" s="24"/>
      <c r="BT11" s="24"/>
      <c r="BU11" s="24"/>
      <c r="BV11" s="24"/>
      <c r="BW11" s="24"/>
      <c r="BX11" s="24"/>
      <c r="BY11" s="24"/>
      <c r="BZ11" s="24"/>
      <c r="CA11" s="24"/>
      <c r="CB11" s="24"/>
      <c r="CC11" s="24"/>
      <c r="CD11" s="24"/>
      <c r="CE11" s="24"/>
      <c r="CF11" s="24"/>
      <c r="CG11" s="24"/>
      <c r="CH11" s="24"/>
      <c r="CI11" s="24"/>
      <c r="CJ11" s="24"/>
      <c r="CK11" s="24"/>
      <c r="CL11" s="24"/>
      <c r="CM11" s="24"/>
      <c r="CN11" s="24"/>
      <c r="CO11" s="24"/>
      <c r="CP11" s="24"/>
      <c r="CQ11" s="24"/>
      <c r="CR11" s="24"/>
      <c r="CS11" s="24"/>
      <c r="CT11" s="24"/>
      <c r="CU11" s="24"/>
      <c r="CV11" s="24"/>
      <c r="CW11" s="24"/>
      <c r="CX11" s="24"/>
      <c r="CY11" s="24"/>
      <c r="CZ11" s="24"/>
      <c r="DA11" s="24"/>
    </row>
    <row r="12" spans="1:105">
      <c r="A12" s="45" t="str">
        <f>'Savings and Cost Analysis'!AQ17</f>
        <v>Exterior Lighting: Parking Lot - MH 400W - NR</v>
      </c>
      <c r="B12" s="45" t="str">
        <f>'Savings and Cost Analysis'!AT17</f>
        <v>Exterior Lighting: Parking Lot - MH 400W to LED 180W - NR</v>
      </c>
      <c r="C12" s="46">
        <f>'Savings and Cost Analysis'!BB17</f>
        <v>1298.0734693877553</v>
      </c>
      <c r="D12" s="169">
        <f>'Savings and Cost Analysis'!BK17</f>
        <v>11.627906976744185</v>
      </c>
      <c r="E12" s="48">
        <f>'Savings and Cost Analysis'!BQ17</f>
        <v>338.08982109258011</v>
      </c>
      <c r="F12" s="24"/>
      <c r="G12" s="49" t="str">
        <f>'Savings and Cost Analysis'!BV17</f>
        <v>S-All-Lgt-Streetlight-All-All-U</v>
      </c>
      <c r="H12" s="24"/>
      <c r="I12" s="170">
        <f>(-1)*'Savings and Cost Analysis'!BT17</f>
        <v>-28.833333333333332</v>
      </c>
      <c r="J12" s="169">
        <f>'Savings and Cost Analysis'!BU17</f>
        <v>3.7209302325581395</v>
      </c>
      <c r="K12" s="24"/>
      <c r="L12" s="24"/>
      <c r="M12" s="24"/>
      <c r="N12" s="24"/>
      <c r="O12" s="24"/>
      <c r="P12" s="24"/>
      <c r="Q12" s="51" t="str">
        <f>'Savings and Cost Analysis'!BW17</f>
        <v>L</v>
      </c>
      <c r="R12" s="24"/>
      <c r="S12" s="24"/>
      <c r="T12" s="24"/>
      <c r="U12" s="24"/>
      <c r="V12" s="24"/>
      <c r="W12" s="24"/>
      <c r="X12" s="24"/>
      <c r="Y12" s="24"/>
      <c r="Z12" s="24"/>
      <c r="AA12" s="24"/>
      <c r="AB12" s="24"/>
      <c r="AC12" s="24"/>
      <c r="AD12" s="24"/>
      <c r="AE12" s="24"/>
      <c r="AF12" s="24"/>
      <c r="AG12" s="24"/>
      <c r="AH12" s="24"/>
      <c r="AI12" s="24"/>
      <c r="AJ12" s="24"/>
      <c r="AK12" s="24"/>
      <c r="AL12" s="24"/>
      <c r="AM12" s="24"/>
      <c r="AN12" s="24"/>
      <c r="AO12" s="24"/>
      <c r="AP12" s="24"/>
      <c r="AQ12" s="24"/>
      <c r="AR12" s="24"/>
      <c r="AS12" s="24"/>
      <c r="AT12" s="24"/>
      <c r="AU12" s="24"/>
      <c r="AV12" s="24"/>
      <c r="AW12" s="24"/>
      <c r="AX12" s="24"/>
      <c r="AY12" s="24"/>
      <c r="AZ12" s="24"/>
      <c r="BA12" s="24"/>
      <c r="BB12" s="24"/>
      <c r="BC12" s="24"/>
      <c r="BD12" s="24"/>
      <c r="BE12" s="24"/>
      <c r="BF12" s="24"/>
      <c r="BG12" s="24"/>
      <c r="BH12" s="24"/>
      <c r="BI12" s="24"/>
      <c r="BJ12" s="24"/>
      <c r="BK12" s="24"/>
      <c r="BL12" s="24"/>
      <c r="BM12" s="24"/>
      <c r="BN12" s="24"/>
      <c r="BO12" s="24"/>
      <c r="BP12" s="24"/>
      <c r="BQ12" s="24"/>
      <c r="BR12" s="24"/>
      <c r="BS12" s="24"/>
      <c r="BT12" s="24"/>
      <c r="BU12" s="24"/>
      <c r="BV12" s="24"/>
      <c r="BW12" s="24"/>
      <c r="BX12" s="24"/>
      <c r="BY12" s="24"/>
      <c r="BZ12" s="24"/>
      <c r="CA12" s="24"/>
      <c r="CB12" s="24"/>
      <c r="CC12" s="24"/>
      <c r="CD12" s="24"/>
      <c r="CE12" s="24"/>
      <c r="CF12" s="24"/>
      <c r="CG12" s="24"/>
      <c r="CH12" s="24"/>
      <c r="CI12" s="24"/>
      <c r="CJ12" s="24"/>
      <c r="CK12" s="24"/>
      <c r="CL12" s="24"/>
      <c r="CM12" s="24"/>
      <c r="CN12" s="24"/>
      <c r="CO12" s="24"/>
      <c r="CP12" s="24"/>
      <c r="CQ12" s="24"/>
      <c r="CR12" s="24"/>
      <c r="CS12" s="24"/>
      <c r="CT12" s="24"/>
      <c r="CU12" s="24"/>
      <c r="CV12" s="24"/>
      <c r="CW12" s="24"/>
      <c r="CX12" s="24"/>
      <c r="CY12" s="24"/>
      <c r="CZ12" s="24"/>
      <c r="DA12" s="24"/>
    </row>
    <row r="13" spans="1:105">
      <c r="A13" s="45" t="str">
        <f>'Savings and Cost Analysis'!AQ18</f>
        <v>Exterior Lighting: Parking Lot - MH 1000W - NR</v>
      </c>
      <c r="B13" s="45" t="str">
        <f>'Savings and Cost Analysis'!AT18</f>
        <v>Exterior Lighting: Parking Lot - MH 1000W to LED 421W - NR</v>
      </c>
      <c r="C13" s="46">
        <f>'Savings and Cost Analysis'!BB18</f>
        <v>3159.841836734694</v>
      </c>
      <c r="D13" s="169">
        <f>'Savings and Cost Analysis'!BK18</f>
        <v>11.627906976744185</v>
      </c>
      <c r="E13" s="48">
        <f>'Savings and Cost Analysis'!BQ18</f>
        <v>984.136129944407</v>
      </c>
      <c r="F13" s="24"/>
      <c r="G13" s="49" t="str">
        <f>'Savings and Cost Analysis'!BV18</f>
        <v>S-All-Lgt-Streetlight-All-All-U</v>
      </c>
      <c r="H13" s="24"/>
      <c r="I13" s="170">
        <f>(-1)*'Savings and Cost Analysis'!BT18</f>
        <v>-30.833333333333332</v>
      </c>
      <c r="J13" s="169">
        <f>'Savings and Cost Analysis'!BU18</f>
        <v>3.7209302325581395</v>
      </c>
      <c r="K13" s="24"/>
      <c r="L13" s="24"/>
      <c r="M13" s="24"/>
      <c r="N13" s="24"/>
      <c r="O13" s="24"/>
      <c r="P13" s="24"/>
      <c r="Q13" s="51" t="str">
        <f>'Savings and Cost Analysis'!BW18</f>
        <v>L</v>
      </c>
      <c r="R13" s="24"/>
      <c r="S13" s="24"/>
      <c r="T13" s="24"/>
      <c r="U13" s="24"/>
      <c r="V13" s="24"/>
      <c r="W13" s="24"/>
      <c r="X13" s="24"/>
      <c r="Y13" s="24"/>
      <c r="Z13" s="24"/>
      <c r="AA13" s="24"/>
      <c r="AB13" s="24"/>
      <c r="AC13" s="24"/>
      <c r="AD13" s="24"/>
      <c r="AE13" s="24"/>
      <c r="AF13" s="24"/>
      <c r="AG13" s="24"/>
      <c r="AH13" s="24"/>
      <c r="AI13" s="24"/>
      <c r="AJ13" s="24"/>
      <c r="AK13" s="24"/>
      <c r="AL13" s="24"/>
      <c r="AM13" s="24"/>
      <c r="AN13" s="24"/>
      <c r="AO13" s="24"/>
      <c r="AP13" s="24"/>
      <c r="AQ13" s="24"/>
      <c r="AR13" s="24"/>
      <c r="AS13" s="24"/>
      <c r="AT13" s="24"/>
      <c r="AU13" s="24"/>
      <c r="AV13" s="24"/>
      <c r="AW13" s="24"/>
      <c r="AX13" s="24"/>
      <c r="AY13" s="24"/>
      <c r="AZ13" s="24"/>
      <c r="BA13" s="24"/>
      <c r="BB13" s="24"/>
      <c r="BC13" s="24"/>
      <c r="BD13" s="24"/>
      <c r="BE13" s="24"/>
      <c r="BF13" s="24"/>
      <c r="BG13" s="24"/>
      <c r="BH13" s="24"/>
      <c r="BI13" s="24"/>
      <c r="BJ13" s="24"/>
      <c r="BK13" s="24"/>
      <c r="BL13" s="24"/>
      <c r="BM13" s="24"/>
      <c r="BN13" s="24"/>
      <c r="BO13" s="24"/>
      <c r="BP13" s="24"/>
      <c r="BQ13" s="24"/>
      <c r="BR13" s="24"/>
      <c r="BS13" s="24"/>
      <c r="BT13" s="24"/>
      <c r="BU13" s="24"/>
      <c r="BV13" s="24"/>
      <c r="BW13" s="24"/>
      <c r="BX13" s="24"/>
      <c r="BY13" s="24"/>
      <c r="BZ13" s="24"/>
      <c r="CA13" s="24"/>
      <c r="CB13" s="24"/>
      <c r="CC13" s="24"/>
      <c r="CD13" s="24"/>
      <c r="CE13" s="24"/>
      <c r="CF13" s="24"/>
      <c r="CG13" s="24"/>
      <c r="CH13" s="24"/>
      <c r="CI13" s="24"/>
      <c r="CJ13" s="24"/>
      <c r="CK13" s="24"/>
      <c r="CL13" s="24"/>
      <c r="CM13" s="24"/>
      <c r="CN13" s="24"/>
      <c r="CO13" s="24"/>
      <c r="CP13" s="24"/>
      <c r="CQ13" s="24"/>
      <c r="CR13" s="24"/>
      <c r="CS13" s="24"/>
      <c r="CT13" s="24"/>
      <c r="CU13" s="24"/>
      <c r="CV13" s="24"/>
      <c r="CW13" s="24"/>
      <c r="CX13" s="24"/>
      <c r="CY13" s="24"/>
      <c r="CZ13" s="24"/>
      <c r="DA13" s="24"/>
    </row>
    <row r="14" spans="1:105">
      <c r="A14" s="45" t="str">
        <f>'Savings and Cost Analysis'!AQ19</f>
        <v>Exterior Lighting: Parking Lot - HPS 250W - Retro</v>
      </c>
      <c r="B14" s="45" t="str">
        <f>'Savings and Cost Analysis'!AT19</f>
        <v>Exterior Lighting: Parking Lot - HPS 250W to LED 135W - Retro</v>
      </c>
      <c r="C14" s="46">
        <f>'Savings and Cost Analysis'!BB19</f>
        <v>743.50510204081638</v>
      </c>
      <c r="D14" s="169">
        <f>'Savings and Cost Analysis'!BK19</f>
        <v>11.627906976744185</v>
      </c>
      <c r="E14" s="48">
        <f>'Savings and Cost Analysis'!BQ19</f>
        <v>285.91736581943508</v>
      </c>
      <c r="G14" s="49" t="str">
        <f>'Savings and Cost Analysis'!BV19</f>
        <v>S-All-Lgt-Streetlight-All-All-U</v>
      </c>
      <c r="I14" s="170">
        <f>(-1)*'Savings and Cost Analysis'!BT19</f>
        <v>-25.833333333333332</v>
      </c>
      <c r="J14" s="169">
        <f>'Savings and Cost Analysis'!BU19</f>
        <v>5.5813953488372094</v>
      </c>
      <c r="Q14" s="51" t="str">
        <f>'Savings and Cost Analysis'!BW19</f>
        <v>R</v>
      </c>
    </row>
    <row r="15" spans="1:105">
      <c r="A15" s="45" t="str">
        <f>'Savings and Cost Analysis'!AQ20</f>
        <v>Exterior Lighting: Parking Lot - MH 400W - Retro</v>
      </c>
      <c r="B15" s="45" t="str">
        <f>'Savings and Cost Analysis'!AT20</f>
        <v>Exterior Lighting: Parking Lot - MH 400W to LED 180W - Retro</v>
      </c>
      <c r="C15" s="46">
        <f>'Savings and Cost Analysis'!BB20</f>
        <v>1298.0734693877553</v>
      </c>
      <c r="D15" s="169">
        <f>'Savings and Cost Analysis'!BK20</f>
        <v>11.627906976744185</v>
      </c>
      <c r="E15" s="48">
        <f>'Savings and Cost Analysis'!BQ20</f>
        <v>366.92315442591342</v>
      </c>
      <c r="G15" s="49" t="str">
        <f>'Savings and Cost Analysis'!BV20</f>
        <v>S-All-Lgt-Streetlight-All-All-U</v>
      </c>
      <c r="I15" s="170">
        <f>(-1)*'Savings and Cost Analysis'!BT20</f>
        <v>-28.833333333333332</v>
      </c>
      <c r="J15" s="169">
        <f>'Savings and Cost Analysis'!BU20</f>
        <v>3.7209302325581395</v>
      </c>
      <c r="Q15" s="51" t="str">
        <f>'Savings and Cost Analysis'!BW20</f>
        <v>R</v>
      </c>
    </row>
    <row r="16" spans="1:105">
      <c r="A16" s="45" t="str">
        <f>'Savings and Cost Analysis'!AQ21</f>
        <v>Exterior Lighting: Parking Lot - MH 1000W - Retro</v>
      </c>
      <c r="B16" s="45" t="str">
        <f>'Savings and Cost Analysis'!AT21</f>
        <v>Exterior Lighting: Parking Lot - MH 1000W to LED 421W - Retro</v>
      </c>
      <c r="C16" s="46">
        <f>'Savings and Cost Analysis'!BB21</f>
        <v>3159.841836734694</v>
      </c>
      <c r="D16" s="169">
        <f>'Savings and Cost Analysis'!BK21</f>
        <v>11.627906976744185</v>
      </c>
      <c r="E16" s="48">
        <f>'Savings and Cost Analysis'!BQ21</f>
        <v>1014.9694632777404</v>
      </c>
      <c r="G16" s="49" t="str">
        <f>'Savings and Cost Analysis'!BV21</f>
        <v>S-All-Lgt-Streetlight-All-All-U</v>
      </c>
      <c r="I16" s="170">
        <f>(-1)*'Savings and Cost Analysis'!BT21</f>
        <v>-30.833333333333332</v>
      </c>
      <c r="J16" s="169">
        <f>'Savings and Cost Analysis'!BU21</f>
        <v>3.7209302325581395</v>
      </c>
      <c r="Q16" s="51" t="str">
        <f>'Savings and Cost Analysis'!BW21</f>
        <v>R</v>
      </c>
    </row>
    <row r="17" spans="1:17">
      <c r="A17" s="45" t="str">
        <f>'Savings and Cost Analysis'!AQ22</f>
        <v>Exterior Lighting: Façade - HID 150W - New</v>
      </c>
      <c r="B17" s="45" t="str">
        <f>'Savings and Cost Analysis'!AT22</f>
        <v>Exterior Lighting: Façade - HID 150W to LED 27W - New</v>
      </c>
      <c r="C17" s="46">
        <f>'Savings and Cost Analysis'!BB22</f>
        <v>649.36581632653053</v>
      </c>
      <c r="D17" s="169">
        <f>'Savings and Cost Analysis'!BK22</f>
        <v>16.279069767441861</v>
      </c>
      <c r="E17" s="48">
        <f>'Savings and Cost Analysis'!BQ22</f>
        <v>7.3019593555087283</v>
      </c>
      <c r="G17" s="49" t="str">
        <f>'Savings and Cost Analysis'!BV22</f>
        <v>S-All-Lgt-Streetlight-All-All-U</v>
      </c>
      <c r="I17" s="170">
        <f>(-1)*'Savings and Cost Analysis'!BT22</f>
        <v>-41.832506666666667</v>
      </c>
      <c r="J17" s="169">
        <f>'Savings and Cost Analysis'!BU22</f>
        <v>5.5813953488372094</v>
      </c>
      <c r="Q17" s="51" t="str">
        <f>'Savings and Cost Analysis'!BW22</f>
        <v>L</v>
      </c>
    </row>
    <row r="18" spans="1:17">
      <c r="A18" s="45" t="str">
        <f>'Savings and Cost Analysis'!AQ23</f>
        <v>Exterior Lighting: Façade - HID 400W - New</v>
      </c>
      <c r="B18" s="45" t="str">
        <f>'Savings and Cost Analysis'!AT23</f>
        <v>Exterior Lighting: Façade - HID 400W to LED 82W - New</v>
      </c>
      <c r="C18" s="46">
        <f>'Savings and Cost Analysis'!BB23</f>
        <v>1606.9202380952379</v>
      </c>
      <c r="D18" s="169">
        <f>'Savings and Cost Analysis'!BK23</f>
        <v>16.279069767441861</v>
      </c>
      <c r="E18" s="48">
        <f>'Savings and Cost Analysis'!BQ23</f>
        <v>51.863052062075326</v>
      </c>
      <c r="G18" s="49" t="str">
        <f>'Savings and Cost Analysis'!BV23</f>
        <v>S-All-Lgt-Streetlight-All-All-U</v>
      </c>
      <c r="I18" s="170">
        <f>(-1)*'Savings and Cost Analysis'!BT23</f>
        <v>-39.264393333333331</v>
      </c>
      <c r="J18" s="169">
        <f>'Savings and Cost Analysis'!BU23</f>
        <v>3.7209302325581395</v>
      </c>
      <c r="Q18" s="51" t="str">
        <f>'Savings and Cost Analysis'!BW23</f>
        <v>L</v>
      </c>
    </row>
    <row r="19" spans="1:17">
      <c r="A19" s="45" t="str">
        <f>'Savings and Cost Analysis'!AQ24</f>
        <v>Exterior Lighting: Façade - HID 150W - NR</v>
      </c>
      <c r="B19" s="45" t="str">
        <f>'Savings and Cost Analysis'!AT24</f>
        <v>Exterior Lighting: Façade - HID 150W to LED 27W - NR</v>
      </c>
      <c r="C19" s="46">
        <f>'Savings and Cost Analysis'!BB24</f>
        <v>649.36581632653053</v>
      </c>
      <c r="D19" s="169">
        <f>'Savings and Cost Analysis'!BK24</f>
        <v>16.279069767441861</v>
      </c>
      <c r="E19" s="48">
        <f>'Savings and Cost Analysis'!BQ24</f>
        <v>186.95819668884204</v>
      </c>
      <c r="G19" s="49" t="str">
        <f>'Savings and Cost Analysis'!BV24</f>
        <v>S-All-Lgt-Streetlight-All-All-U</v>
      </c>
      <c r="I19" s="170">
        <f>(-1)*'Savings and Cost Analysis'!BT24</f>
        <v>-41.832506666666667</v>
      </c>
      <c r="J19" s="169">
        <f>'Savings and Cost Analysis'!BU24</f>
        <v>5.5813953488372094</v>
      </c>
      <c r="Q19" s="51" t="str">
        <f>'Savings and Cost Analysis'!BW24</f>
        <v>L</v>
      </c>
    </row>
    <row r="20" spans="1:17">
      <c r="A20" s="45" t="str">
        <f>'Savings and Cost Analysis'!AQ25</f>
        <v>Exterior Lighting: Façade - HID 400W - NR</v>
      </c>
      <c r="B20" s="45" t="str">
        <f>'Savings and Cost Analysis'!AT25</f>
        <v>Exterior Lighting: Façade - HID 400W to LED 82W - NR</v>
      </c>
      <c r="C20" s="46">
        <f>'Savings and Cost Analysis'!BB25</f>
        <v>1606.9202380952379</v>
      </c>
      <c r="D20" s="169">
        <f>'Savings and Cost Analysis'!BK25</f>
        <v>16.279069767441861</v>
      </c>
      <c r="E20" s="48">
        <f>'Savings and Cost Analysis'!BQ25</f>
        <v>332.28218672874203</v>
      </c>
      <c r="G20" s="49" t="str">
        <f>'Savings and Cost Analysis'!BV25</f>
        <v>S-All-Lgt-Streetlight-All-All-U</v>
      </c>
      <c r="I20" s="170">
        <f>(-1)*'Savings and Cost Analysis'!BT25</f>
        <v>-39.264393333333331</v>
      </c>
      <c r="J20" s="169">
        <f>'Savings and Cost Analysis'!BU25</f>
        <v>3.7209302325581395</v>
      </c>
      <c r="Q20" s="51" t="str">
        <f>'Savings and Cost Analysis'!BW25</f>
        <v>L</v>
      </c>
    </row>
    <row r="21" spans="1:17">
      <c r="A21" s="45" t="str">
        <f>'Savings and Cost Analysis'!AQ26</f>
        <v>Exterior Lighting: Façade - HID 150W - Retro</v>
      </c>
      <c r="B21" s="45" t="str">
        <f>'Savings and Cost Analysis'!AT26</f>
        <v>Exterior Lighting: Façade - HID 150W to LED 27W - Retro</v>
      </c>
      <c r="C21" s="46">
        <f>'Savings and Cost Analysis'!BB26</f>
        <v>649.36581632653053</v>
      </c>
      <c r="D21" s="169">
        <f>'Savings and Cost Analysis'!BK26</f>
        <v>16.279069767441861</v>
      </c>
      <c r="E21" s="48">
        <f>'Savings and Cost Analysis'!BQ26</f>
        <v>228.79070335550873</v>
      </c>
      <c r="G21" s="49" t="str">
        <f>'Savings and Cost Analysis'!BV26</f>
        <v>S-All-Lgt-Streetlight-All-All-U</v>
      </c>
      <c r="I21" s="170">
        <f>(-1)*'Savings and Cost Analysis'!BT26</f>
        <v>-41.832506666666667</v>
      </c>
      <c r="J21" s="169">
        <f>'Savings and Cost Analysis'!BU26</f>
        <v>5.5813953488372094</v>
      </c>
      <c r="Q21" s="51" t="str">
        <f>'Savings and Cost Analysis'!BW26</f>
        <v>R</v>
      </c>
    </row>
    <row r="22" spans="1:17">
      <c r="A22" s="45" t="str">
        <f>'Savings and Cost Analysis'!AQ27</f>
        <v>Exterior Lighting: Façade - HID 400W - Retro</v>
      </c>
      <c r="B22" s="45" t="str">
        <f>'Savings and Cost Analysis'!AT27</f>
        <v>Exterior Lighting: Façade - HID 400W to LED 82W - Retro</v>
      </c>
      <c r="C22" s="46">
        <f>'Savings and Cost Analysis'!BB27</f>
        <v>1606.9202380952379</v>
      </c>
      <c r="D22" s="169">
        <f>'Savings and Cost Analysis'!BK27</f>
        <v>16.279069767441861</v>
      </c>
      <c r="E22" s="48">
        <f>'Savings and Cost Analysis'!BQ27</f>
        <v>371.54658006207535</v>
      </c>
      <c r="G22" s="49" t="str">
        <f>'Savings and Cost Analysis'!BV27</f>
        <v>S-All-Lgt-Streetlight-All-All-U</v>
      </c>
      <c r="I22" s="170">
        <f>(-1)*'Savings and Cost Analysis'!BT27</f>
        <v>-39.264393333333331</v>
      </c>
      <c r="J22" s="169">
        <f>'Savings and Cost Analysis'!BU27</f>
        <v>3.7209302325581395</v>
      </c>
      <c r="Q22" s="51" t="str">
        <f>'Savings and Cost Analysis'!BW27</f>
        <v>R</v>
      </c>
    </row>
    <row r="23" spans="1:17">
      <c r="A23" s="45" t="str">
        <f>'Savings and Cost Analysis'!AQ28</f>
        <v>Exterior Lighting: Walkway - HID 150W - New</v>
      </c>
      <c r="B23" s="45" t="str">
        <f>'Savings and Cost Analysis'!AT28</f>
        <v>Exterior Lighting: Walkway - HID 150W to LED 28W - New</v>
      </c>
      <c r="C23" s="46">
        <f>'Savings and Cost Analysis'!BB28</f>
        <v>647.87397959183659</v>
      </c>
      <c r="D23" s="169">
        <f>'Savings and Cost Analysis'!BK28</f>
        <v>16.279069767441861</v>
      </c>
      <c r="E23" s="48">
        <f>'Savings and Cost Analysis'!BQ28</f>
        <v>6.6707622506870052</v>
      </c>
      <c r="G23" s="49" t="str">
        <f>'Savings and Cost Analysis'!BV28</f>
        <v>S-All-Lgt-Streetlight-All-All-U</v>
      </c>
      <c r="I23" s="170">
        <f>(-1)*'Savings and Cost Analysis'!BT28</f>
        <v>-39.332506666666667</v>
      </c>
      <c r="J23" s="169">
        <f>'Savings and Cost Analysis'!BU28</f>
        <v>5.5813953488372094</v>
      </c>
      <c r="Q23" s="51" t="str">
        <f>'Savings and Cost Analysis'!BW28</f>
        <v>L</v>
      </c>
    </row>
    <row r="24" spans="1:17">
      <c r="A24" s="45" t="str">
        <f>'Savings and Cost Analysis'!AQ29</f>
        <v>Exterior Lighting: Walkway - CFL 26W - New</v>
      </c>
      <c r="B24" s="45" t="str">
        <f>'Savings and Cost Analysis'!AT29</f>
        <v>Exterior Lighting: Walkway - CFL 26W to LED 12W - New</v>
      </c>
      <c r="C24" s="46">
        <f>'Savings and Cost Analysis'!BB29</f>
        <v>68.226666666666659</v>
      </c>
      <c r="D24" s="169">
        <f>'Savings and Cost Analysis'!BK29</f>
        <v>6.6762790697674417</v>
      </c>
      <c r="E24" s="48">
        <f>'Savings and Cost Analysis'!BQ29</f>
        <v>4.0008899869194874</v>
      </c>
      <c r="G24" s="49" t="str">
        <f>'Savings and Cost Analysis'!BV29</f>
        <v>S-All-Lgt-Streetlight-All-All-U</v>
      </c>
      <c r="I24" s="170">
        <f>(-1)*'Savings and Cost Analysis'!BT29</f>
        <v>-9.7835033333333321</v>
      </c>
      <c r="J24" s="169">
        <f>'Savings and Cost Analysis'!BU29</f>
        <v>2.3255813953488373</v>
      </c>
      <c r="Q24" s="51" t="str">
        <f>'Savings and Cost Analysis'!BW29</f>
        <v>L</v>
      </c>
    </row>
    <row r="25" spans="1:17">
      <c r="A25" s="45" t="str">
        <f>'Savings and Cost Analysis'!AQ30</f>
        <v>Exterior Lighting: Walkway - INC 75W - New</v>
      </c>
      <c r="B25" s="45" t="str">
        <f>'Savings and Cost Analysis'!AT30</f>
        <v>Exterior Lighting: Walkway - INC 75W to LED 12W - New</v>
      </c>
      <c r="C25" s="46">
        <f>'Savings and Cost Analysis'!BB30</f>
        <v>278.92666666666668</v>
      </c>
      <c r="D25" s="169">
        <f>'Savings and Cost Analysis'!BK30</f>
        <v>6.6762790697674417</v>
      </c>
      <c r="E25" s="48">
        <f>'Savings and Cost Analysis'!BQ30</f>
        <v>4.7789999869194872</v>
      </c>
      <c r="G25" s="49" t="str">
        <f>'Savings and Cost Analysis'!BV30</f>
        <v>S-All-Lgt-Streetlight-All-All-U</v>
      </c>
      <c r="I25" s="170">
        <f>(-1)*'Savings and Cost Analysis'!BT30</f>
        <v>-9.0053933333333323</v>
      </c>
      <c r="J25" s="169">
        <f>'Savings and Cost Analysis'!BU30</f>
        <v>0.23255813953488372</v>
      </c>
      <c r="Q25" s="51" t="str">
        <f>'Savings and Cost Analysis'!BW30</f>
        <v>L</v>
      </c>
    </row>
    <row r="26" spans="1:17">
      <c r="A26" s="45" t="str">
        <f>'Savings and Cost Analysis'!AQ31</f>
        <v>Exterior Lighting: Walkway - HID 150W - NR</v>
      </c>
      <c r="B26" s="45" t="str">
        <f>'Savings and Cost Analysis'!AT31</f>
        <v>Exterior Lighting: Walkway - HID 150W to LED 29W - NR</v>
      </c>
      <c r="C26" s="46">
        <f>'Savings and Cost Analysis'!BB31</f>
        <v>640.16615646258492</v>
      </c>
      <c r="D26" s="169">
        <f>'Savings and Cost Analysis'!BK31</f>
        <v>13.953488372093023</v>
      </c>
      <c r="E26" s="48">
        <f>'Savings and Cost Analysis'!BQ31</f>
        <v>154.26033291735365</v>
      </c>
      <c r="G26" s="49" t="str">
        <f>'Savings and Cost Analysis'!BV31</f>
        <v>S-All-Lgt-Streetlight-All-All-U</v>
      </c>
      <c r="I26" s="170">
        <f>(-1)*'Savings and Cost Analysis'!BT31</f>
        <v>-39.332506666666667</v>
      </c>
      <c r="J26" s="169">
        <f>'Savings and Cost Analysis'!BU31</f>
        <v>5.5813953488372094</v>
      </c>
      <c r="Q26" s="51" t="str">
        <f>'Savings and Cost Analysis'!BW31</f>
        <v>L</v>
      </c>
    </row>
    <row r="27" spans="1:17">
      <c r="A27" s="45" t="str">
        <f>'Savings and Cost Analysis'!AQ32</f>
        <v>Exterior Lighting: Walkway - CFL 26W - NR</v>
      </c>
      <c r="B27" s="45" t="str">
        <f>'Savings and Cost Analysis'!AT32</f>
        <v>Exterior Lighting: Walkway - CFL 26W to LED 12W - NR</v>
      </c>
      <c r="C27" s="46">
        <f>'Savings and Cost Analysis'!BB32</f>
        <v>68.226666666666659</v>
      </c>
      <c r="D27" s="169">
        <f>'Savings and Cost Analysis'!BK32</f>
        <v>6.6762790697674417</v>
      </c>
      <c r="E27" s="48">
        <f>'Savings and Cost Analysis'!BQ32</f>
        <v>4.0008899869194874</v>
      </c>
      <c r="G27" s="49" t="str">
        <f>'Savings and Cost Analysis'!BV32</f>
        <v>S-All-Lgt-Streetlight-All-All-U</v>
      </c>
      <c r="I27" s="170">
        <f>(-1)*'Savings and Cost Analysis'!BT32</f>
        <v>-9.7835033333333321</v>
      </c>
      <c r="J27" s="169">
        <f>'Savings and Cost Analysis'!BU32</f>
        <v>2.3255813953488373</v>
      </c>
      <c r="Q27" s="51" t="str">
        <f>'Savings and Cost Analysis'!BW32</f>
        <v>L</v>
      </c>
    </row>
    <row r="28" spans="1:17">
      <c r="A28" s="45" t="str">
        <f>'Savings and Cost Analysis'!AQ33</f>
        <v>Exterior Lighting: Walkway - INC 75W - NR</v>
      </c>
      <c r="B28" s="45" t="str">
        <f>'Savings and Cost Analysis'!AT33</f>
        <v>Exterior Lighting: Walkway - INC 75W to LED 12W - NR</v>
      </c>
      <c r="C28" s="46">
        <f>'Savings and Cost Analysis'!BB33</f>
        <v>278.92666666666668</v>
      </c>
      <c r="D28" s="169">
        <f>'Savings and Cost Analysis'!BK33</f>
        <v>6.6762790697674417</v>
      </c>
      <c r="E28" s="48">
        <f>'Savings and Cost Analysis'!BQ33</f>
        <v>4.7789999869194872</v>
      </c>
      <c r="G28" s="49" t="str">
        <f>'Savings and Cost Analysis'!BV33</f>
        <v>S-All-Lgt-Streetlight-All-All-U</v>
      </c>
      <c r="I28" s="170">
        <f>(-1)*'Savings and Cost Analysis'!BT33</f>
        <v>-9.0053933333333323</v>
      </c>
      <c r="J28" s="169">
        <f>'Savings and Cost Analysis'!BU33</f>
        <v>0.23255813953488372</v>
      </c>
      <c r="Q28" s="51" t="str">
        <f>'Savings and Cost Analysis'!BW33</f>
        <v>L</v>
      </c>
    </row>
    <row r="29" spans="1:17">
      <c r="A29" s="45" t="str">
        <f>'Savings and Cost Analysis'!AQ34</f>
        <v>Exterior Lighting: Walkway - HID 150W - Retro</v>
      </c>
      <c r="B29" s="45" t="str">
        <f>'Savings and Cost Analysis'!AT34</f>
        <v>Exterior Lighting: Walkway - HID 150W to LED 29W - Retro</v>
      </c>
      <c r="C29" s="46">
        <f>'Savings and Cost Analysis'!BB34</f>
        <v>640.16615646258492</v>
      </c>
      <c r="D29" s="169">
        <f>'Savings and Cost Analysis'!BK34</f>
        <v>13.953488372093023</v>
      </c>
      <c r="E29" s="48">
        <f>'Savings and Cost Analysis'!BQ34</f>
        <v>210.259506250687</v>
      </c>
      <c r="G29" s="49" t="str">
        <f>'Savings and Cost Analysis'!BV34</f>
        <v>S-All-Lgt-Streetlight-All-All-U</v>
      </c>
      <c r="I29" s="170">
        <f>(-1)*'Savings and Cost Analysis'!BT34</f>
        <v>-39.332506666666667</v>
      </c>
      <c r="J29" s="169">
        <f>'Savings and Cost Analysis'!BU34</f>
        <v>5.5813953488372094</v>
      </c>
      <c r="Q29" s="51" t="str">
        <f>'Savings and Cost Analysis'!BW34</f>
        <v>R</v>
      </c>
    </row>
    <row r="30" spans="1:17">
      <c r="A30" s="45" t="str">
        <f>'Savings and Cost Analysis'!AQ35</f>
        <v>Exterior Lighting: Walkway - CFL 26W - Retro</v>
      </c>
      <c r="B30" s="45" t="str">
        <f>'Savings and Cost Analysis'!AT35</f>
        <v>Exterior Lighting: Walkway - CFL 26W to LED 12W - Retro</v>
      </c>
      <c r="C30" s="46">
        <f>'Savings and Cost Analysis'!BB35</f>
        <v>68.226666666666659</v>
      </c>
      <c r="D30" s="169">
        <f>'Savings and Cost Analysis'!BK35</f>
        <v>6.6762790697674417</v>
      </c>
      <c r="E30" s="48">
        <f>'Savings and Cost Analysis'!BQ35</f>
        <v>30.451059986919489</v>
      </c>
      <c r="G30" s="49" t="str">
        <f>'Savings and Cost Analysis'!BV35</f>
        <v>S-All-Lgt-Streetlight-All-All-U</v>
      </c>
      <c r="I30" s="170">
        <f>(-1)*'Savings and Cost Analysis'!BT35</f>
        <v>-9.7835033333333321</v>
      </c>
      <c r="J30" s="169">
        <f>'Savings and Cost Analysis'!BU35</f>
        <v>2.3255813953488373</v>
      </c>
      <c r="Q30" s="51" t="str">
        <f>'Savings and Cost Analysis'!BW35</f>
        <v>R</v>
      </c>
    </row>
    <row r="31" spans="1:17">
      <c r="A31" s="45" t="str">
        <f>'Savings and Cost Analysis'!AQ36</f>
        <v>Exterior Lighting: Walkway - INC 75W - Retro</v>
      </c>
      <c r="B31" s="45" t="str">
        <f>'Savings and Cost Analysis'!AT36</f>
        <v>Exterior Lighting: Walkway - INC 75W to LED 12W - Retro</v>
      </c>
      <c r="C31" s="46">
        <f>'Savings and Cost Analysis'!BB36</f>
        <v>278.92666666666668</v>
      </c>
      <c r="D31" s="169">
        <f>'Savings and Cost Analysis'!BK36</f>
        <v>6.6762790697674417</v>
      </c>
      <c r="E31" s="48">
        <f>'Savings and Cost Analysis'!BQ36</f>
        <v>30.451059986919489</v>
      </c>
      <c r="G31" s="49" t="str">
        <f>'Savings and Cost Analysis'!BV36</f>
        <v>S-All-Lgt-Streetlight-All-All-U</v>
      </c>
      <c r="I31" s="170">
        <f>(-1)*'Savings and Cost Analysis'!BT36</f>
        <v>-9.0053933333333323</v>
      </c>
      <c r="J31" s="169">
        <f>'Savings and Cost Analysis'!BU36</f>
        <v>0.23255813953488372</v>
      </c>
      <c r="Q31" s="51" t="str">
        <f>'Savings and Cost Analysis'!BW36</f>
        <v>R</v>
      </c>
    </row>
    <row r="34" spans="1:131">
      <c r="A34" s="24"/>
      <c r="B34" s="24"/>
      <c r="C34" s="24"/>
      <c r="D34" s="24"/>
      <c r="E34" s="24"/>
      <c r="F34" s="24"/>
      <c r="G34" s="24"/>
      <c r="H34" s="24"/>
      <c r="I34" s="24"/>
      <c r="J34" s="24"/>
      <c r="K34" s="24"/>
      <c r="L34" s="24"/>
      <c r="M34" s="24"/>
      <c r="N34" s="24"/>
      <c r="O34" s="24"/>
      <c r="P34" s="24"/>
      <c r="Q34" s="24"/>
      <c r="R34" s="24"/>
      <c r="S34" s="24"/>
      <c r="T34" s="24"/>
      <c r="U34" s="24"/>
      <c r="V34" s="24"/>
      <c r="W34" s="24"/>
      <c r="X34" s="24"/>
      <c r="Y34" s="24"/>
      <c r="Z34" s="24"/>
      <c r="AA34" s="24"/>
      <c r="AB34" s="24"/>
      <c r="AC34" s="24"/>
      <c r="AD34" s="24"/>
      <c r="AE34" s="24"/>
      <c r="AF34" s="24"/>
      <c r="AG34" s="24"/>
      <c r="AH34" s="24"/>
      <c r="AI34" s="24"/>
      <c r="AJ34" s="24"/>
      <c r="AK34" s="24"/>
      <c r="AL34" s="24"/>
      <c r="AM34" s="24"/>
      <c r="AN34" s="24"/>
      <c r="AO34" s="24"/>
      <c r="AP34" s="24"/>
      <c r="AQ34" s="24"/>
      <c r="AR34" s="24"/>
      <c r="AS34" s="24"/>
      <c r="AT34" s="24"/>
      <c r="AU34" s="24"/>
      <c r="AV34" s="24"/>
      <c r="AW34" s="24"/>
      <c r="AX34" s="24"/>
      <c r="AY34" s="24"/>
      <c r="AZ34" s="24"/>
      <c r="BA34" s="24"/>
      <c r="BB34" s="24"/>
      <c r="BC34" s="24"/>
      <c r="BD34" s="24"/>
      <c r="BE34" s="24"/>
      <c r="BF34" s="24"/>
      <c r="BG34" s="24"/>
      <c r="BH34" s="24"/>
      <c r="BI34" s="24"/>
      <c r="BJ34" s="24"/>
      <c r="BK34" s="24"/>
      <c r="BL34" s="24"/>
      <c r="BM34" s="24"/>
      <c r="BN34" s="24"/>
      <c r="BO34" s="24"/>
      <c r="BP34" s="24"/>
      <c r="BQ34" s="24"/>
      <c r="BR34" s="24"/>
      <c r="BS34" s="24"/>
      <c r="BT34" s="24"/>
      <c r="BU34" s="24"/>
      <c r="BV34" s="24"/>
      <c r="BW34" s="24"/>
      <c r="BX34" s="24"/>
      <c r="BY34" s="24"/>
      <c r="BZ34" s="24"/>
      <c r="CA34" s="24"/>
      <c r="CB34" s="24"/>
      <c r="CC34" s="24"/>
      <c r="CD34" s="24"/>
      <c r="CE34" s="24"/>
      <c r="CF34" s="24"/>
      <c r="CG34" s="24"/>
      <c r="CH34" s="24"/>
      <c r="CI34" s="24"/>
      <c r="CJ34" s="24"/>
      <c r="CK34" s="24"/>
      <c r="CL34" s="24"/>
      <c r="CM34" s="24"/>
      <c r="CN34" s="24"/>
      <c r="CO34" s="24"/>
      <c r="CP34" s="24"/>
      <c r="CQ34" s="24"/>
      <c r="CR34" s="24"/>
      <c r="CS34" s="24"/>
      <c r="CT34" s="24"/>
      <c r="CU34" s="24"/>
      <c r="CV34" s="24"/>
      <c r="CW34" s="24"/>
      <c r="CX34" s="24"/>
      <c r="CY34" s="24"/>
      <c r="CZ34" s="24"/>
      <c r="DA34" s="24"/>
      <c r="DB34" s="24"/>
      <c r="DC34" s="24"/>
      <c r="DD34" s="24"/>
      <c r="DE34" s="24"/>
      <c r="DF34" s="24"/>
      <c r="DG34" s="24"/>
      <c r="DH34" s="24"/>
      <c r="DI34" s="24"/>
      <c r="DJ34" s="24"/>
      <c r="DK34" s="24"/>
      <c r="DL34" s="24"/>
      <c r="DM34" s="24"/>
      <c r="DN34" s="24"/>
      <c r="DO34" s="24"/>
      <c r="DP34" s="24"/>
      <c r="DQ34" s="24"/>
      <c r="DR34" s="24"/>
      <c r="DS34" s="24"/>
      <c r="DT34" s="24"/>
      <c r="DU34" s="24"/>
      <c r="DV34" s="24"/>
      <c r="DW34" s="24"/>
      <c r="DX34" s="24"/>
      <c r="DY34" s="24"/>
      <c r="DZ34" s="24"/>
      <c r="EA34" s="24"/>
    </row>
    <row r="35" spans="1:131">
      <c r="A35" s="201" t="s">
        <v>437</v>
      </c>
      <c r="B35" s="202"/>
      <c r="C35" s="24"/>
      <c r="D35" s="24"/>
      <c r="E35" s="24"/>
      <c r="F35" s="24"/>
      <c r="G35" s="2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c r="AP35" s="24"/>
      <c r="AQ35" s="24"/>
      <c r="AR35" s="24"/>
      <c r="AS35" s="24"/>
      <c r="AT35" s="24"/>
      <c r="AU35" s="24"/>
      <c r="AV35" s="24"/>
      <c r="AW35" s="24"/>
      <c r="AX35" s="24"/>
      <c r="AY35" s="24"/>
      <c r="AZ35" s="24"/>
      <c r="BA35" s="24"/>
      <c r="BB35" s="24"/>
      <c r="BC35" s="24"/>
      <c r="BD35" s="24"/>
      <c r="BE35" s="24"/>
      <c r="BF35" s="24"/>
      <c r="BG35" s="24"/>
      <c r="BH35" s="24"/>
      <c r="BI35" s="24"/>
      <c r="BJ35" s="24"/>
      <c r="BK35" s="24"/>
      <c r="BL35" s="24"/>
      <c r="BM35" s="24"/>
      <c r="BN35" s="24"/>
      <c r="BO35" s="24"/>
      <c r="BP35" s="24"/>
      <c r="BQ35" s="24"/>
      <c r="BR35" s="24"/>
      <c r="BS35" s="24"/>
      <c r="BT35" s="24"/>
      <c r="BU35" s="24"/>
      <c r="BV35" s="24"/>
      <c r="BW35" s="24"/>
      <c r="BX35" s="24"/>
      <c r="BY35" s="24"/>
      <c r="BZ35" s="24"/>
      <c r="CA35" s="24"/>
      <c r="CB35" s="24"/>
      <c r="CC35" s="24"/>
      <c r="CD35" s="24"/>
      <c r="CE35" s="24"/>
      <c r="CF35" s="24"/>
      <c r="CG35" s="24"/>
      <c r="CH35" s="24"/>
      <c r="CI35" s="24"/>
      <c r="CJ35" s="24"/>
      <c r="CK35" s="24"/>
      <c r="CL35" s="24"/>
      <c r="CM35" s="24"/>
      <c r="CN35" s="24"/>
      <c r="CO35" s="24"/>
      <c r="CP35" s="24"/>
      <c r="CQ35" s="24"/>
      <c r="CR35" s="24"/>
      <c r="CS35" s="24"/>
      <c r="CT35" s="24"/>
      <c r="CU35" s="24"/>
      <c r="CV35" s="24"/>
      <c r="CW35" s="24"/>
      <c r="CX35" s="24"/>
      <c r="CY35" s="24"/>
      <c r="CZ35" s="24"/>
      <c r="DA35" s="24"/>
      <c r="DB35" s="24"/>
      <c r="DC35" s="24"/>
      <c r="DD35" s="24"/>
      <c r="DE35" s="24"/>
      <c r="DF35" s="24"/>
      <c r="DG35" s="24"/>
      <c r="DH35" s="24"/>
      <c r="DI35" s="24"/>
      <c r="DJ35" s="24"/>
      <c r="DK35" s="24"/>
      <c r="DL35" s="24"/>
      <c r="DM35" s="24"/>
      <c r="DN35" s="24"/>
      <c r="DO35" s="24"/>
      <c r="DP35" s="24"/>
      <c r="DQ35" s="24"/>
      <c r="DR35" s="24"/>
      <c r="DS35" s="24"/>
      <c r="DT35" s="24"/>
      <c r="DU35" s="24"/>
      <c r="DV35" s="24"/>
      <c r="DW35" s="24"/>
      <c r="DX35" s="24"/>
      <c r="DY35" s="24"/>
      <c r="DZ35" s="24"/>
      <c r="EA35" s="24"/>
    </row>
    <row r="36" spans="1:131">
      <c r="A36" s="24" t="s">
        <v>438</v>
      </c>
      <c r="B36" s="24" t="s">
        <v>439</v>
      </c>
      <c r="C36" s="24"/>
      <c r="D36" s="24"/>
      <c r="E36" s="24"/>
      <c r="F36" s="24"/>
      <c r="G36" s="24"/>
      <c r="H36" s="24"/>
      <c r="I36" s="24"/>
      <c r="J36" s="24"/>
      <c r="K36" s="24"/>
      <c r="L36" s="24"/>
      <c r="M36" s="24"/>
      <c r="N36" s="24"/>
      <c r="O36" s="24"/>
      <c r="P36" s="24"/>
      <c r="Q36" s="24"/>
      <c r="R36" s="24"/>
      <c r="S36" s="24"/>
      <c r="T36" s="24"/>
      <c r="U36" s="24"/>
      <c r="V36" s="24"/>
      <c r="W36" s="24"/>
      <c r="X36" s="24"/>
      <c r="Y36" s="24"/>
      <c r="Z36" s="24"/>
      <c r="AA36" s="24"/>
      <c r="AB36" s="24"/>
      <c r="AC36" s="24"/>
      <c r="AD36" s="24"/>
      <c r="AE36" s="24"/>
      <c r="AF36" s="24"/>
      <c r="AG36" s="24"/>
      <c r="AH36" s="24"/>
      <c r="AI36" s="24"/>
      <c r="AJ36" s="24"/>
      <c r="AK36" s="24"/>
      <c r="AL36" s="24"/>
      <c r="AM36" s="24"/>
      <c r="AN36" s="24"/>
      <c r="AO36" s="24"/>
      <c r="AP36" s="24"/>
      <c r="AQ36" s="24"/>
      <c r="AR36" s="24"/>
      <c r="AS36" s="24"/>
      <c r="AT36" s="24"/>
      <c r="AU36" s="24"/>
      <c r="AV36" s="24"/>
      <c r="AW36" s="24"/>
      <c r="AX36" s="24"/>
      <c r="AY36" s="24"/>
      <c r="AZ36" s="24"/>
      <c r="BA36" s="24"/>
      <c r="BB36" s="24"/>
      <c r="BC36" s="24"/>
      <c r="BD36" s="24"/>
      <c r="BE36" s="24"/>
      <c r="BF36" s="24"/>
      <c r="BG36" s="24"/>
      <c r="BH36" s="24"/>
      <c r="BI36" s="24"/>
      <c r="BJ36" s="24"/>
      <c r="BK36" s="24"/>
      <c r="BL36" s="24"/>
      <c r="BM36" s="24"/>
      <c r="BN36" s="24"/>
      <c r="BO36" s="24"/>
      <c r="BP36" s="24"/>
      <c r="BQ36" s="24"/>
      <c r="BR36" s="24"/>
      <c r="BS36" s="24"/>
      <c r="BT36" s="24"/>
      <c r="BU36" s="24"/>
      <c r="BV36" s="24"/>
      <c r="BW36" s="24"/>
      <c r="BX36" s="24"/>
      <c r="BY36" s="24"/>
      <c r="BZ36" s="24"/>
      <c r="CA36" s="24"/>
      <c r="CB36" s="24"/>
      <c r="CC36" s="24"/>
      <c r="CD36" s="24"/>
      <c r="CE36" s="24"/>
      <c r="CF36" s="24"/>
      <c r="CG36" s="24"/>
      <c r="CH36" s="24"/>
      <c r="CI36" s="24"/>
      <c r="CJ36" s="24"/>
      <c r="CK36" s="24"/>
      <c r="CL36" s="24"/>
      <c r="CM36" s="24"/>
      <c r="CN36" s="24"/>
      <c r="CO36" s="24"/>
      <c r="CP36" s="24"/>
      <c r="CQ36" s="24"/>
      <c r="CR36" s="24"/>
      <c r="CS36" s="24"/>
      <c r="CT36" s="24"/>
      <c r="CU36" s="24"/>
      <c r="CV36" s="24"/>
      <c r="CW36" s="24"/>
      <c r="CX36" s="24"/>
      <c r="CY36" s="24"/>
      <c r="CZ36" s="24"/>
      <c r="DA36" s="24"/>
      <c r="DB36" s="24"/>
      <c r="DC36" s="24"/>
      <c r="DD36" s="24"/>
      <c r="DE36" s="24"/>
      <c r="DF36" s="24"/>
      <c r="DG36" s="24"/>
      <c r="DH36" s="24"/>
      <c r="DI36" s="24"/>
      <c r="DJ36" s="24"/>
      <c r="DK36" s="24"/>
      <c r="DL36" s="24"/>
      <c r="DM36" s="24"/>
      <c r="DN36" s="24"/>
      <c r="DO36" s="24"/>
      <c r="DP36" s="24"/>
      <c r="DQ36" s="24"/>
      <c r="DR36" s="24"/>
      <c r="DS36" s="24"/>
      <c r="DT36" s="24"/>
      <c r="DU36" s="24"/>
      <c r="DV36" s="24"/>
      <c r="DW36" s="24"/>
      <c r="DX36" s="24"/>
      <c r="DY36" s="24"/>
      <c r="DZ36" s="24"/>
      <c r="EA36" s="24"/>
    </row>
    <row r="37" spans="1:131">
      <c r="A37" s="24" t="s">
        <v>440</v>
      </c>
      <c r="B37" s="24" t="s">
        <v>1061</v>
      </c>
      <c r="C37" s="24"/>
      <c r="D37" s="24"/>
      <c r="E37" s="24"/>
      <c r="F37" s="24"/>
      <c r="G37" s="24"/>
      <c r="H37" s="24"/>
      <c r="I37" s="24"/>
      <c r="J37" s="24"/>
      <c r="K37" s="24"/>
      <c r="L37" s="24"/>
      <c r="M37" s="24"/>
      <c r="N37" s="24"/>
      <c r="O37" s="24"/>
      <c r="P37" s="24"/>
      <c r="Q37" s="24"/>
      <c r="R37" s="24"/>
      <c r="S37" s="24"/>
      <c r="T37" s="24"/>
      <c r="U37" s="24"/>
      <c r="V37" s="24"/>
      <c r="W37" s="24"/>
      <c r="X37" s="24"/>
      <c r="Y37" s="24"/>
      <c r="Z37" s="24"/>
      <c r="AA37" s="24"/>
      <c r="AB37" s="24"/>
      <c r="AC37" s="24"/>
      <c r="AD37" s="24"/>
      <c r="AE37" s="24"/>
      <c r="AF37" s="24"/>
      <c r="AG37" s="24"/>
      <c r="AH37" s="24"/>
      <c r="AI37" s="24"/>
      <c r="AJ37" s="24"/>
      <c r="AK37" s="24"/>
      <c r="AL37" s="24"/>
      <c r="AM37" s="24"/>
      <c r="AN37" s="24"/>
      <c r="AO37" s="24"/>
      <c r="AP37" s="24"/>
      <c r="AQ37" s="24"/>
      <c r="AR37" s="24"/>
      <c r="AS37" s="24"/>
      <c r="AT37" s="24"/>
      <c r="AU37" s="24"/>
      <c r="AV37" s="24"/>
      <c r="AW37" s="24"/>
      <c r="AX37" s="24"/>
      <c r="AY37" s="24"/>
      <c r="AZ37" s="24"/>
      <c r="BA37" s="24"/>
      <c r="BB37" s="24"/>
      <c r="BC37" s="24"/>
      <c r="BD37" s="24"/>
      <c r="BE37" s="24"/>
      <c r="BF37" s="24"/>
      <c r="BG37" s="24"/>
      <c r="BH37" s="24"/>
      <c r="BI37" s="24"/>
      <c r="BJ37" s="24"/>
      <c r="BK37" s="24"/>
      <c r="BL37" s="24"/>
      <c r="BM37" s="24"/>
      <c r="BN37" s="24"/>
      <c r="BO37" s="24"/>
      <c r="BP37" s="24"/>
      <c r="BQ37" s="24"/>
      <c r="BR37" s="24"/>
      <c r="BS37" s="24"/>
      <c r="BT37" s="24"/>
      <c r="BU37" s="24"/>
      <c r="BV37" s="24"/>
      <c r="BW37" s="24"/>
      <c r="BX37" s="24"/>
      <c r="BY37" s="24"/>
      <c r="BZ37" s="24"/>
      <c r="CA37" s="24"/>
      <c r="CB37" s="24"/>
      <c r="CC37" s="24"/>
      <c r="CD37" s="24"/>
      <c r="CE37" s="24"/>
      <c r="CF37" s="24"/>
      <c r="CG37" s="24"/>
      <c r="CH37" s="24"/>
      <c r="CI37" s="24"/>
      <c r="CJ37" s="24"/>
      <c r="CK37" s="24"/>
      <c r="CL37" s="24"/>
      <c r="CM37" s="24"/>
      <c r="CN37" s="24"/>
      <c r="CO37" s="24"/>
      <c r="CP37" s="24"/>
      <c r="CQ37" s="24"/>
      <c r="CR37" s="24"/>
      <c r="CS37" s="24"/>
      <c r="CT37" s="24"/>
      <c r="CU37" s="24"/>
      <c r="CV37" s="24"/>
      <c r="CW37" s="24"/>
      <c r="CX37" s="24"/>
      <c r="CY37" s="24"/>
      <c r="CZ37" s="24"/>
      <c r="DA37" s="24"/>
      <c r="DB37" s="24"/>
      <c r="DC37" s="24"/>
      <c r="DD37" s="24"/>
      <c r="DE37" s="24"/>
      <c r="DF37" s="24"/>
      <c r="DG37" s="24"/>
      <c r="DH37" s="24"/>
      <c r="DI37" s="24"/>
      <c r="DJ37" s="24"/>
      <c r="DK37" s="24"/>
      <c r="DL37" s="24"/>
      <c r="DM37" s="24"/>
      <c r="DN37" s="24"/>
      <c r="DO37" s="24"/>
      <c r="DP37" s="24"/>
      <c r="DQ37" s="24"/>
      <c r="DR37" s="24"/>
      <c r="DS37" s="24"/>
      <c r="DT37" s="24"/>
      <c r="DU37" s="24"/>
      <c r="DV37" s="24"/>
      <c r="DW37" s="24"/>
      <c r="DX37" s="24"/>
      <c r="DY37" s="24"/>
      <c r="DZ37" s="24"/>
      <c r="EA37" s="24"/>
    </row>
    <row r="38" spans="1:131">
      <c r="A38" s="24"/>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c r="AN38" s="24"/>
      <c r="AO38" s="24"/>
      <c r="AP38" s="24"/>
      <c r="AQ38" s="24"/>
      <c r="AR38" s="24"/>
      <c r="AS38" s="24"/>
      <c r="AT38" s="24"/>
      <c r="AU38" s="24"/>
      <c r="AV38" s="24"/>
      <c r="AW38" s="24"/>
      <c r="AX38" s="24"/>
      <c r="AY38" s="24"/>
      <c r="AZ38" s="24"/>
      <c r="BA38" s="24"/>
      <c r="BB38" s="24"/>
      <c r="BC38" s="24"/>
      <c r="BD38" s="24"/>
      <c r="BE38" s="24"/>
      <c r="BF38" s="24"/>
      <c r="BG38" s="24"/>
      <c r="BH38" s="24"/>
      <c r="BI38" s="24"/>
      <c r="BJ38" s="24"/>
      <c r="BK38" s="24"/>
      <c r="BL38" s="24"/>
      <c r="BM38" s="24"/>
      <c r="BN38" s="24"/>
      <c r="BO38" s="24"/>
      <c r="BP38" s="24"/>
      <c r="BQ38" s="24"/>
      <c r="BR38" s="24"/>
      <c r="BS38" s="24"/>
      <c r="BT38" s="24"/>
      <c r="BU38" s="24"/>
      <c r="BV38" s="24"/>
      <c r="BW38" s="24"/>
      <c r="BX38" s="24"/>
      <c r="BY38" s="24"/>
      <c r="BZ38" s="24"/>
      <c r="CA38" s="24"/>
      <c r="CB38" s="24"/>
      <c r="CC38" s="24"/>
      <c r="CD38" s="24"/>
      <c r="CE38" s="24"/>
      <c r="CF38" s="24"/>
      <c r="CG38" s="24"/>
      <c r="CH38" s="24"/>
      <c r="CI38" s="24"/>
      <c r="CJ38" s="24"/>
      <c r="CK38" s="24"/>
      <c r="CL38" s="24"/>
      <c r="CM38" s="24"/>
      <c r="CN38" s="24"/>
      <c r="CO38" s="24"/>
      <c r="CP38" s="24"/>
      <c r="CQ38" s="24"/>
      <c r="CR38" s="24"/>
      <c r="CS38" s="24"/>
      <c r="CT38" s="24"/>
      <c r="CU38" s="24"/>
      <c r="CV38" s="24"/>
      <c r="CW38" s="24"/>
      <c r="CX38" s="24"/>
      <c r="CY38" s="24"/>
      <c r="CZ38" s="24"/>
      <c r="DA38" s="24"/>
      <c r="DB38" s="24"/>
      <c r="DC38" s="24"/>
      <c r="DD38" s="24"/>
      <c r="DE38" s="24"/>
      <c r="DF38" s="24"/>
      <c r="DG38" s="24"/>
      <c r="DH38" s="24"/>
      <c r="DI38" s="24"/>
      <c r="DJ38" s="24"/>
      <c r="DK38" s="24"/>
      <c r="DL38" s="24"/>
      <c r="DM38" s="24"/>
      <c r="DN38" s="24"/>
      <c r="DO38" s="24"/>
      <c r="DP38" s="24"/>
      <c r="DQ38" s="24"/>
      <c r="DR38" s="24"/>
      <c r="DS38" s="24"/>
      <c r="DT38" s="24"/>
      <c r="DU38" s="24"/>
      <c r="DV38" s="24"/>
      <c r="DW38" s="24"/>
      <c r="DX38" s="24"/>
      <c r="DY38" s="24"/>
      <c r="DZ38" s="24"/>
      <c r="EA38" s="24"/>
    </row>
    <row r="39" spans="1:131" ht="13.5" thickBot="1">
      <c r="A39" s="187" t="s">
        <v>441</v>
      </c>
      <c r="B39" s="203"/>
      <c r="C39" s="203"/>
      <c r="D39" s="203"/>
      <c r="E39" s="203"/>
      <c r="F39" s="203"/>
      <c r="G39" s="203"/>
      <c r="H39" s="203"/>
      <c r="I39" s="203"/>
      <c r="J39" s="203"/>
      <c r="K39" s="203"/>
      <c r="L39" s="203"/>
      <c r="M39" s="203"/>
      <c r="N39" s="203"/>
      <c r="O39" s="203"/>
      <c r="P39" s="203"/>
      <c r="Q39" s="203"/>
      <c r="R39" s="203"/>
      <c r="S39" s="203"/>
      <c r="T39" s="203"/>
      <c r="U39" s="203"/>
      <c r="V39" s="203"/>
      <c r="W39" s="203"/>
      <c r="X39" s="203"/>
      <c r="Y39" s="203"/>
      <c r="Z39" s="203"/>
      <c r="AA39" s="203"/>
      <c r="AB39" s="203"/>
      <c r="AC39" s="203"/>
      <c r="AD39" s="203"/>
      <c r="AE39" s="203"/>
      <c r="AF39" s="203"/>
      <c r="AG39" s="203"/>
      <c r="AH39" s="203"/>
      <c r="AI39" s="188"/>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row>
    <row r="40" spans="1:131">
      <c r="A40" s="24"/>
      <c r="B40" s="204" t="s">
        <v>442</v>
      </c>
      <c r="C40" s="205"/>
      <c r="D40" s="205" t="s">
        <v>442</v>
      </c>
      <c r="E40" s="206"/>
      <c r="F40" s="24"/>
      <c r="G40" s="204" t="s">
        <v>443</v>
      </c>
      <c r="H40" s="205"/>
      <c r="I40" s="205"/>
      <c r="J40" s="205"/>
      <c r="K40" s="205"/>
      <c r="L40" s="205"/>
      <c r="M40" s="205"/>
      <c r="N40" s="205"/>
      <c r="O40" s="206"/>
      <c r="P40" s="24"/>
      <c r="Q40" s="204" t="s">
        <v>444</v>
      </c>
      <c r="R40" s="205"/>
      <c r="S40" s="205"/>
      <c r="T40" s="205"/>
      <c r="U40" s="206"/>
      <c r="V40" s="24"/>
      <c r="W40" s="204" t="s">
        <v>445</v>
      </c>
      <c r="X40" s="206"/>
      <c r="Y40" s="24"/>
      <c r="Z40" s="204" t="s">
        <v>446</v>
      </c>
      <c r="AA40" s="205"/>
      <c r="AB40" s="206"/>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row>
    <row r="41" spans="1:131">
      <c r="A41" s="24"/>
      <c r="B41" s="207" t="s">
        <v>447</v>
      </c>
      <c r="C41" s="208" t="s">
        <v>448</v>
      </c>
      <c r="D41" s="208" t="s">
        <v>447</v>
      </c>
      <c r="E41" s="209" t="s">
        <v>448</v>
      </c>
      <c r="F41" s="24"/>
      <c r="G41" s="207" t="s">
        <v>449</v>
      </c>
      <c r="H41" s="208" t="s">
        <v>1054</v>
      </c>
      <c r="I41" s="208"/>
      <c r="J41" s="208"/>
      <c r="K41" s="208" t="s">
        <v>450</v>
      </c>
      <c r="L41" s="208"/>
      <c r="M41" s="208"/>
      <c r="N41" s="208"/>
      <c r="O41" s="209"/>
      <c r="P41" s="24"/>
      <c r="Q41" s="207"/>
      <c r="R41" s="208" t="s">
        <v>451</v>
      </c>
      <c r="S41" s="208" t="s">
        <v>452</v>
      </c>
      <c r="T41" s="208" t="s">
        <v>453</v>
      </c>
      <c r="U41" s="209" t="s">
        <v>454</v>
      </c>
      <c r="V41" s="24"/>
      <c r="W41" s="207" t="s">
        <v>455</v>
      </c>
      <c r="X41" s="209">
        <v>20</v>
      </c>
      <c r="Y41" s="24"/>
      <c r="Z41" s="207"/>
      <c r="AA41" s="208" t="s">
        <v>448</v>
      </c>
      <c r="AB41" s="209" t="s">
        <v>456</v>
      </c>
      <c r="AC41" s="24"/>
      <c r="AD41" s="24"/>
      <c r="AE41" s="24"/>
      <c r="AF41" s="24"/>
      <c r="AG41" s="24"/>
      <c r="AH41" s="24"/>
      <c r="AI41" s="24"/>
      <c r="AJ41" s="24"/>
      <c r="AK41" s="24"/>
      <c r="AL41" s="24"/>
      <c r="AM41" s="24"/>
      <c r="AN41" s="24"/>
      <c r="AO41" s="24"/>
      <c r="AP41" s="24"/>
      <c r="AQ41" s="24"/>
      <c r="AR41" s="24"/>
      <c r="AS41" s="24"/>
      <c r="AT41" s="24"/>
      <c r="AU41" s="24"/>
      <c r="AV41" s="24"/>
      <c r="AW41" s="24"/>
      <c r="AX41" s="24"/>
      <c r="AY41" s="24"/>
      <c r="AZ41" s="24"/>
      <c r="BA41" s="24"/>
      <c r="BB41" s="24"/>
      <c r="BC41" s="24"/>
      <c r="BD41" s="24"/>
      <c r="BE41" s="24"/>
      <c r="BF41" s="24"/>
      <c r="BG41" s="24"/>
      <c r="BH41" s="24"/>
      <c r="BI41" s="24"/>
      <c r="BJ41" s="24"/>
      <c r="BK41" s="24"/>
      <c r="BL41" s="24"/>
      <c r="BM41" s="24"/>
      <c r="BN41" s="24"/>
      <c r="BO41" s="24"/>
      <c r="BP41" s="24"/>
      <c r="BQ41" s="24"/>
      <c r="BR41" s="24"/>
      <c r="BS41" s="24"/>
      <c r="BT41" s="24"/>
      <c r="BU41" s="24"/>
      <c r="BV41" s="24"/>
      <c r="BW41" s="24"/>
      <c r="BX41" s="24"/>
      <c r="BY41" s="24"/>
      <c r="BZ41" s="24"/>
      <c r="CA41" s="24"/>
      <c r="CB41" s="24"/>
      <c r="CC41" s="24"/>
      <c r="CD41" s="24"/>
      <c r="CE41" s="24"/>
      <c r="CF41" s="24"/>
      <c r="CG41" s="24"/>
      <c r="CH41" s="24"/>
      <c r="CI41" s="24"/>
      <c r="CJ41" s="24"/>
      <c r="CK41" s="24"/>
      <c r="CL41" s="24"/>
      <c r="CM41" s="24"/>
      <c r="CN41" s="24"/>
      <c r="CO41" s="24"/>
      <c r="CP41" s="24"/>
      <c r="CQ41" s="24"/>
      <c r="CR41" s="24"/>
      <c r="CS41" s="24"/>
      <c r="CT41" s="24"/>
      <c r="CU41" s="24"/>
      <c r="CV41" s="24"/>
      <c r="CW41" s="24"/>
      <c r="CX41" s="24"/>
      <c r="CY41" s="24"/>
      <c r="CZ41" s="24"/>
      <c r="DA41" s="24"/>
      <c r="DB41" s="24"/>
      <c r="DC41" s="24"/>
      <c r="DD41" s="24"/>
      <c r="DE41" s="24"/>
      <c r="DF41" s="24"/>
      <c r="DG41" s="24"/>
      <c r="DH41" s="24"/>
      <c r="DI41" s="24"/>
      <c r="DJ41" s="24"/>
      <c r="DK41" s="24"/>
      <c r="DL41" s="24"/>
      <c r="DM41" s="24"/>
      <c r="DN41" s="24"/>
      <c r="DO41" s="24"/>
      <c r="DP41" s="24"/>
      <c r="DQ41" s="24"/>
      <c r="DR41" s="24"/>
      <c r="DS41" s="24"/>
      <c r="DT41" s="24"/>
      <c r="DU41" s="24"/>
      <c r="DV41" s="24"/>
      <c r="DW41" s="24"/>
      <c r="DX41" s="24"/>
      <c r="DY41" s="24"/>
      <c r="DZ41" s="24"/>
      <c r="EA41" s="24"/>
    </row>
    <row r="42" spans="1:131">
      <c r="A42" s="24"/>
      <c r="B42" s="207" t="s">
        <v>457</v>
      </c>
      <c r="C42" s="208" t="s">
        <v>458</v>
      </c>
      <c r="D42" s="208" t="s">
        <v>457</v>
      </c>
      <c r="E42" s="209" t="s">
        <v>458</v>
      </c>
      <c r="F42" s="24"/>
      <c r="G42" s="207" t="s">
        <v>459</v>
      </c>
      <c r="H42" s="208" t="s">
        <v>460</v>
      </c>
      <c r="I42" s="208"/>
      <c r="J42" s="208"/>
      <c r="K42" s="208" t="s">
        <v>461</v>
      </c>
      <c r="L42" s="208"/>
      <c r="M42" s="208"/>
      <c r="N42" s="208"/>
      <c r="O42" s="209"/>
      <c r="P42" s="24"/>
      <c r="Q42" s="207" t="s">
        <v>462</v>
      </c>
      <c r="R42" s="208">
        <v>6.8012888465852586E-2</v>
      </c>
      <c r="S42" s="208">
        <v>4.387844424080023E-2</v>
      </c>
      <c r="T42" s="208">
        <v>5.3289007766645871E-2</v>
      </c>
      <c r="U42" s="209">
        <v>5.447903102274565E-2</v>
      </c>
      <c r="V42" s="24"/>
      <c r="W42" s="207" t="s">
        <v>463</v>
      </c>
      <c r="X42" s="209">
        <v>2016</v>
      </c>
      <c r="Y42" s="24"/>
      <c r="Z42" s="207" t="s">
        <v>464</v>
      </c>
      <c r="AA42" s="208">
        <v>4.03890184699085E-3</v>
      </c>
      <c r="AB42" s="209">
        <v>0.01</v>
      </c>
      <c r="AC42" s="24"/>
      <c r="AD42" s="24"/>
      <c r="AE42" s="24"/>
      <c r="AF42" s="24"/>
      <c r="AG42" s="24"/>
      <c r="AH42" s="24"/>
      <c r="AI42" s="24"/>
      <c r="AJ42" s="24"/>
      <c r="AK42" s="24"/>
      <c r="AL42" s="24"/>
      <c r="AM42" s="24"/>
      <c r="AN42" s="24"/>
      <c r="AO42" s="24"/>
      <c r="AP42" s="24"/>
      <c r="AQ42" s="24"/>
      <c r="AR42" s="24"/>
      <c r="AS42" s="24"/>
      <c r="AT42" s="24"/>
      <c r="AU42" s="24"/>
      <c r="AV42" s="24"/>
      <c r="AW42" s="24"/>
      <c r="AX42" s="24"/>
      <c r="AY42" s="24"/>
      <c r="AZ42" s="24"/>
      <c r="BA42" s="24"/>
      <c r="BB42" s="24"/>
      <c r="BC42" s="24"/>
      <c r="BD42" s="24"/>
      <c r="BE42" s="24"/>
      <c r="BF42" s="24"/>
      <c r="BG42" s="24"/>
      <c r="BH42" s="24"/>
      <c r="BI42" s="24"/>
      <c r="BJ42" s="24"/>
      <c r="BK42" s="24"/>
      <c r="BL42" s="24"/>
      <c r="BM42" s="24"/>
      <c r="BN42" s="24"/>
      <c r="BO42" s="24"/>
      <c r="BP42" s="24"/>
      <c r="BQ42" s="24"/>
      <c r="BR42" s="24"/>
      <c r="BS42" s="24"/>
      <c r="BT42" s="24"/>
      <c r="BU42" s="24"/>
      <c r="BV42" s="24"/>
      <c r="BW42" s="24"/>
      <c r="BX42" s="24"/>
      <c r="BY42" s="24"/>
      <c r="BZ42" s="24"/>
      <c r="CA42" s="24"/>
      <c r="CB42" s="24"/>
      <c r="CC42" s="24"/>
      <c r="CD42" s="24"/>
      <c r="CE42" s="24"/>
      <c r="CF42" s="24"/>
      <c r="CG42" s="24"/>
      <c r="CH42" s="24"/>
      <c r="CI42" s="24"/>
      <c r="CJ42" s="24"/>
      <c r="CK42" s="24"/>
      <c r="CL42" s="24"/>
      <c r="CM42" s="24"/>
      <c r="CN42" s="24"/>
      <c r="CO42" s="24"/>
      <c r="CP42" s="24"/>
      <c r="CQ42" s="24"/>
      <c r="CR42" s="24"/>
      <c r="CS42" s="24"/>
      <c r="CT42" s="24"/>
      <c r="CU42" s="24"/>
      <c r="CV42" s="24"/>
      <c r="CW42" s="24"/>
      <c r="CX42" s="24"/>
      <c r="CY42" s="24"/>
      <c r="CZ42" s="24"/>
      <c r="DA42" s="24"/>
      <c r="DB42" s="24"/>
      <c r="DC42" s="24"/>
      <c r="DD42" s="24"/>
      <c r="DE42" s="24"/>
      <c r="DF42" s="24"/>
      <c r="DG42" s="24"/>
      <c r="DH42" s="24"/>
      <c r="DI42" s="24"/>
      <c r="DJ42" s="24"/>
      <c r="DK42" s="24"/>
      <c r="DL42" s="24"/>
      <c r="DM42" s="24"/>
      <c r="DN42" s="24"/>
      <c r="DO42" s="24"/>
      <c r="DP42" s="24"/>
      <c r="DQ42" s="24"/>
      <c r="DR42" s="24"/>
      <c r="DS42" s="24"/>
      <c r="DT42" s="24"/>
      <c r="DU42" s="24"/>
      <c r="DV42" s="24"/>
      <c r="DW42" s="24"/>
      <c r="DX42" s="24"/>
      <c r="DY42" s="24"/>
      <c r="DZ42" s="24"/>
      <c r="EA42" s="24"/>
    </row>
    <row r="43" spans="1:131">
      <c r="A43" s="24"/>
      <c r="B43" s="207" t="s">
        <v>465</v>
      </c>
      <c r="C43" s="208" t="s">
        <v>466</v>
      </c>
      <c r="D43" s="208" t="s">
        <v>465</v>
      </c>
      <c r="E43" s="209" t="s">
        <v>466</v>
      </c>
      <c r="F43" s="24"/>
      <c r="G43" s="207" t="s">
        <v>467</v>
      </c>
      <c r="H43" s="208" t="s">
        <v>468</v>
      </c>
      <c r="I43" s="208"/>
      <c r="J43" s="208"/>
      <c r="K43" s="208" t="s">
        <v>469</v>
      </c>
      <c r="L43" s="208"/>
      <c r="M43" s="208"/>
      <c r="N43" s="208"/>
      <c r="O43" s="209"/>
      <c r="P43" s="24"/>
      <c r="Q43" s="207" t="s">
        <v>470</v>
      </c>
      <c r="R43" s="208">
        <v>12</v>
      </c>
      <c r="S43" s="208">
        <v>12</v>
      </c>
      <c r="T43" s="208">
        <v>1</v>
      </c>
      <c r="U43" s="209">
        <v>1</v>
      </c>
      <c r="V43" s="24"/>
      <c r="W43" s="207" t="s">
        <v>471</v>
      </c>
      <c r="X43" s="209">
        <v>2016</v>
      </c>
      <c r="Y43" s="24"/>
      <c r="Z43" s="207" t="s">
        <v>472</v>
      </c>
      <c r="AA43" s="208">
        <v>26</v>
      </c>
      <c r="AB43" s="209">
        <v>0</v>
      </c>
      <c r="AC43" s="24"/>
      <c r="AD43" s="24"/>
      <c r="AE43" s="24"/>
      <c r="AF43" s="24"/>
      <c r="AG43" s="24"/>
      <c r="AH43" s="24"/>
      <c r="AI43" s="24"/>
      <c r="AJ43" s="24"/>
      <c r="AK43" s="24"/>
      <c r="AL43" s="24"/>
      <c r="AM43" s="24"/>
      <c r="AN43" s="24"/>
      <c r="AO43" s="24"/>
      <c r="AP43" s="24"/>
      <c r="AQ43" s="24"/>
      <c r="AR43" s="24"/>
      <c r="AS43" s="24"/>
      <c r="AT43" s="24"/>
      <c r="AU43" s="24"/>
      <c r="AV43" s="24"/>
      <c r="AW43" s="24"/>
      <c r="AX43" s="24"/>
      <c r="AY43" s="24"/>
      <c r="AZ43" s="24"/>
      <c r="BA43" s="24"/>
      <c r="BB43" s="24"/>
      <c r="BC43" s="24"/>
      <c r="BD43" s="24"/>
      <c r="BE43" s="24"/>
      <c r="BF43" s="24"/>
      <c r="BG43" s="24"/>
      <c r="BH43" s="24"/>
      <c r="BI43" s="24"/>
      <c r="BJ43" s="24"/>
      <c r="BK43" s="24"/>
      <c r="BL43" s="24"/>
      <c r="BM43" s="24"/>
      <c r="BN43" s="24"/>
      <c r="BO43" s="24"/>
      <c r="BP43" s="24"/>
      <c r="BQ43" s="24"/>
      <c r="BR43" s="24"/>
      <c r="BS43" s="24"/>
      <c r="BT43" s="24"/>
      <c r="BU43" s="24"/>
      <c r="BV43" s="24"/>
      <c r="BW43" s="24"/>
      <c r="BX43" s="24"/>
      <c r="BY43" s="24"/>
      <c r="BZ43" s="24"/>
      <c r="CA43" s="24"/>
      <c r="CB43" s="24"/>
      <c r="CC43" s="24"/>
      <c r="CD43" s="24"/>
      <c r="CE43" s="24"/>
      <c r="CF43" s="24"/>
      <c r="CG43" s="24"/>
      <c r="CH43" s="24"/>
      <c r="CI43" s="24"/>
      <c r="CJ43" s="24"/>
      <c r="CK43" s="24"/>
      <c r="CL43" s="24"/>
      <c r="CM43" s="24"/>
      <c r="CN43" s="24"/>
      <c r="CO43" s="24"/>
      <c r="CP43" s="24"/>
      <c r="CQ43" s="24"/>
      <c r="CR43" s="24"/>
      <c r="CS43" s="24"/>
      <c r="CT43" s="24"/>
      <c r="CU43" s="24"/>
      <c r="CV43" s="24"/>
      <c r="CW43" s="24"/>
      <c r="CX43" s="24"/>
      <c r="CY43" s="24"/>
      <c r="CZ43" s="24"/>
      <c r="DA43" s="24"/>
      <c r="DB43" s="24"/>
      <c r="DC43" s="24"/>
      <c r="DD43" s="24"/>
      <c r="DE43" s="24"/>
      <c r="DF43" s="24"/>
      <c r="DG43" s="24"/>
      <c r="DH43" s="24"/>
      <c r="DI43" s="24"/>
      <c r="DJ43" s="24"/>
      <c r="DK43" s="24"/>
      <c r="DL43" s="24"/>
      <c r="DM43" s="24"/>
      <c r="DN43" s="24"/>
      <c r="DO43" s="24"/>
      <c r="DP43" s="24"/>
      <c r="DQ43" s="24"/>
      <c r="DR43" s="24"/>
      <c r="DS43" s="24"/>
      <c r="DT43" s="24"/>
      <c r="DU43" s="24"/>
      <c r="DV43" s="24"/>
      <c r="DW43" s="24"/>
      <c r="DX43" s="24"/>
      <c r="DY43" s="24"/>
      <c r="DZ43" s="24"/>
      <c r="EA43" s="24"/>
    </row>
    <row r="44" spans="1:131" ht="13.5" thickBot="1">
      <c r="A44" s="24"/>
      <c r="B44" s="210" t="s">
        <v>473</v>
      </c>
      <c r="C44" s="211" t="s">
        <v>466</v>
      </c>
      <c r="D44" s="211" t="s">
        <v>473</v>
      </c>
      <c r="E44" s="212" t="s">
        <v>466</v>
      </c>
      <c r="F44" s="24"/>
      <c r="G44" s="207" t="s">
        <v>474</v>
      </c>
      <c r="H44" s="208" t="s">
        <v>475</v>
      </c>
      <c r="I44" s="208"/>
      <c r="J44" s="208"/>
      <c r="K44" s="208" t="s">
        <v>461</v>
      </c>
      <c r="L44" s="208"/>
      <c r="M44" s="208"/>
      <c r="N44" s="208"/>
      <c r="O44" s="209"/>
      <c r="P44" s="24"/>
      <c r="Q44" s="207"/>
      <c r="R44" s="208" t="s">
        <v>451</v>
      </c>
      <c r="S44" s="208" t="s">
        <v>452</v>
      </c>
      <c r="T44" s="208" t="s">
        <v>453</v>
      </c>
      <c r="U44" s="209" t="s">
        <v>454</v>
      </c>
      <c r="V44" s="24"/>
      <c r="W44" s="207" t="s">
        <v>476</v>
      </c>
      <c r="X44" s="209">
        <v>2012</v>
      </c>
      <c r="Y44" s="24"/>
      <c r="Z44" s="207" t="s">
        <v>477</v>
      </c>
      <c r="AA44" s="208">
        <v>0.9</v>
      </c>
      <c r="AB44" s="209" t="s">
        <v>274</v>
      </c>
      <c r="AC44" s="24"/>
      <c r="AD44" s="24"/>
      <c r="AE44" s="24"/>
      <c r="AF44" s="24"/>
      <c r="AG44" s="24"/>
      <c r="AH44" s="24"/>
      <c r="AI44" s="24"/>
      <c r="AJ44" s="24"/>
      <c r="AK44" s="24"/>
      <c r="AL44" s="24"/>
      <c r="AM44" s="24"/>
      <c r="AN44" s="24"/>
      <c r="AO44" s="24"/>
      <c r="AP44" s="24"/>
      <c r="AQ44" s="24"/>
      <c r="AR44" s="24"/>
      <c r="AS44" s="24"/>
      <c r="AT44" s="24"/>
      <c r="AU44" s="24"/>
      <c r="AV44" s="24"/>
      <c r="AW44" s="24"/>
      <c r="AX44" s="24"/>
      <c r="AY44" s="24"/>
      <c r="AZ44" s="24"/>
      <c r="BA44" s="24"/>
      <c r="BB44" s="24"/>
      <c r="BC44" s="24"/>
      <c r="BD44" s="24"/>
      <c r="BE44" s="24"/>
      <c r="BF44" s="24"/>
      <c r="BG44" s="24"/>
      <c r="BH44" s="24"/>
      <c r="BI44" s="24"/>
      <c r="BJ44" s="24"/>
      <c r="BK44" s="24"/>
      <c r="BL44" s="24"/>
      <c r="BM44" s="24"/>
      <c r="BN44" s="24"/>
      <c r="BO44" s="24"/>
      <c r="BP44" s="24"/>
      <c r="BQ44" s="24"/>
      <c r="BR44" s="24"/>
      <c r="BS44" s="24"/>
      <c r="BT44" s="24"/>
      <c r="BU44" s="24"/>
      <c r="BV44" s="24"/>
      <c r="BW44" s="24"/>
      <c r="BX44" s="24"/>
      <c r="BY44" s="24"/>
      <c r="BZ44" s="24"/>
      <c r="CA44" s="24"/>
      <c r="CB44" s="24"/>
      <c r="CC44" s="24"/>
      <c r="CD44" s="24"/>
      <c r="CE44" s="24"/>
      <c r="CF44" s="24"/>
      <c r="CG44" s="24"/>
      <c r="CH44" s="24"/>
      <c r="CI44" s="24"/>
      <c r="CJ44" s="24"/>
      <c r="CK44" s="24"/>
      <c r="CL44" s="24"/>
      <c r="CM44" s="24"/>
      <c r="CN44" s="24"/>
      <c r="CO44" s="24"/>
      <c r="CP44" s="24"/>
      <c r="CQ44" s="24"/>
      <c r="CR44" s="24"/>
      <c r="CS44" s="24"/>
      <c r="CT44" s="24"/>
      <c r="CU44" s="24"/>
      <c r="CV44" s="24"/>
      <c r="CW44" s="24"/>
      <c r="CX44" s="24"/>
      <c r="CY44" s="24"/>
      <c r="CZ44" s="24"/>
      <c r="DA44" s="24"/>
      <c r="DB44" s="24"/>
      <c r="DC44" s="24"/>
      <c r="DD44" s="24"/>
      <c r="DE44" s="24"/>
      <c r="DF44" s="24"/>
      <c r="DG44" s="24"/>
      <c r="DH44" s="24"/>
      <c r="DI44" s="24"/>
      <c r="DJ44" s="24"/>
      <c r="DK44" s="24"/>
      <c r="DL44" s="24"/>
      <c r="DM44" s="24"/>
      <c r="DN44" s="24"/>
      <c r="DO44" s="24"/>
      <c r="DP44" s="24"/>
      <c r="DQ44" s="24"/>
      <c r="DR44" s="24"/>
      <c r="DS44" s="24"/>
      <c r="DT44" s="24"/>
      <c r="DU44" s="24"/>
      <c r="DV44" s="24"/>
      <c r="DW44" s="24"/>
      <c r="DX44" s="24"/>
      <c r="DY44" s="24"/>
      <c r="DZ44" s="24"/>
      <c r="EA44" s="24"/>
    </row>
    <row r="45" spans="1:131">
      <c r="A45" s="24"/>
      <c r="B45" s="24"/>
      <c r="C45" s="24"/>
      <c r="D45" s="24"/>
      <c r="E45" s="24"/>
      <c r="F45" s="24"/>
      <c r="G45" s="207" t="s">
        <v>478</v>
      </c>
      <c r="H45" s="208" t="s">
        <v>468</v>
      </c>
      <c r="I45" s="208"/>
      <c r="J45" s="208"/>
      <c r="K45" s="208"/>
      <c r="L45" s="208"/>
      <c r="M45" s="208"/>
      <c r="N45" s="208"/>
      <c r="O45" s="209"/>
      <c r="P45" s="24"/>
      <c r="Q45" s="207" t="s">
        <v>479</v>
      </c>
      <c r="R45" s="208">
        <v>0.35</v>
      </c>
      <c r="S45" s="208">
        <v>0.19500000000000001</v>
      </c>
      <c r="T45" s="208">
        <v>0.45499999999999996</v>
      </c>
      <c r="U45" s="209">
        <v>0</v>
      </c>
      <c r="V45" s="24"/>
      <c r="W45" s="207" t="s">
        <v>480</v>
      </c>
      <c r="X45" s="209">
        <v>0.04</v>
      </c>
      <c r="Y45" s="24"/>
      <c r="Z45" s="207" t="s">
        <v>481</v>
      </c>
      <c r="AA45" s="208">
        <v>4.7399348199455904E-2</v>
      </c>
      <c r="AB45" s="209">
        <v>0</v>
      </c>
      <c r="AC45" s="24"/>
      <c r="AD45" s="24"/>
      <c r="AE45" s="24"/>
      <c r="AF45" s="24"/>
      <c r="AG45" s="24"/>
      <c r="AH45" s="24"/>
      <c r="AI45" s="24"/>
      <c r="AJ45" s="24"/>
      <c r="AK45" s="24"/>
      <c r="AL45" s="24"/>
      <c r="AM45" s="24"/>
      <c r="AN45" s="24"/>
      <c r="AO45" s="24"/>
      <c r="AP45" s="24"/>
      <c r="AQ45" s="24"/>
      <c r="AR45" s="24"/>
      <c r="AS45" s="24"/>
      <c r="AT45" s="24"/>
      <c r="AU45" s="24"/>
      <c r="AV45" s="24"/>
      <c r="AW45" s="24"/>
      <c r="AX45" s="24"/>
      <c r="AY45" s="24"/>
      <c r="AZ45" s="24"/>
      <c r="BA45" s="24"/>
      <c r="BB45" s="24"/>
      <c r="BC45" s="24"/>
      <c r="BD45" s="24"/>
      <c r="BE45" s="24"/>
      <c r="BF45" s="24"/>
      <c r="BG45" s="24"/>
      <c r="BH45" s="24"/>
      <c r="BI45" s="24"/>
      <c r="BJ45" s="24"/>
      <c r="BK45" s="24"/>
      <c r="BL45" s="24"/>
      <c r="BM45" s="24"/>
      <c r="BN45" s="24"/>
      <c r="BO45" s="24"/>
      <c r="BP45" s="24"/>
      <c r="BQ45" s="24"/>
      <c r="BR45" s="24"/>
      <c r="BS45" s="24"/>
      <c r="BT45" s="24"/>
      <c r="BU45" s="24"/>
      <c r="BV45" s="24"/>
      <c r="BW45" s="24"/>
      <c r="BX45" s="24"/>
      <c r="BY45" s="24"/>
      <c r="BZ45" s="24"/>
      <c r="CA45" s="24"/>
      <c r="CB45" s="24"/>
      <c r="CC45" s="24"/>
      <c r="CD45" s="24"/>
      <c r="CE45" s="24"/>
      <c r="CF45" s="24"/>
      <c r="CG45" s="24"/>
      <c r="CH45" s="24"/>
      <c r="CI45" s="24"/>
      <c r="CJ45" s="24"/>
      <c r="CK45" s="24"/>
      <c r="CL45" s="24"/>
      <c r="CM45" s="24"/>
      <c r="CN45" s="24"/>
      <c r="CO45" s="24"/>
      <c r="CP45" s="24"/>
      <c r="CQ45" s="24"/>
      <c r="CR45" s="24"/>
      <c r="CS45" s="24"/>
      <c r="CT45" s="24"/>
      <c r="CU45" s="24"/>
      <c r="CV45" s="24"/>
      <c r="CW45" s="24"/>
      <c r="CX45" s="24"/>
      <c r="CY45" s="24"/>
      <c r="CZ45" s="24"/>
      <c r="DA45" s="24"/>
      <c r="DB45" s="24"/>
      <c r="DC45" s="24"/>
      <c r="DD45" s="24"/>
      <c r="DE45" s="24"/>
      <c r="DF45" s="24"/>
      <c r="DG45" s="24"/>
      <c r="DH45" s="24"/>
      <c r="DI45" s="24"/>
      <c r="DJ45" s="24"/>
      <c r="DK45" s="24"/>
      <c r="DL45" s="24"/>
      <c r="DM45" s="24"/>
      <c r="DN45" s="24"/>
      <c r="DO45" s="24"/>
      <c r="DP45" s="24"/>
      <c r="DQ45" s="24"/>
      <c r="DR45" s="24"/>
      <c r="DS45" s="24"/>
      <c r="DT45" s="24"/>
      <c r="DU45" s="24"/>
      <c r="DV45" s="24"/>
      <c r="DW45" s="24"/>
      <c r="DX45" s="24"/>
      <c r="DY45" s="24"/>
      <c r="DZ45" s="24"/>
      <c r="EA45" s="24"/>
    </row>
    <row r="46" spans="1:131">
      <c r="A46" s="24"/>
      <c r="B46" s="24" t="s">
        <v>482</v>
      </c>
      <c r="C46" s="24" t="s">
        <v>448</v>
      </c>
      <c r="D46" s="24"/>
      <c r="E46" s="24"/>
      <c r="F46" s="24"/>
      <c r="G46" s="207" t="s">
        <v>483</v>
      </c>
      <c r="H46" s="208" t="s">
        <v>484</v>
      </c>
      <c r="I46" s="208"/>
      <c r="J46" s="208"/>
      <c r="K46" s="208" t="s">
        <v>485</v>
      </c>
      <c r="L46" s="208"/>
      <c r="M46" s="208"/>
      <c r="N46" s="208"/>
      <c r="O46" s="209"/>
      <c r="P46" s="24"/>
      <c r="Q46" s="207" t="s">
        <v>486</v>
      </c>
      <c r="R46" s="208">
        <v>1</v>
      </c>
      <c r="S46" s="208">
        <v>0</v>
      </c>
      <c r="T46" s="208">
        <v>0</v>
      </c>
      <c r="U46" s="209">
        <v>0</v>
      </c>
      <c r="V46" s="24"/>
      <c r="W46" s="207" t="s">
        <v>487</v>
      </c>
      <c r="X46" s="209">
        <v>0</v>
      </c>
      <c r="Y46" s="24"/>
      <c r="Z46" s="207" t="s">
        <v>488</v>
      </c>
      <c r="AA46" s="208">
        <v>31</v>
      </c>
      <c r="AB46" s="209">
        <v>0</v>
      </c>
      <c r="AC46" s="24"/>
      <c r="AD46" s="24"/>
      <c r="AE46" s="24"/>
      <c r="AF46" s="24"/>
      <c r="AG46" s="24"/>
      <c r="AH46" s="24"/>
      <c r="AI46" s="24"/>
      <c r="AJ46" s="24"/>
      <c r="AK46" s="24"/>
      <c r="AL46" s="24"/>
      <c r="AM46" s="24"/>
      <c r="AN46" s="24"/>
      <c r="AO46" s="24"/>
      <c r="AP46" s="24"/>
      <c r="AQ46" s="24"/>
      <c r="AR46" s="24"/>
      <c r="AS46" s="24"/>
      <c r="AT46" s="24"/>
      <c r="AU46" s="24"/>
      <c r="AV46" s="24"/>
      <c r="AW46" s="24"/>
      <c r="AX46" s="24"/>
      <c r="AY46" s="24"/>
      <c r="AZ46" s="24"/>
      <c r="BA46" s="24"/>
      <c r="BB46" s="24"/>
      <c r="BC46" s="24"/>
      <c r="BD46" s="24"/>
      <c r="BE46" s="24"/>
      <c r="BF46" s="24"/>
      <c r="BG46" s="24"/>
      <c r="BH46" s="24"/>
      <c r="BI46" s="24"/>
      <c r="BJ46" s="24"/>
      <c r="BK46" s="24"/>
      <c r="BL46" s="24"/>
      <c r="BM46" s="24"/>
      <c r="BN46" s="24"/>
      <c r="BO46" s="24"/>
      <c r="BP46" s="24"/>
      <c r="BQ46" s="24"/>
      <c r="BR46" s="24"/>
      <c r="BS46" s="24"/>
      <c r="BT46" s="24"/>
      <c r="BU46" s="24"/>
      <c r="BV46" s="24"/>
      <c r="BW46" s="24"/>
      <c r="BX46" s="24"/>
      <c r="BY46" s="24"/>
      <c r="BZ46" s="24"/>
      <c r="CA46" s="24"/>
      <c r="CB46" s="24"/>
      <c r="CC46" s="24"/>
      <c r="CD46" s="24"/>
      <c r="CE46" s="24"/>
      <c r="CF46" s="24"/>
      <c r="CG46" s="24"/>
      <c r="CH46" s="24"/>
      <c r="CI46" s="24"/>
      <c r="CJ46" s="24"/>
      <c r="CK46" s="24"/>
      <c r="CL46" s="24"/>
      <c r="CM46" s="24"/>
      <c r="CN46" s="24"/>
      <c r="CO46" s="24"/>
      <c r="CP46" s="24"/>
      <c r="CQ46" s="24"/>
      <c r="CR46" s="24"/>
      <c r="CS46" s="24"/>
      <c r="CT46" s="24"/>
      <c r="CU46" s="24"/>
      <c r="CV46" s="24"/>
      <c r="CW46" s="24"/>
      <c r="CX46" s="24"/>
      <c r="CY46" s="24"/>
      <c r="CZ46" s="24"/>
      <c r="DA46" s="24"/>
      <c r="DB46" s="24"/>
      <c r="DC46" s="24"/>
      <c r="DD46" s="24"/>
      <c r="DE46" s="24"/>
      <c r="DF46" s="24"/>
      <c r="DG46" s="24"/>
      <c r="DH46" s="24"/>
      <c r="DI46" s="24"/>
      <c r="DJ46" s="24"/>
      <c r="DK46" s="24"/>
      <c r="DL46" s="24"/>
      <c r="DM46" s="24"/>
      <c r="DN46" s="24"/>
      <c r="DO46" s="24"/>
      <c r="DP46" s="24"/>
      <c r="DQ46" s="24"/>
      <c r="DR46" s="24"/>
      <c r="DS46" s="24"/>
      <c r="DT46" s="24"/>
      <c r="DU46" s="24"/>
      <c r="DV46" s="24"/>
      <c r="DW46" s="24"/>
      <c r="DX46" s="24"/>
      <c r="DY46" s="24"/>
      <c r="DZ46" s="24"/>
      <c r="EA46" s="24"/>
    </row>
    <row r="47" spans="1:131">
      <c r="A47" s="24"/>
      <c r="B47" s="24" t="s">
        <v>489</v>
      </c>
      <c r="C47" s="24" t="s">
        <v>490</v>
      </c>
      <c r="D47" s="24"/>
      <c r="E47" s="24"/>
      <c r="F47" s="24"/>
      <c r="G47" s="207" t="s">
        <v>491</v>
      </c>
      <c r="H47" s="208" t="s">
        <v>485</v>
      </c>
      <c r="I47" s="208"/>
      <c r="J47" s="208"/>
      <c r="K47" s="208" t="s">
        <v>492</v>
      </c>
      <c r="L47" s="208"/>
      <c r="M47" s="208"/>
      <c r="N47" s="208"/>
      <c r="O47" s="209"/>
      <c r="P47" s="24"/>
      <c r="Q47" s="207" t="s">
        <v>493</v>
      </c>
      <c r="R47" s="208">
        <v>1</v>
      </c>
      <c r="S47" s="208">
        <v>0</v>
      </c>
      <c r="T47" s="208">
        <v>0</v>
      </c>
      <c r="U47" s="209">
        <v>0</v>
      </c>
      <c r="V47" s="24"/>
      <c r="W47" s="207" t="s">
        <v>494</v>
      </c>
      <c r="X47" s="209">
        <v>0.2</v>
      </c>
      <c r="Y47" s="24"/>
      <c r="Z47" s="207" t="s">
        <v>495</v>
      </c>
      <c r="AA47" s="208">
        <v>0.7</v>
      </c>
      <c r="AB47" s="209" t="s">
        <v>274</v>
      </c>
      <c r="AC47" s="24"/>
      <c r="AD47" s="24"/>
      <c r="AE47" s="24"/>
      <c r="AF47" s="24"/>
      <c r="AG47" s="24"/>
      <c r="AH47" s="24"/>
      <c r="AI47" s="24"/>
      <c r="AJ47" s="24"/>
      <c r="AK47" s="24"/>
      <c r="AL47" s="24"/>
      <c r="AM47" s="24"/>
      <c r="AN47" s="24"/>
      <c r="AO47" s="24"/>
      <c r="AP47" s="24"/>
      <c r="AQ47" s="24"/>
      <c r="AR47" s="24"/>
      <c r="AS47" s="24"/>
      <c r="AT47" s="24"/>
      <c r="AU47" s="24"/>
      <c r="AV47" s="24"/>
      <c r="AW47" s="24"/>
      <c r="AX47" s="24"/>
      <c r="AY47" s="24"/>
      <c r="AZ47" s="24"/>
      <c r="BA47" s="24"/>
      <c r="BB47" s="24"/>
      <c r="BC47" s="24"/>
      <c r="BD47" s="24"/>
      <c r="BE47" s="24"/>
      <c r="BF47" s="24"/>
      <c r="BG47" s="24"/>
      <c r="BH47" s="24"/>
      <c r="BI47" s="24"/>
      <c r="BJ47" s="24"/>
      <c r="BK47" s="24"/>
      <c r="BL47" s="24"/>
      <c r="BM47" s="24"/>
      <c r="BN47" s="24"/>
      <c r="BO47" s="24"/>
      <c r="BP47" s="24"/>
      <c r="BQ47" s="24"/>
      <c r="BR47" s="24"/>
      <c r="BS47" s="24"/>
      <c r="BT47" s="24"/>
      <c r="BU47" s="24"/>
      <c r="BV47" s="24"/>
      <c r="BW47" s="24"/>
      <c r="BX47" s="24"/>
      <c r="BY47" s="24"/>
      <c r="BZ47" s="24"/>
      <c r="CA47" s="24"/>
      <c r="CB47" s="24"/>
      <c r="CC47" s="24"/>
      <c r="CD47" s="24"/>
      <c r="CE47" s="24"/>
      <c r="CF47" s="24"/>
      <c r="CG47" s="24"/>
      <c r="CH47" s="24"/>
      <c r="CI47" s="24"/>
      <c r="CJ47" s="24"/>
      <c r="CK47" s="24"/>
      <c r="CL47" s="24"/>
      <c r="CM47" s="24"/>
      <c r="CN47" s="24"/>
      <c r="CO47" s="24"/>
      <c r="CP47" s="24"/>
      <c r="CQ47" s="24"/>
      <c r="CR47" s="24"/>
      <c r="CS47" s="24"/>
      <c r="CT47" s="24"/>
      <c r="CU47" s="24"/>
      <c r="CV47" s="24"/>
      <c r="CW47" s="24"/>
      <c r="CX47" s="24"/>
      <c r="CY47" s="24"/>
      <c r="CZ47" s="24"/>
      <c r="DA47" s="24"/>
      <c r="DB47" s="24"/>
      <c r="DC47" s="24"/>
      <c r="DD47" s="24"/>
      <c r="DE47" s="24"/>
      <c r="DF47" s="24"/>
      <c r="DG47" s="24"/>
      <c r="DH47" s="24"/>
      <c r="DI47" s="24"/>
      <c r="DJ47" s="24"/>
      <c r="DK47" s="24"/>
      <c r="DL47" s="24"/>
      <c r="DM47" s="24"/>
      <c r="DN47" s="24"/>
      <c r="DO47" s="24"/>
      <c r="DP47" s="24"/>
      <c r="DQ47" s="24"/>
      <c r="DR47" s="24"/>
      <c r="DS47" s="24"/>
      <c r="DT47" s="24"/>
      <c r="DU47" s="24"/>
      <c r="DV47" s="24"/>
      <c r="DW47" s="24"/>
      <c r="DX47" s="24"/>
      <c r="DY47" s="24"/>
      <c r="DZ47" s="24"/>
      <c r="EA47" s="24"/>
    </row>
    <row r="48" spans="1:131">
      <c r="A48" s="24"/>
      <c r="B48" s="24" t="s">
        <v>496</v>
      </c>
      <c r="C48" s="24" t="s">
        <v>497</v>
      </c>
      <c r="D48" s="24"/>
      <c r="E48" s="24"/>
      <c r="F48" s="24"/>
      <c r="G48" s="207" t="s">
        <v>498</v>
      </c>
      <c r="H48" s="208" t="s">
        <v>492</v>
      </c>
      <c r="I48" s="208"/>
      <c r="J48" s="208"/>
      <c r="K48" s="208" t="s">
        <v>499</v>
      </c>
      <c r="L48" s="208"/>
      <c r="M48" s="208"/>
      <c r="N48" s="208"/>
      <c r="O48" s="209"/>
      <c r="P48" s="24"/>
      <c r="Q48" s="207" t="s">
        <v>500</v>
      </c>
      <c r="R48" s="208"/>
      <c r="S48" s="208">
        <v>0.3</v>
      </c>
      <c r="T48" s="208">
        <v>0.7</v>
      </c>
      <c r="U48" s="209">
        <v>0</v>
      </c>
      <c r="V48" s="24"/>
      <c r="W48" s="207" t="s">
        <v>501</v>
      </c>
      <c r="X48" s="209">
        <v>0</v>
      </c>
      <c r="Y48" s="24"/>
      <c r="Z48" s="207" t="s">
        <v>502</v>
      </c>
      <c r="AA48" s="208">
        <v>0</v>
      </c>
      <c r="AB48" s="209">
        <v>0</v>
      </c>
      <c r="AC48" s="24"/>
      <c r="AD48" s="24"/>
      <c r="AE48" s="24"/>
      <c r="AF48" s="24"/>
      <c r="AG48" s="24"/>
      <c r="AH48" s="24"/>
      <c r="AI48" s="24"/>
      <c r="AJ48" s="24"/>
      <c r="AK48" s="24"/>
      <c r="AL48" s="24"/>
      <c r="AM48" s="24"/>
      <c r="AN48" s="24"/>
      <c r="AO48" s="24"/>
      <c r="AP48" s="24"/>
      <c r="AQ48" s="24"/>
      <c r="AR48" s="24"/>
      <c r="AS48" s="24"/>
      <c r="AT48" s="24"/>
      <c r="AU48" s="24"/>
      <c r="AV48" s="24"/>
      <c r="AW48" s="24"/>
      <c r="AX48" s="24"/>
      <c r="AY48" s="24"/>
      <c r="AZ48" s="24"/>
      <c r="BA48" s="24"/>
      <c r="BB48" s="24"/>
      <c r="BC48" s="24"/>
      <c r="BD48" s="24"/>
      <c r="BE48" s="24"/>
      <c r="BF48" s="24"/>
      <c r="BG48" s="24"/>
      <c r="BH48" s="24"/>
      <c r="BI48" s="24"/>
      <c r="BJ48" s="24"/>
      <c r="BK48" s="24"/>
      <c r="BL48" s="24"/>
      <c r="BM48" s="24"/>
      <c r="BN48" s="24"/>
      <c r="BO48" s="24"/>
      <c r="BP48" s="24"/>
      <c r="BQ48" s="24"/>
      <c r="BR48" s="24"/>
      <c r="BS48" s="24"/>
      <c r="BT48" s="24"/>
      <c r="BU48" s="24"/>
      <c r="BV48" s="24"/>
      <c r="BW48" s="24"/>
      <c r="BX48" s="24"/>
      <c r="BY48" s="24"/>
      <c r="BZ48" s="24"/>
      <c r="CA48" s="24"/>
      <c r="CB48" s="24"/>
      <c r="CC48" s="24"/>
      <c r="CD48" s="24"/>
      <c r="CE48" s="24"/>
      <c r="CF48" s="24"/>
      <c r="CG48" s="24"/>
      <c r="CH48" s="24"/>
      <c r="CI48" s="24"/>
      <c r="CJ48" s="24"/>
      <c r="CK48" s="24"/>
      <c r="CL48" s="24"/>
      <c r="CM48" s="24"/>
      <c r="CN48" s="24"/>
      <c r="CO48" s="24"/>
      <c r="CP48" s="24"/>
      <c r="CQ48" s="24"/>
      <c r="CR48" s="24"/>
      <c r="CS48" s="24"/>
      <c r="CT48" s="24"/>
      <c r="CU48" s="24"/>
      <c r="CV48" s="24"/>
      <c r="CW48" s="24"/>
      <c r="CX48" s="24"/>
      <c r="CY48" s="24"/>
      <c r="CZ48" s="24"/>
      <c r="DA48" s="24"/>
      <c r="DB48" s="24"/>
      <c r="DC48" s="24"/>
      <c r="DD48" s="24"/>
      <c r="DE48" s="24"/>
      <c r="DF48" s="24"/>
      <c r="DG48" s="24"/>
      <c r="DH48" s="24"/>
      <c r="DI48" s="24"/>
      <c r="DJ48" s="24"/>
      <c r="DK48" s="24"/>
      <c r="DL48" s="24"/>
      <c r="DM48" s="24"/>
      <c r="DN48" s="24"/>
      <c r="DO48" s="24"/>
      <c r="DP48" s="24"/>
      <c r="DQ48" s="24"/>
      <c r="DR48" s="24"/>
      <c r="DS48" s="24"/>
      <c r="DT48" s="24"/>
      <c r="DU48" s="24"/>
      <c r="DV48" s="24"/>
      <c r="DW48" s="24"/>
      <c r="DX48" s="24"/>
      <c r="DY48" s="24"/>
      <c r="DZ48" s="24"/>
      <c r="EA48" s="24"/>
    </row>
    <row r="49" spans="1:131" ht="13.5" thickBot="1">
      <c r="A49" s="24"/>
      <c r="B49" s="24" t="s">
        <v>503</v>
      </c>
      <c r="C49" s="24" t="s">
        <v>504</v>
      </c>
      <c r="D49" s="24"/>
      <c r="E49" s="24"/>
      <c r="F49" s="24"/>
      <c r="G49" s="210" t="s">
        <v>505</v>
      </c>
      <c r="H49" s="211" t="s">
        <v>499</v>
      </c>
      <c r="I49" s="211"/>
      <c r="J49" s="211"/>
      <c r="K49" s="211"/>
      <c r="L49" s="211"/>
      <c r="M49" s="211"/>
      <c r="N49" s="211"/>
      <c r="O49" s="212"/>
      <c r="P49" s="24"/>
      <c r="Q49" s="210" t="s">
        <v>506</v>
      </c>
      <c r="R49" s="211"/>
      <c r="S49" s="211">
        <v>20</v>
      </c>
      <c r="T49" s="211"/>
      <c r="U49" s="212"/>
      <c r="V49" s="24"/>
      <c r="W49" s="210" t="s">
        <v>507</v>
      </c>
      <c r="X49" s="212">
        <v>2018</v>
      </c>
      <c r="Y49" s="24"/>
      <c r="Z49" s="210" t="s">
        <v>508</v>
      </c>
      <c r="AA49" s="211">
        <v>0</v>
      </c>
      <c r="AB49" s="212">
        <v>0</v>
      </c>
      <c r="AC49" s="24"/>
      <c r="AD49" s="24"/>
      <c r="AE49" s="24"/>
      <c r="AF49" s="24"/>
      <c r="AG49" s="24"/>
      <c r="AH49" s="24"/>
      <c r="AI49" s="24"/>
      <c r="AJ49" s="24"/>
      <c r="AK49" s="24"/>
      <c r="AL49" s="24"/>
      <c r="AM49" s="24"/>
      <c r="AN49" s="24"/>
      <c r="AO49" s="24"/>
      <c r="AP49" s="24"/>
      <c r="AQ49" s="24"/>
      <c r="AR49" s="24"/>
      <c r="AS49" s="24"/>
      <c r="AT49" s="24"/>
      <c r="AU49" s="24"/>
      <c r="AV49" s="24"/>
      <c r="AW49" s="24"/>
      <c r="AX49" s="24"/>
      <c r="AY49" s="24"/>
      <c r="AZ49" s="24"/>
      <c r="BA49" s="24"/>
      <c r="BB49" s="24"/>
      <c r="BC49" s="24"/>
      <c r="BD49" s="24"/>
      <c r="BE49" s="24"/>
      <c r="BF49" s="24"/>
      <c r="BG49" s="24"/>
      <c r="BH49" s="24"/>
      <c r="BI49" s="24"/>
      <c r="BJ49" s="24"/>
      <c r="BK49" s="24"/>
      <c r="BL49" s="24"/>
      <c r="BM49" s="24"/>
      <c r="BN49" s="24"/>
      <c r="BO49" s="24"/>
      <c r="BP49" s="24"/>
      <c r="BQ49" s="24"/>
      <c r="BR49" s="24"/>
      <c r="BS49" s="24"/>
      <c r="BT49" s="24"/>
      <c r="BU49" s="24"/>
      <c r="BV49" s="24"/>
      <c r="BW49" s="24"/>
      <c r="BX49" s="24"/>
      <c r="BY49" s="24"/>
      <c r="BZ49" s="24"/>
      <c r="CA49" s="24"/>
      <c r="CB49" s="24"/>
      <c r="CC49" s="24"/>
      <c r="CD49" s="24"/>
      <c r="CE49" s="24"/>
      <c r="CF49" s="24"/>
      <c r="CG49" s="24"/>
      <c r="CH49" s="24"/>
      <c r="CI49" s="24"/>
      <c r="CJ49" s="24"/>
      <c r="CK49" s="24"/>
      <c r="CL49" s="24"/>
      <c r="CM49" s="24"/>
      <c r="CN49" s="24"/>
      <c r="CO49" s="24"/>
      <c r="CP49" s="24"/>
      <c r="CQ49" s="24"/>
      <c r="CR49" s="24"/>
      <c r="CS49" s="24"/>
      <c r="CT49" s="24"/>
      <c r="CU49" s="24"/>
      <c r="CV49" s="24"/>
      <c r="CW49" s="24"/>
      <c r="CX49" s="24"/>
      <c r="CY49" s="24"/>
      <c r="CZ49" s="24"/>
      <c r="DA49" s="24"/>
      <c r="DB49" s="24"/>
      <c r="DC49" s="24"/>
      <c r="DD49" s="24"/>
      <c r="DE49" s="24"/>
      <c r="DF49" s="24"/>
      <c r="DG49" s="24"/>
      <c r="DH49" s="24"/>
      <c r="DI49" s="24"/>
      <c r="DJ49" s="24"/>
      <c r="DK49" s="24"/>
      <c r="DL49" s="24"/>
      <c r="DM49" s="24"/>
      <c r="DN49" s="24"/>
      <c r="DO49" s="24"/>
      <c r="DP49" s="24"/>
      <c r="DQ49" s="24"/>
      <c r="DR49" s="24"/>
      <c r="DS49" s="24"/>
      <c r="DT49" s="24"/>
      <c r="DU49" s="24"/>
      <c r="DV49" s="24"/>
      <c r="DW49" s="24"/>
      <c r="DX49" s="24"/>
      <c r="DY49" s="24"/>
      <c r="DZ49" s="24"/>
      <c r="EA49" s="24"/>
    </row>
    <row r="50" spans="1:131">
      <c r="A50" s="24"/>
      <c r="B50" s="24"/>
      <c r="C50" s="24"/>
      <c r="D50" s="24"/>
      <c r="E50" s="24"/>
      <c r="F50" s="24"/>
      <c r="G50" s="24"/>
      <c r="H50" s="24"/>
      <c r="I50" s="24"/>
      <c r="J50" s="24"/>
      <c r="K50" s="24"/>
      <c r="L50" s="24"/>
      <c r="M50" s="24"/>
      <c r="N50" s="24"/>
      <c r="O50" s="24"/>
      <c r="P50" s="24"/>
      <c r="Q50" s="24"/>
      <c r="R50" s="24"/>
      <c r="S50" s="24"/>
      <c r="T50" s="24"/>
      <c r="U50" s="24"/>
      <c r="V50" s="24"/>
      <c r="W50" s="24"/>
      <c r="X50" s="24"/>
      <c r="Y50" s="24"/>
      <c r="Z50" s="24"/>
      <c r="AA50" s="24"/>
      <c r="AB50" s="24"/>
      <c r="AC50" s="24"/>
      <c r="AD50" s="24"/>
      <c r="AE50" s="24"/>
      <c r="AF50" s="24"/>
      <c r="AG50" s="24"/>
      <c r="AH50" s="24"/>
      <c r="AI50" s="24"/>
      <c r="AJ50" s="24"/>
      <c r="AK50" s="24"/>
      <c r="AL50" s="24"/>
      <c r="AM50" s="24"/>
      <c r="AN50" s="24"/>
      <c r="AO50" s="24"/>
      <c r="AP50" s="24"/>
      <c r="AQ50" s="24"/>
      <c r="AR50" s="24"/>
      <c r="AS50" s="24"/>
      <c r="AT50" s="24"/>
      <c r="AU50" s="24"/>
      <c r="AV50" s="24"/>
      <c r="AW50" s="24"/>
      <c r="AX50" s="24"/>
      <c r="AY50" s="24"/>
      <c r="AZ50" s="24"/>
      <c r="BA50" s="24"/>
      <c r="BB50" s="24"/>
      <c r="BC50" s="24"/>
      <c r="BD50" s="24"/>
      <c r="BE50" s="24"/>
      <c r="BF50" s="24"/>
      <c r="BG50" s="24"/>
      <c r="BH50" s="24"/>
      <c r="BI50" s="24"/>
      <c r="BJ50" s="24"/>
      <c r="BK50" s="24"/>
      <c r="BL50" s="24"/>
      <c r="BM50" s="24"/>
      <c r="BN50" s="24"/>
      <c r="BO50" s="24"/>
      <c r="BP50" s="24"/>
      <c r="BQ50" s="24"/>
      <c r="BR50" s="24"/>
      <c r="BS50" s="24"/>
      <c r="BT50" s="24"/>
      <c r="BU50" s="24"/>
      <c r="BV50" s="24"/>
      <c r="BW50" s="24"/>
      <c r="BX50" s="24"/>
      <c r="BY50" s="24"/>
      <c r="BZ50" s="24"/>
      <c r="CA50" s="24"/>
      <c r="CB50" s="24"/>
      <c r="CC50" s="24"/>
      <c r="CD50" s="24"/>
      <c r="CE50" s="24"/>
      <c r="CF50" s="24"/>
      <c r="CG50" s="24"/>
      <c r="CH50" s="24"/>
      <c r="CI50" s="24"/>
      <c r="CJ50" s="24"/>
      <c r="CK50" s="24"/>
      <c r="CL50" s="24"/>
      <c r="CM50" s="24"/>
      <c r="CN50" s="24"/>
      <c r="CO50" s="24"/>
      <c r="CP50" s="24"/>
      <c r="CQ50" s="24"/>
      <c r="CR50" s="24"/>
      <c r="CS50" s="24"/>
      <c r="CT50" s="24"/>
      <c r="CU50" s="24"/>
      <c r="CV50" s="24"/>
      <c r="CW50" s="24"/>
      <c r="CX50" s="24"/>
      <c r="CY50" s="24"/>
      <c r="CZ50" s="24"/>
      <c r="DA50" s="24"/>
      <c r="DB50" s="24"/>
      <c r="DC50" s="24"/>
      <c r="DD50" s="24"/>
      <c r="DE50" s="24"/>
      <c r="DF50" s="24"/>
      <c r="DG50" s="24"/>
      <c r="DH50" s="24"/>
      <c r="DI50" s="24"/>
      <c r="DJ50" s="24"/>
      <c r="DK50" s="24"/>
      <c r="DL50" s="24"/>
      <c r="DM50" s="24"/>
      <c r="DN50" s="24"/>
      <c r="DO50" s="24"/>
      <c r="DP50" s="24"/>
      <c r="DQ50" s="24"/>
      <c r="DR50" s="24"/>
      <c r="DS50" s="24"/>
      <c r="DT50" s="24"/>
      <c r="DU50" s="24"/>
      <c r="DV50" s="24"/>
      <c r="DW50" s="24"/>
      <c r="DX50" s="24"/>
      <c r="DY50" s="24"/>
      <c r="DZ50" s="24"/>
      <c r="EA50" s="24"/>
    </row>
    <row r="51" spans="1:131">
      <c r="A51" s="24"/>
      <c r="B51" s="24"/>
      <c r="C51" s="24"/>
      <c r="D51" s="24"/>
      <c r="E51" s="24"/>
      <c r="F51" s="24"/>
      <c r="G51" s="24"/>
      <c r="H51" s="24"/>
      <c r="I51" s="24"/>
      <c r="J51" s="24"/>
      <c r="K51" s="24"/>
      <c r="L51" s="24"/>
      <c r="M51" s="24"/>
      <c r="N51" s="24"/>
      <c r="O51" s="24"/>
      <c r="P51" s="24"/>
      <c r="Q51" s="24"/>
      <c r="R51" s="24"/>
      <c r="S51" s="24"/>
      <c r="T51" s="24"/>
      <c r="U51" s="24"/>
      <c r="V51" s="24"/>
      <c r="W51" s="24"/>
      <c r="X51" s="24"/>
      <c r="Y51" s="24"/>
      <c r="Z51" s="24"/>
      <c r="AA51" s="24"/>
      <c r="AB51" s="24"/>
      <c r="AC51" s="24"/>
      <c r="AD51" s="24"/>
      <c r="AE51" s="24"/>
      <c r="AF51" s="24"/>
      <c r="AG51" s="24"/>
      <c r="AH51" s="24"/>
      <c r="AI51" s="24"/>
      <c r="AJ51" s="24"/>
      <c r="AK51" s="24"/>
      <c r="AL51" s="24"/>
      <c r="AM51" s="24"/>
      <c r="AN51" s="24"/>
      <c r="AO51" s="24"/>
      <c r="AP51" s="24"/>
      <c r="AQ51" s="24"/>
      <c r="AR51" s="24"/>
      <c r="AS51" s="24"/>
      <c r="AT51" s="24"/>
      <c r="AU51" s="24"/>
      <c r="AV51" s="24"/>
      <c r="AW51" s="24"/>
      <c r="AX51" s="24"/>
      <c r="AY51" s="24"/>
      <c r="AZ51" s="24"/>
      <c r="BA51" s="24"/>
      <c r="BB51" s="24"/>
      <c r="BC51" s="24"/>
      <c r="BD51" s="24"/>
      <c r="BE51" s="24"/>
      <c r="BF51" s="24"/>
      <c r="BG51" s="24"/>
      <c r="BH51" s="24"/>
      <c r="BI51" s="24"/>
      <c r="BJ51" s="24"/>
      <c r="BK51" s="24"/>
      <c r="BL51" s="24"/>
      <c r="BM51" s="24"/>
      <c r="BN51" s="24"/>
      <c r="BO51" s="24"/>
      <c r="BP51" s="24"/>
      <c r="BQ51" s="24"/>
      <c r="BR51" s="24"/>
      <c r="BS51" s="24"/>
      <c r="BT51" s="24"/>
      <c r="BU51" s="24"/>
      <c r="BV51" s="24"/>
      <c r="BW51" s="24"/>
      <c r="BX51" s="24"/>
      <c r="BY51" s="24"/>
      <c r="BZ51" s="24"/>
      <c r="CA51" s="24"/>
      <c r="CB51" s="24"/>
      <c r="CC51" s="24"/>
      <c r="CD51" s="24"/>
      <c r="CE51" s="24"/>
      <c r="CF51" s="24"/>
      <c r="CG51" s="24"/>
      <c r="CH51" s="24"/>
      <c r="CI51" s="24"/>
      <c r="CJ51" s="24"/>
      <c r="CK51" s="24"/>
      <c r="CL51" s="24"/>
      <c r="CM51" s="24"/>
      <c r="CN51" s="24"/>
      <c r="CO51" s="24"/>
      <c r="CP51" s="24"/>
      <c r="CQ51" s="24"/>
      <c r="CR51" s="24"/>
      <c r="CS51" s="24"/>
      <c r="CT51" s="24"/>
      <c r="CU51" s="24"/>
      <c r="CV51" s="24"/>
      <c r="CW51" s="24"/>
      <c r="CX51" s="24"/>
      <c r="CY51" s="24"/>
      <c r="CZ51" s="24"/>
      <c r="DA51" s="24"/>
      <c r="DB51" s="24"/>
      <c r="DC51" s="24"/>
      <c r="DD51" s="24"/>
      <c r="DE51" s="24"/>
      <c r="DF51" s="24"/>
      <c r="DG51" s="24"/>
      <c r="DH51" s="24"/>
      <c r="DI51" s="24"/>
      <c r="DJ51" s="24"/>
      <c r="DK51" s="24"/>
      <c r="DL51" s="24"/>
      <c r="DM51" s="24"/>
      <c r="DN51" s="24"/>
      <c r="DO51" s="24"/>
      <c r="DP51" s="24"/>
      <c r="DQ51" s="24"/>
      <c r="DR51" s="24"/>
      <c r="DS51" s="24"/>
      <c r="DT51" s="24"/>
      <c r="DU51" s="24"/>
      <c r="DV51" s="24"/>
      <c r="DW51" s="24"/>
      <c r="DX51" s="24"/>
      <c r="DY51" s="24"/>
      <c r="DZ51" s="24"/>
      <c r="EA51" s="24"/>
    </row>
    <row r="52" spans="1:131">
      <c r="A52" s="24"/>
      <c r="B52" s="24"/>
      <c r="C52" s="24"/>
      <c r="D52" s="24"/>
      <c r="E52" s="24"/>
      <c r="F52" s="24"/>
      <c r="G52" s="24"/>
      <c r="H52" s="24"/>
      <c r="I52" s="24"/>
      <c r="J52" s="24"/>
      <c r="K52" s="24"/>
      <c r="L52" s="24"/>
      <c r="M52" s="24"/>
      <c r="N52" s="24"/>
      <c r="O52" s="24"/>
      <c r="P52" s="24"/>
      <c r="Q52" s="24"/>
      <c r="R52" s="24"/>
      <c r="S52" s="24"/>
      <c r="T52" s="24"/>
      <c r="U52" s="24"/>
      <c r="V52" s="24"/>
      <c r="W52" s="24"/>
      <c r="X52" s="24"/>
      <c r="Y52" s="24"/>
      <c r="Z52" s="24"/>
      <c r="AA52" s="24"/>
      <c r="AB52" s="24"/>
      <c r="AC52" s="24"/>
      <c r="AD52" s="24"/>
      <c r="AE52" s="24"/>
      <c r="AF52" s="24"/>
      <c r="AG52" s="24"/>
      <c r="AH52" s="24"/>
      <c r="AI52" s="24"/>
      <c r="AJ52" s="24"/>
      <c r="AK52" s="24"/>
      <c r="AL52" s="24"/>
      <c r="AM52" s="24"/>
      <c r="AN52" s="24"/>
      <c r="AO52" s="24"/>
      <c r="AP52" s="24"/>
      <c r="AQ52" s="24"/>
      <c r="AR52" s="24"/>
      <c r="AS52" s="24"/>
      <c r="AT52" s="24"/>
      <c r="AU52" s="24"/>
      <c r="AV52" s="24"/>
      <c r="AW52" s="24"/>
      <c r="AX52" s="24"/>
      <c r="AY52" s="24"/>
      <c r="AZ52" s="24"/>
      <c r="BA52" s="24"/>
      <c r="BB52" s="24"/>
      <c r="BC52" s="24"/>
      <c r="BD52" s="24"/>
      <c r="BE52" s="24"/>
      <c r="BF52" s="24"/>
      <c r="BG52" s="24"/>
      <c r="BH52" s="24"/>
      <c r="BI52" s="24"/>
      <c r="BJ52" s="24"/>
      <c r="BK52" s="24"/>
      <c r="BL52" s="24"/>
      <c r="BM52" s="24"/>
      <c r="BN52" s="24"/>
      <c r="BO52" s="24"/>
      <c r="BP52" s="24"/>
      <c r="BQ52" s="24"/>
      <c r="BR52" s="24"/>
      <c r="BS52" s="24"/>
      <c r="BT52" s="24"/>
      <c r="BU52" s="24"/>
      <c r="BV52" s="24"/>
      <c r="BW52" s="24"/>
      <c r="BX52" s="24"/>
      <c r="BY52" s="24"/>
      <c r="BZ52" s="24"/>
      <c r="CA52" s="24"/>
      <c r="CB52" s="24"/>
      <c r="CC52" s="24"/>
      <c r="CD52" s="24"/>
      <c r="CE52" s="24"/>
      <c r="CF52" s="24"/>
      <c r="CG52" s="24"/>
      <c r="CH52" s="24"/>
      <c r="CI52" s="24"/>
      <c r="CJ52" s="24"/>
      <c r="CK52" s="24"/>
      <c r="CL52" s="24"/>
      <c r="CM52" s="24"/>
      <c r="CN52" s="24"/>
      <c r="CO52" s="24"/>
      <c r="CP52" s="24"/>
      <c r="CQ52" s="24"/>
      <c r="CR52" s="24"/>
      <c r="CS52" s="24"/>
      <c r="CT52" s="24"/>
      <c r="CU52" s="24"/>
      <c r="CV52" s="24"/>
      <c r="CW52" s="24"/>
      <c r="CX52" s="24"/>
      <c r="CY52" s="24"/>
      <c r="CZ52" s="24"/>
      <c r="DA52" s="24"/>
      <c r="DB52" s="24"/>
      <c r="DC52" s="24"/>
      <c r="DD52" s="24"/>
      <c r="DE52" s="24"/>
      <c r="DF52" s="24"/>
      <c r="DG52" s="24"/>
      <c r="DH52" s="24"/>
      <c r="DI52" s="24"/>
      <c r="DJ52" s="24"/>
      <c r="DK52" s="24"/>
      <c r="DL52" s="24"/>
      <c r="DM52" s="24"/>
      <c r="DN52" s="24"/>
      <c r="DO52" s="24"/>
      <c r="DP52" s="24"/>
      <c r="DQ52" s="24"/>
      <c r="DR52" s="24"/>
      <c r="DS52" s="24"/>
      <c r="DT52" s="24"/>
      <c r="DU52" s="24"/>
      <c r="DV52" s="24"/>
      <c r="DW52" s="24"/>
      <c r="DX52" s="24"/>
      <c r="DY52" s="24"/>
      <c r="DZ52" s="24"/>
      <c r="EA52" s="24"/>
    </row>
    <row r="53" spans="1:131">
      <c r="A53" s="24"/>
      <c r="B53" s="24"/>
      <c r="C53" s="24"/>
      <c r="D53" s="24"/>
      <c r="E53" s="24"/>
      <c r="F53" s="24"/>
      <c r="G53" s="24"/>
      <c r="H53" s="24"/>
      <c r="I53" s="24"/>
      <c r="J53" s="24"/>
      <c r="K53" s="24"/>
      <c r="L53" s="24"/>
      <c r="M53" s="24"/>
      <c r="N53" s="24"/>
      <c r="O53" s="24"/>
      <c r="P53" s="24"/>
      <c r="Q53" s="24"/>
      <c r="R53" s="24"/>
      <c r="S53" s="24"/>
      <c r="T53" s="24"/>
      <c r="U53" s="24"/>
      <c r="V53" s="24"/>
      <c r="W53" s="24"/>
      <c r="X53" s="24"/>
      <c r="Y53" s="24"/>
      <c r="Z53" s="24"/>
      <c r="AA53" s="24"/>
      <c r="AB53" s="24"/>
      <c r="AC53" s="24"/>
      <c r="AD53" s="24"/>
      <c r="AE53" s="24"/>
      <c r="AF53" s="24"/>
      <c r="AG53" s="24"/>
      <c r="AH53" s="24"/>
      <c r="AI53" s="24"/>
      <c r="AJ53" s="24"/>
      <c r="AK53" s="24"/>
      <c r="AL53" s="24"/>
      <c r="AM53" s="24"/>
      <c r="AN53" s="24"/>
      <c r="AO53" s="24"/>
      <c r="AP53" s="24"/>
      <c r="AQ53" s="24"/>
      <c r="AR53" s="24"/>
      <c r="AS53" s="24"/>
      <c r="AT53" s="24"/>
      <c r="AU53" s="24"/>
      <c r="AV53" s="24"/>
      <c r="AW53" s="24"/>
      <c r="AX53" s="24"/>
      <c r="AY53" s="24"/>
      <c r="AZ53" s="24"/>
      <c r="BA53" s="24"/>
      <c r="BB53" s="24"/>
      <c r="BC53" s="24"/>
      <c r="BD53" s="24"/>
      <c r="BE53" s="24"/>
      <c r="BF53" s="24"/>
      <c r="BG53" s="24"/>
      <c r="BH53" s="24"/>
      <c r="BI53" s="24"/>
      <c r="BJ53" s="24"/>
      <c r="BK53" s="24"/>
      <c r="BL53" s="24"/>
      <c r="BM53" s="24"/>
      <c r="BN53" s="24"/>
      <c r="BO53" s="24"/>
      <c r="BP53" s="24"/>
      <c r="BQ53" s="24"/>
      <c r="BR53" s="24"/>
      <c r="BS53" s="24"/>
      <c r="BT53" s="24"/>
      <c r="BU53" s="24"/>
      <c r="BV53" s="24"/>
      <c r="BW53" s="24"/>
      <c r="BX53" s="24"/>
      <c r="BY53" s="24"/>
      <c r="BZ53" s="24"/>
      <c r="CA53" s="24"/>
      <c r="CB53" s="24"/>
      <c r="CC53" s="24"/>
      <c r="CD53" s="24"/>
      <c r="CE53" s="24"/>
      <c r="CF53" s="24"/>
      <c r="CG53" s="24"/>
      <c r="CH53" s="24"/>
      <c r="CI53" s="24"/>
      <c r="CJ53" s="24"/>
      <c r="CK53" s="24"/>
      <c r="CL53" s="24"/>
      <c r="CM53" s="24"/>
      <c r="CN53" s="24"/>
      <c r="CO53" s="24"/>
      <c r="CP53" s="24"/>
      <c r="CQ53" s="24"/>
      <c r="CR53" s="24"/>
      <c r="CS53" s="24"/>
      <c r="CT53" s="24"/>
      <c r="CU53" s="24"/>
      <c r="CV53" s="24"/>
      <c r="CW53" s="24"/>
      <c r="CX53" s="24"/>
      <c r="CY53" s="24"/>
      <c r="CZ53" s="24"/>
      <c r="DA53" s="24"/>
      <c r="DB53" s="24"/>
      <c r="DC53" s="24"/>
      <c r="DD53" s="24"/>
      <c r="DE53" s="24"/>
      <c r="DF53" s="24"/>
      <c r="DG53" s="24"/>
      <c r="DH53" s="24"/>
      <c r="DI53" s="24"/>
      <c r="DJ53" s="24"/>
      <c r="DK53" s="24"/>
      <c r="DL53" s="24"/>
      <c r="DM53" s="24"/>
      <c r="DN53" s="24"/>
      <c r="DO53" s="24"/>
      <c r="DP53" s="24"/>
      <c r="DQ53" s="24"/>
      <c r="DR53" s="24"/>
      <c r="DS53" s="24"/>
      <c r="DT53" s="24"/>
      <c r="DU53" s="24"/>
      <c r="DV53" s="24"/>
      <c r="DW53" s="24"/>
      <c r="DX53" s="24"/>
      <c r="DY53" s="24"/>
      <c r="DZ53" s="24"/>
      <c r="EA53" s="24"/>
    </row>
    <row r="54" spans="1:131">
      <c r="A54" s="24"/>
      <c r="B54" s="24"/>
      <c r="C54" s="24"/>
      <c r="D54" s="24"/>
      <c r="E54" s="24"/>
      <c r="F54" s="24"/>
      <c r="G54" s="24"/>
      <c r="H54" s="24"/>
      <c r="I54" s="24"/>
      <c r="J54" s="24"/>
      <c r="K54" s="24"/>
      <c r="L54" s="24"/>
      <c r="M54" s="24"/>
      <c r="N54" s="24"/>
      <c r="O54" s="24"/>
      <c r="P54" s="24"/>
      <c r="Q54" s="24"/>
      <c r="R54" s="24"/>
      <c r="S54" s="24"/>
      <c r="T54" s="24"/>
      <c r="U54" s="24"/>
      <c r="V54" s="24"/>
      <c r="W54" s="24"/>
      <c r="X54" s="24"/>
      <c r="Y54" s="24"/>
      <c r="Z54" s="24"/>
      <c r="AA54" s="24"/>
      <c r="AB54" s="24"/>
      <c r="AC54" s="24"/>
      <c r="AD54" s="24"/>
      <c r="AE54" s="24"/>
      <c r="AF54" s="24"/>
      <c r="AG54" s="24"/>
      <c r="AH54" s="24"/>
      <c r="AI54" s="24"/>
      <c r="AJ54" s="24"/>
      <c r="AK54" s="24"/>
      <c r="AL54" s="24"/>
      <c r="AM54" s="24"/>
      <c r="AN54" s="24"/>
      <c r="AO54" s="24"/>
      <c r="AP54" s="24"/>
      <c r="AQ54" s="24"/>
      <c r="AR54" s="24"/>
      <c r="AS54" s="24"/>
      <c r="AT54" s="24"/>
      <c r="AU54" s="24"/>
      <c r="AV54" s="24"/>
      <c r="AW54" s="24"/>
      <c r="AX54" s="24"/>
      <c r="AY54" s="24"/>
      <c r="AZ54" s="24"/>
      <c r="BA54" s="24"/>
      <c r="BB54" s="24"/>
      <c r="BC54" s="24"/>
      <c r="BD54" s="24"/>
      <c r="BE54" s="24"/>
      <c r="BF54" s="24"/>
      <c r="BG54" s="24"/>
      <c r="BH54" s="24"/>
      <c r="BI54" s="24"/>
      <c r="BJ54" s="24"/>
      <c r="BK54" s="24"/>
      <c r="BL54" s="24"/>
      <c r="BM54" s="24"/>
      <c r="BN54" s="24"/>
      <c r="BO54" s="24"/>
      <c r="BP54" s="24"/>
      <c r="BQ54" s="24"/>
      <c r="BR54" s="24"/>
      <c r="BS54" s="24"/>
      <c r="BT54" s="24"/>
      <c r="BU54" s="24"/>
      <c r="BV54" s="24"/>
      <c r="BW54" s="24"/>
      <c r="BX54" s="24"/>
      <c r="BY54" s="24"/>
      <c r="BZ54" s="24"/>
      <c r="CA54" s="24"/>
      <c r="CB54" s="24"/>
      <c r="CC54" s="24"/>
      <c r="CD54" s="24"/>
      <c r="CE54" s="24"/>
      <c r="CF54" s="24"/>
      <c r="CG54" s="24"/>
      <c r="CH54" s="24"/>
      <c r="CI54" s="24"/>
      <c r="CJ54" s="24"/>
      <c r="CK54" s="24"/>
      <c r="CL54" s="24"/>
      <c r="CM54" s="24"/>
      <c r="CN54" s="24"/>
      <c r="CO54" s="24"/>
      <c r="CP54" s="24"/>
      <c r="CQ54" s="24"/>
      <c r="CR54" s="24"/>
      <c r="CS54" s="24"/>
      <c r="CT54" s="24"/>
      <c r="CU54" s="24"/>
      <c r="CV54" s="24"/>
      <c r="CW54" s="24"/>
      <c r="CX54" s="24"/>
      <c r="CY54" s="24"/>
      <c r="CZ54" s="24"/>
      <c r="DA54" s="24"/>
      <c r="DB54" s="24"/>
      <c r="DC54" s="24"/>
      <c r="DD54" s="24"/>
      <c r="DE54" s="24"/>
      <c r="DF54" s="24"/>
      <c r="DG54" s="24"/>
      <c r="DH54" s="24"/>
      <c r="DI54" s="24"/>
      <c r="DJ54" s="24"/>
      <c r="DK54" s="24"/>
      <c r="DL54" s="24"/>
      <c r="DM54" s="24"/>
      <c r="DN54" s="24"/>
      <c r="DO54" s="24"/>
      <c r="DP54" s="24"/>
      <c r="DQ54" s="24"/>
      <c r="DR54" s="24"/>
      <c r="DS54" s="24"/>
      <c r="DT54" s="24"/>
      <c r="DU54" s="24"/>
      <c r="DV54" s="24"/>
      <c r="DW54" s="24"/>
      <c r="DX54" s="24"/>
      <c r="DY54" s="24"/>
      <c r="DZ54" s="24"/>
      <c r="EA54" s="24"/>
    </row>
    <row r="55" spans="1:131">
      <c r="A55" s="24"/>
      <c r="B55" s="24"/>
      <c r="C55" s="24"/>
      <c r="D55" s="24"/>
      <c r="E55" s="24"/>
      <c r="F55" s="24"/>
      <c r="G55" s="2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c r="BD55" s="24"/>
      <c r="BE55" s="24"/>
      <c r="BF55" s="24"/>
      <c r="BG55" s="24"/>
      <c r="BH55" s="24"/>
      <c r="BI55" s="24"/>
      <c r="BJ55" s="24"/>
      <c r="BK55" s="24"/>
      <c r="BL55" s="24"/>
      <c r="BM55" s="24"/>
      <c r="BN55" s="24"/>
      <c r="BO55" s="24"/>
      <c r="BP55" s="24"/>
      <c r="BQ55" s="24"/>
      <c r="BR55" s="24"/>
      <c r="BS55" s="24"/>
      <c r="BT55" s="24"/>
      <c r="BU55" s="24"/>
      <c r="BV55" s="24"/>
      <c r="BW55" s="24"/>
      <c r="BX55" s="24"/>
      <c r="BY55" s="24"/>
      <c r="BZ55" s="24"/>
      <c r="CA55" s="24"/>
      <c r="CB55" s="24"/>
      <c r="CC55" s="24"/>
      <c r="CD55" s="24"/>
      <c r="CE55" s="24"/>
      <c r="CF55" s="24"/>
      <c r="CG55" s="24"/>
      <c r="CH55" s="24"/>
      <c r="CI55" s="24"/>
      <c r="CJ55" s="24"/>
      <c r="CK55" s="24"/>
      <c r="CL55" s="24"/>
      <c r="CM55" s="24"/>
      <c r="CN55" s="24"/>
      <c r="CO55" s="24"/>
      <c r="CP55" s="24"/>
      <c r="CQ55" s="24"/>
      <c r="CR55" s="24"/>
      <c r="CS55" s="24"/>
      <c r="CT55" s="24"/>
      <c r="CU55" s="24"/>
      <c r="CV55" s="24"/>
      <c r="CW55" s="24"/>
      <c r="CX55" s="24"/>
      <c r="CY55" s="24"/>
      <c r="CZ55" s="24"/>
      <c r="DA55" s="24"/>
      <c r="DB55" s="24"/>
      <c r="DC55" s="24"/>
      <c r="DD55" s="24"/>
      <c r="DE55" s="24"/>
      <c r="DF55" s="24"/>
      <c r="DG55" s="24"/>
      <c r="DH55" s="24"/>
      <c r="DI55" s="24"/>
      <c r="DJ55" s="24"/>
      <c r="DK55" s="24"/>
      <c r="DL55" s="24"/>
      <c r="DM55" s="24"/>
      <c r="DN55" s="24"/>
      <c r="DO55" s="24"/>
      <c r="DP55" s="24"/>
      <c r="DQ55" s="24"/>
      <c r="DR55" s="24"/>
      <c r="DS55" s="24"/>
      <c r="DT55" s="24"/>
      <c r="DU55" s="24"/>
      <c r="DV55" s="24"/>
      <c r="DW55" s="24"/>
      <c r="DX55" s="24"/>
      <c r="DY55" s="24"/>
      <c r="DZ55" s="24"/>
      <c r="EA55" s="24"/>
    </row>
    <row r="56" spans="1:131">
      <c r="A56" s="24"/>
      <c r="B56" s="24"/>
      <c r="C56" s="24"/>
      <c r="D56" s="24"/>
      <c r="E56" s="24"/>
      <c r="F56" s="24"/>
      <c r="G56" s="2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c r="BD56" s="24"/>
      <c r="BE56" s="24"/>
      <c r="BF56" s="24"/>
      <c r="BG56" s="24"/>
      <c r="BH56" s="24"/>
      <c r="BI56" s="24"/>
      <c r="BJ56" s="24"/>
      <c r="BK56" s="24"/>
      <c r="BL56" s="24"/>
      <c r="BM56" s="24"/>
      <c r="BN56" s="24"/>
      <c r="BO56" s="24"/>
      <c r="BP56" s="24"/>
      <c r="BQ56" s="24"/>
      <c r="BR56" s="24"/>
      <c r="BS56" s="24"/>
      <c r="BT56" s="24"/>
      <c r="BU56" s="24"/>
      <c r="BV56" s="24"/>
      <c r="BW56" s="24"/>
      <c r="BX56" s="24"/>
      <c r="BY56" s="24"/>
      <c r="BZ56" s="24"/>
      <c r="CA56" s="24"/>
      <c r="CB56" s="24"/>
      <c r="CC56" s="24"/>
      <c r="CD56" s="24"/>
      <c r="CE56" s="24"/>
      <c r="CF56" s="24"/>
      <c r="CG56" s="24"/>
      <c r="CH56" s="24"/>
      <c r="CI56" s="24"/>
      <c r="CJ56" s="24"/>
      <c r="CK56" s="24"/>
      <c r="CL56" s="24"/>
      <c r="CM56" s="24"/>
      <c r="CN56" s="24"/>
      <c r="CO56" s="24"/>
      <c r="CP56" s="24"/>
      <c r="CQ56" s="24"/>
      <c r="CR56" s="24"/>
      <c r="CS56" s="24"/>
      <c r="CT56" s="24"/>
      <c r="CU56" s="24"/>
      <c r="CV56" s="24"/>
      <c r="CW56" s="24"/>
      <c r="CX56" s="24"/>
      <c r="CY56" s="24"/>
      <c r="CZ56" s="24"/>
      <c r="DA56" s="24"/>
      <c r="DB56" s="24"/>
      <c r="DC56" s="24"/>
      <c r="DD56" s="24"/>
      <c r="DE56" s="24"/>
      <c r="DF56" s="24"/>
      <c r="DG56" s="24"/>
      <c r="DH56" s="24"/>
      <c r="DI56" s="24"/>
      <c r="DJ56" s="24"/>
      <c r="DK56" s="24"/>
      <c r="DL56" s="24"/>
      <c r="DM56" s="24"/>
      <c r="DN56" s="24"/>
      <c r="DO56" s="24"/>
      <c r="DP56" s="24"/>
      <c r="DQ56" s="24"/>
      <c r="DR56" s="24"/>
      <c r="DS56" s="24"/>
      <c r="DT56" s="24"/>
      <c r="DU56" s="24"/>
      <c r="DV56" s="24"/>
      <c r="DW56" s="24"/>
      <c r="DX56" s="24"/>
      <c r="DY56" s="24"/>
      <c r="DZ56" s="24"/>
      <c r="EA56" s="24"/>
    </row>
    <row r="57" spans="1:131" ht="13.5" thickBot="1">
      <c r="A57" s="187" t="s">
        <v>509</v>
      </c>
      <c r="B57" s="188"/>
      <c r="C57" s="45"/>
      <c r="D57" s="45"/>
      <c r="E57" s="45"/>
      <c r="F57" s="45"/>
      <c r="G57" s="45"/>
      <c r="H57" s="45"/>
      <c r="I57" s="45"/>
      <c r="J57" s="45"/>
      <c r="K57" s="45"/>
      <c r="L57" s="45"/>
      <c r="M57" s="45"/>
      <c r="N57" s="45"/>
      <c r="O57" s="45"/>
      <c r="P57" s="45"/>
      <c r="Q57" s="45"/>
      <c r="R57" s="45"/>
      <c r="S57" s="45"/>
      <c r="T57" s="45"/>
      <c r="U57" s="45"/>
      <c r="V57" s="45"/>
      <c r="W57" s="45"/>
      <c r="X57" s="45"/>
      <c r="Y57" s="45"/>
      <c r="Z57" s="45"/>
      <c r="AA57" s="45"/>
      <c r="AB57" s="45"/>
      <c r="AC57" s="45"/>
      <c r="AD57" s="45"/>
      <c r="AE57" s="45"/>
      <c r="AF57" s="45"/>
      <c r="AG57" s="45"/>
      <c r="AH57" s="45"/>
      <c r="AI57" s="45"/>
      <c r="AJ57" s="45"/>
      <c r="AK57" s="45"/>
      <c r="AL57" s="45"/>
      <c r="AM57" s="45"/>
      <c r="AN57" s="45"/>
      <c r="AO57" s="45"/>
      <c r="AP57" s="45"/>
      <c r="AQ57" s="45"/>
      <c r="AR57" s="45"/>
      <c r="AS57" s="45"/>
      <c r="AT57" s="45"/>
      <c r="AU57" s="45"/>
      <c r="AV57" s="45"/>
      <c r="AW57" s="45"/>
      <c r="AX57" s="45"/>
      <c r="AY57" s="45"/>
      <c r="AZ57" s="45"/>
      <c r="BA57" s="45"/>
      <c r="BB57" s="45"/>
      <c r="BC57" s="45"/>
      <c r="BD57" s="45"/>
      <c r="BE57" s="45"/>
      <c r="BF57" s="45"/>
      <c r="BG57" s="45"/>
      <c r="BH57" s="45"/>
      <c r="BI57" s="45"/>
      <c r="BJ57" s="45"/>
      <c r="BK57" s="45"/>
      <c r="BL57" s="45"/>
      <c r="BM57" s="45"/>
      <c r="BN57" s="45"/>
      <c r="BO57" s="45"/>
      <c r="BP57" s="45"/>
      <c r="BQ57" s="45"/>
      <c r="BR57" s="45"/>
      <c r="BS57" s="45"/>
      <c r="BT57" s="45"/>
      <c r="BU57" s="45"/>
      <c r="BV57" s="45"/>
      <c r="BW57" s="45"/>
      <c r="BX57" s="45"/>
      <c r="BY57" s="45"/>
      <c r="BZ57" s="45"/>
      <c r="CA57" s="45"/>
      <c r="CB57" s="45"/>
      <c r="CC57" s="45"/>
      <c r="CD57" s="45"/>
      <c r="CE57" s="45"/>
      <c r="CF57" s="45"/>
      <c r="CG57" s="45"/>
      <c r="CH57" s="45"/>
      <c r="CI57" s="45"/>
      <c r="CJ57" s="45"/>
      <c r="CK57" s="45"/>
      <c r="CL57" s="45"/>
      <c r="CM57" s="45"/>
      <c r="CN57" s="45"/>
      <c r="CO57" s="45"/>
      <c r="CP57" s="45"/>
      <c r="CQ57" s="45"/>
      <c r="CR57" s="45"/>
      <c r="CS57" s="45"/>
      <c r="CT57" s="45"/>
      <c r="CU57" s="45"/>
      <c r="CV57" s="45"/>
      <c r="CW57" s="45"/>
      <c r="CX57" s="24"/>
      <c r="CY57" s="24"/>
      <c r="CZ57" s="24"/>
      <c r="DA57" s="24"/>
      <c r="DB57" s="24"/>
      <c r="DC57" s="24"/>
      <c r="DD57" s="24"/>
      <c r="DE57" s="24"/>
      <c r="DF57" s="24"/>
      <c r="DG57" s="24"/>
      <c r="DH57" s="24"/>
      <c r="DI57" s="24"/>
      <c r="DJ57" s="24"/>
      <c r="DK57" s="24"/>
      <c r="DL57" s="24"/>
      <c r="DM57" s="24"/>
      <c r="DN57" s="24"/>
      <c r="DO57" s="24"/>
      <c r="DP57" s="24"/>
      <c r="DQ57" s="24"/>
      <c r="DR57" s="24"/>
      <c r="DS57" s="24"/>
      <c r="DT57" s="24"/>
      <c r="DU57" s="24"/>
      <c r="DV57" s="24"/>
      <c r="DW57" s="24"/>
      <c r="DX57" s="24"/>
      <c r="DY57" s="24"/>
      <c r="DZ57" s="24"/>
      <c r="EA57" s="24"/>
    </row>
    <row r="58" spans="1:131" ht="26.25" thickBot="1">
      <c r="A58" s="213" t="s">
        <v>510</v>
      </c>
      <c r="B58" s="214"/>
      <c r="C58" s="215" t="s">
        <v>511</v>
      </c>
      <c r="D58" s="216"/>
      <c r="E58" s="216"/>
      <c r="F58" s="216"/>
      <c r="G58" s="216"/>
      <c r="H58" s="216"/>
      <c r="I58" s="216"/>
      <c r="J58" s="216"/>
      <c r="K58" s="217"/>
      <c r="L58" s="215" t="s">
        <v>512</v>
      </c>
      <c r="M58" s="216"/>
      <c r="N58" s="216"/>
      <c r="O58" s="216"/>
      <c r="P58" s="216"/>
      <c r="Q58" s="217"/>
      <c r="R58" s="215" t="s">
        <v>513</v>
      </c>
      <c r="S58" s="216"/>
      <c r="T58" s="216"/>
      <c r="U58" s="217"/>
      <c r="V58" s="215" t="s">
        <v>514</v>
      </c>
      <c r="W58" s="216"/>
      <c r="X58" s="216"/>
      <c r="Y58" s="217"/>
      <c r="Z58" s="215" t="s">
        <v>515</v>
      </c>
      <c r="AA58" s="216"/>
      <c r="AB58" s="216"/>
      <c r="AC58" s="217"/>
      <c r="AD58" s="215" t="s">
        <v>516</v>
      </c>
      <c r="AE58" s="216"/>
      <c r="AF58" s="216"/>
      <c r="AG58" s="217"/>
      <c r="AH58" s="215" t="s">
        <v>517</v>
      </c>
      <c r="AI58" s="216"/>
      <c r="AJ58" s="216"/>
      <c r="AK58" s="216"/>
      <c r="AL58" s="217"/>
      <c r="AM58" s="215" t="s">
        <v>518</v>
      </c>
      <c r="AN58" s="216"/>
      <c r="AO58" s="216"/>
      <c r="AP58" s="216"/>
      <c r="AQ58" s="216"/>
      <c r="AR58" s="216"/>
      <c r="AS58" s="217"/>
      <c r="AT58" s="215" t="s">
        <v>519</v>
      </c>
      <c r="AU58" s="216"/>
      <c r="AV58" s="216"/>
      <c r="AW58" s="216"/>
      <c r="AX58" s="216"/>
      <c r="AY58" s="216"/>
      <c r="AZ58" s="217"/>
      <c r="BA58" s="215" t="s">
        <v>520</v>
      </c>
      <c r="BB58" s="216"/>
      <c r="BC58" s="216"/>
      <c r="BD58" s="216"/>
      <c r="BE58" s="216"/>
      <c r="BF58" s="217"/>
      <c r="BG58" s="215" t="s">
        <v>521</v>
      </c>
      <c r="BH58" s="217"/>
      <c r="BI58" s="215" t="s">
        <v>522</v>
      </c>
      <c r="BJ58" s="216"/>
      <c r="BK58" s="216"/>
      <c r="BL58" s="216"/>
      <c r="BM58" s="217"/>
      <c r="BN58" s="215" t="s">
        <v>523</v>
      </c>
      <c r="BO58" s="216"/>
      <c r="BP58" s="216"/>
      <c r="BQ58" s="216"/>
      <c r="BR58" s="216"/>
      <c r="BS58" s="216"/>
      <c r="BT58" s="216"/>
      <c r="BU58" s="216"/>
      <c r="BV58" s="216"/>
      <c r="BW58" s="216"/>
      <c r="BX58" s="216"/>
      <c r="BY58" s="216"/>
      <c r="BZ58" s="216"/>
      <c r="CA58" s="216"/>
      <c r="CB58" s="216"/>
      <c r="CC58" s="217"/>
      <c r="CD58" s="215" t="s">
        <v>524</v>
      </c>
      <c r="CE58" s="217"/>
      <c r="CF58" s="215" t="s">
        <v>525</v>
      </c>
      <c r="CG58" s="216"/>
      <c r="CH58" s="216"/>
      <c r="CI58" s="216"/>
      <c r="CJ58" s="216"/>
      <c r="CK58" s="217"/>
      <c r="CL58" s="218"/>
      <c r="CM58" s="215" t="s">
        <v>19</v>
      </c>
      <c r="CN58" s="216"/>
      <c r="CO58" s="216"/>
      <c r="CP58" s="217"/>
      <c r="CQ58" s="215" t="s">
        <v>526</v>
      </c>
      <c r="CR58" s="216"/>
      <c r="CS58" s="216"/>
      <c r="CT58" s="216"/>
      <c r="CU58" s="217"/>
      <c r="CV58" s="215" t="s">
        <v>527</v>
      </c>
      <c r="CW58" s="217"/>
      <c r="CX58" s="24"/>
      <c r="CY58" s="24"/>
      <c r="CZ58" s="24"/>
      <c r="DA58" s="24"/>
      <c r="DB58" s="24"/>
      <c r="DC58" s="24"/>
      <c r="DD58" s="24"/>
      <c r="DE58" s="24"/>
      <c r="DF58" s="24"/>
      <c r="DG58" s="24"/>
      <c r="DH58" s="24"/>
      <c r="DI58" s="24"/>
      <c r="DJ58" s="24"/>
      <c r="DK58" s="24"/>
      <c r="DL58" s="24"/>
      <c r="DM58" s="24"/>
      <c r="DN58" s="24"/>
      <c r="DO58" s="24"/>
      <c r="DP58" s="24"/>
      <c r="DQ58" s="24"/>
      <c r="DR58" s="24"/>
      <c r="DS58" s="24"/>
      <c r="DT58" s="24"/>
      <c r="DU58" s="24"/>
      <c r="DV58" s="24"/>
      <c r="DW58" s="24"/>
      <c r="DX58" s="24"/>
      <c r="DY58" s="24"/>
      <c r="DZ58" s="24"/>
      <c r="EA58" s="24"/>
    </row>
    <row r="59" spans="1:131" ht="127.5">
      <c r="A59" s="195" t="s">
        <v>387</v>
      </c>
      <c r="B59" s="196" t="s">
        <v>388</v>
      </c>
      <c r="C59" s="197" t="s">
        <v>11</v>
      </c>
      <c r="D59" s="197" t="s">
        <v>528</v>
      </c>
      <c r="E59" s="197" t="s">
        <v>529</v>
      </c>
      <c r="F59" s="197" t="s">
        <v>530</v>
      </c>
      <c r="G59" s="197" t="s">
        <v>531</v>
      </c>
      <c r="H59" s="197" t="s">
        <v>532</v>
      </c>
      <c r="I59" s="197" t="s">
        <v>533</v>
      </c>
      <c r="J59" s="197" t="s">
        <v>534</v>
      </c>
      <c r="K59" s="197" t="s">
        <v>535</v>
      </c>
      <c r="L59" s="197" t="s">
        <v>536</v>
      </c>
      <c r="M59" s="197" t="s">
        <v>537</v>
      </c>
      <c r="N59" s="197" t="s">
        <v>538</v>
      </c>
      <c r="O59" s="197" t="s">
        <v>539</v>
      </c>
      <c r="P59" s="197" t="s">
        <v>540</v>
      </c>
      <c r="Q59" s="197" t="s">
        <v>541</v>
      </c>
      <c r="R59" s="197" t="s">
        <v>542</v>
      </c>
      <c r="S59" s="197" t="s">
        <v>543</v>
      </c>
      <c r="T59" s="197" t="s">
        <v>544</v>
      </c>
      <c r="U59" s="197" t="s">
        <v>451</v>
      </c>
      <c r="V59" s="197" t="s">
        <v>542</v>
      </c>
      <c r="W59" s="197" t="s">
        <v>543</v>
      </c>
      <c r="X59" s="197" t="s">
        <v>544</v>
      </c>
      <c r="Y59" s="197" t="s">
        <v>451</v>
      </c>
      <c r="Z59" s="197" t="s">
        <v>542</v>
      </c>
      <c r="AA59" s="197" t="s">
        <v>543</v>
      </c>
      <c r="AB59" s="197" t="s">
        <v>544</v>
      </c>
      <c r="AC59" s="197" t="s">
        <v>451</v>
      </c>
      <c r="AD59" s="197" t="s">
        <v>542</v>
      </c>
      <c r="AE59" s="197" t="s">
        <v>543</v>
      </c>
      <c r="AF59" s="197" t="s">
        <v>544</v>
      </c>
      <c r="AG59" s="197" t="s">
        <v>451</v>
      </c>
      <c r="AH59" s="197" t="s">
        <v>542</v>
      </c>
      <c r="AI59" s="197" t="s">
        <v>543</v>
      </c>
      <c r="AJ59" s="197" t="s">
        <v>544</v>
      </c>
      <c r="AK59" s="197" t="s">
        <v>451</v>
      </c>
      <c r="AL59" s="197" t="s">
        <v>545</v>
      </c>
      <c r="AM59" s="197" t="s">
        <v>546</v>
      </c>
      <c r="AN59" s="197" t="s">
        <v>547</v>
      </c>
      <c r="AO59" s="197" t="s">
        <v>548</v>
      </c>
      <c r="AP59" s="197" t="s">
        <v>549</v>
      </c>
      <c r="AQ59" s="197" t="s">
        <v>550</v>
      </c>
      <c r="AR59" s="197" t="s">
        <v>551</v>
      </c>
      <c r="AS59" s="197" t="s">
        <v>552</v>
      </c>
      <c r="AT59" s="197" t="s">
        <v>553</v>
      </c>
      <c r="AU59" s="197" t="s">
        <v>554</v>
      </c>
      <c r="AV59" s="197" t="s">
        <v>555</v>
      </c>
      <c r="AW59" s="197" t="s">
        <v>556</v>
      </c>
      <c r="AX59" s="197" t="s">
        <v>557</v>
      </c>
      <c r="AY59" s="197" t="s">
        <v>558</v>
      </c>
      <c r="AZ59" s="197" t="s">
        <v>559</v>
      </c>
      <c r="BA59" s="197" t="s">
        <v>560</v>
      </c>
      <c r="BB59" s="197" t="s">
        <v>561</v>
      </c>
      <c r="BC59" s="197" t="s">
        <v>562</v>
      </c>
      <c r="BD59" s="197" t="s">
        <v>563</v>
      </c>
      <c r="BE59" s="197" t="s">
        <v>564</v>
      </c>
      <c r="BF59" s="197" t="s">
        <v>565</v>
      </c>
      <c r="BG59" s="197" t="s">
        <v>566</v>
      </c>
      <c r="BH59" s="197" t="s">
        <v>567</v>
      </c>
      <c r="BI59" s="197" t="s">
        <v>568</v>
      </c>
      <c r="BJ59" s="197" t="s">
        <v>569</v>
      </c>
      <c r="BK59" s="197" t="s">
        <v>570</v>
      </c>
      <c r="BL59" s="197" t="s">
        <v>571</v>
      </c>
      <c r="BM59" s="197" t="s">
        <v>572</v>
      </c>
      <c r="BN59" s="197" t="s">
        <v>573</v>
      </c>
      <c r="BO59" s="197" t="s">
        <v>574</v>
      </c>
      <c r="BP59" s="197" t="s">
        <v>575</v>
      </c>
      <c r="BQ59" s="197" t="s">
        <v>576</v>
      </c>
      <c r="BR59" s="197" t="s">
        <v>577</v>
      </c>
      <c r="BS59" s="197" t="s">
        <v>578</v>
      </c>
      <c r="BT59" s="197" t="s">
        <v>579</v>
      </c>
      <c r="BU59" s="197" t="s">
        <v>580</v>
      </c>
      <c r="BV59" s="197" t="s">
        <v>581</v>
      </c>
      <c r="BW59" s="197" t="s">
        <v>582</v>
      </c>
      <c r="BX59" s="197" t="s">
        <v>583</v>
      </c>
      <c r="BY59" s="197" t="s">
        <v>584</v>
      </c>
      <c r="BZ59" s="197" t="s">
        <v>585</v>
      </c>
      <c r="CA59" s="197" t="s">
        <v>586</v>
      </c>
      <c r="CB59" s="197" t="s">
        <v>587</v>
      </c>
      <c r="CC59" s="197" t="s">
        <v>588</v>
      </c>
      <c r="CD59" s="197" t="s">
        <v>398</v>
      </c>
      <c r="CE59" s="197" t="s">
        <v>397</v>
      </c>
      <c r="CF59" s="197" t="s">
        <v>589</v>
      </c>
      <c r="CG59" s="197" t="s">
        <v>590</v>
      </c>
      <c r="CH59" s="197" t="s">
        <v>591</v>
      </c>
      <c r="CI59" s="197" t="s">
        <v>592</v>
      </c>
      <c r="CJ59" s="197" t="s">
        <v>593</v>
      </c>
      <c r="CK59" s="197" t="s">
        <v>594</v>
      </c>
      <c r="CL59" s="197"/>
      <c r="CM59" s="197" t="s">
        <v>595</v>
      </c>
      <c r="CN59" s="197" t="s">
        <v>596</v>
      </c>
      <c r="CO59" s="197" t="s">
        <v>597</v>
      </c>
      <c r="CP59" s="197" t="s">
        <v>598</v>
      </c>
      <c r="CQ59" s="197" t="s">
        <v>599</v>
      </c>
      <c r="CR59" s="197" t="s">
        <v>600</v>
      </c>
      <c r="CS59" s="197" t="s">
        <v>601</v>
      </c>
      <c r="CT59" s="197" t="s">
        <v>602</v>
      </c>
      <c r="CU59" s="197" t="s">
        <v>603</v>
      </c>
      <c r="CV59" s="197" t="s">
        <v>604</v>
      </c>
      <c r="CW59" s="219" t="s">
        <v>605</v>
      </c>
      <c r="CX59" s="24"/>
      <c r="CY59" s="24"/>
      <c r="CZ59" s="24"/>
      <c r="DA59" s="24"/>
      <c r="DB59" s="24"/>
      <c r="DC59" s="24"/>
      <c r="DD59" s="24"/>
      <c r="DE59" s="24"/>
      <c r="DF59" s="24"/>
      <c r="DG59" s="24"/>
      <c r="DH59" s="24"/>
      <c r="DI59" s="24"/>
      <c r="DJ59" s="24"/>
      <c r="DK59" s="24"/>
      <c r="DL59" s="24"/>
      <c r="DM59" s="24"/>
      <c r="DN59" s="24"/>
      <c r="DO59" s="24"/>
      <c r="DP59" s="24"/>
      <c r="DQ59" s="24"/>
      <c r="DR59" s="24"/>
      <c r="DS59" s="24"/>
      <c r="DT59" s="24"/>
      <c r="DU59" s="24"/>
      <c r="DV59" s="24"/>
      <c r="DW59" s="24"/>
      <c r="DX59" s="24"/>
      <c r="DY59" s="24"/>
      <c r="DZ59" s="24"/>
      <c r="EA59" s="24"/>
    </row>
    <row r="60" spans="1:131">
      <c r="A60" s="24" t="s">
        <v>413</v>
      </c>
      <c r="B60" s="24" t="s">
        <v>606</v>
      </c>
      <c r="C60" s="45">
        <v>11.627906976744185</v>
      </c>
      <c r="D60" s="45">
        <v>743.50510204081638</v>
      </c>
      <c r="E60" s="45">
        <v>0</v>
      </c>
      <c r="F60" s="45">
        <v>83.017365819435099</v>
      </c>
      <c r="G60" s="45">
        <v>0</v>
      </c>
      <c r="H60" s="45">
        <v>-31.892806128994682</v>
      </c>
      <c r="I60" s="45" t="s">
        <v>368</v>
      </c>
      <c r="J60" s="45"/>
      <c r="K60" s="45"/>
      <c r="L60" s="45">
        <v>797.11017216400808</v>
      </c>
      <c r="M60" s="45">
        <v>0.18605727234504985</v>
      </c>
      <c r="N60" s="45">
        <v>0.18471439438945222</v>
      </c>
      <c r="O60" s="45">
        <v>0</v>
      </c>
      <c r="P60" s="45">
        <v>0</v>
      </c>
      <c r="Q60" s="45">
        <v>0</v>
      </c>
      <c r="R60" s="45">
        <v>16.554771732056992</v>
      </c>
      <c r="S60" s="45">
        <v>38.255559506217139</v>
      </c>
      <c r="T60" s="45">
        <v>0</v>
      </c>
      <c r="U60" s="45">
        <v>80.982999892927637</v>
      </c>
      <c r="V60" s="45" t="s">
        <v>607</v>
      </c>
      <c r="W60" s="45" t="s">
        <v>607</v>
      </c>
      <c r="X60" s="45" t="s">
        <v>607</v>
      </c>
      <c r="Y60" s="45" t="s">
        <v>607</v>
      </c>
      <c r="Z60" s="45">
        <v>0</v>
      </c>
      <c r="AA60" s="45">
        <v>0</v>
      </c>
      <c r="AB60" s="45">
        <v>0</v>
      </c>
      <c r="AC60" s="45">
        <v>0</v>
      </c>
      <c r="AD60" s="45">
        <v>0</v>
      </c>
      <c r="AE60" s="45">
        <v>0</v>
      </c>
      <c r="AF60" s="45">
        <v>0</v>
      </c>
      <c r="AG60" s="45">
        <v>-31.892806128994682</v>
      </c>
      <c r="AH60" s="45">
        <v>16.554771732056992</v>
      </c>
      <c r="AI60" s="45">
        <v>38.255559506217139</v>
      </c>
      <c r="AJ60" s="45">
        <v>0</v>
      </c>
      <c r="AK60" s="45">
        <v>49.090193763932959</v>
      </c>
      <c r="AL60" s="45">
        <v>103.90052500220709</v>
      </c>
      <c r="AM60" s="45">
        <v>382.06298648166677</v>
      </c>
      <c r="AN60" s="45">
        <v>65.743055300617698</v>
      </c>
      <c r="AO60" s="45">
        <v>0</v>
      </c>
      <c r="AP60" s="45">
        <v>0</v>
      </c>
      <c r="AQ60" s="45">
        <v>447.80604178228447</v>
      </c>
      <c r="AR60" s="45">
        <v>16.554771732056992</v>
      </c>
      <c r="AS60" s="199">
        <v>27.049967769422267</v>
      </c>
      <c r="AT60" s="45">
        <v>382.06298648166677</v>
      </c>
      <c r="AU60" s="45">
        <v>77.820195911337436</v>
      </c>
      <c r="AV60" s="45">
        <v>0</v>
      </c>
      <c r="AW60" s="45">
        <v>0</v>
      </c>
      <c r="AX60" s="45">
        <v>459.88318239300418</v>
      </c>
      <c r="AY60" s="45">
        <v>38.255559506217139</v>
      </c>
      <c r="AZ60" s="199">
        <v>12.021342474896121</v>
      </c>
      <c r="BA60" s="45">
        <v>382.06298648166677</v>
      </c>
      <c r="BB60" s="45">
        <v>143.56325121195513</v>
      </c>
      <c r="BC60" s="45">
        <v>0</v>
      </c>
      <c r="BD60" s="45">
        <v>0</v>
      </c>
      <c r="BE60" s="45">
        <v>525.62623769362187</v>
      </c>
      <c r="BF60" s="45">
        <v>54.810331238274131</v>
      </c>
      <c r="BG60" s="45">
        <v>-8.192838865311181</v>
      </c>
      <c r="BH60" s="199">
        <v>9.5899117158879044</v>
      </c>
      <c r="BI60" s="45">
        <v>1.5281815774959473</v>
      </c>
      <c r="BJ60" s="45">
        <v>3.5313951904872898</v>
      </c>
      <c r="BK60" s="45">
        <v>0</v>
      </c>
      <c r="BL60" s="45">
        <v>4.5315472155065128</v>
      </c>
      <c r="BM60" s="45">
        <v>9.5911239834897497</v>
      </c>
      <c r="BN60" s="45">
        <v>382.06298648166677</v>
      </c>
      <c r="BO60" s="45">
        <v>0</v>
      </c>
      <c r="BP60" s="45">
        <v>143.56325121195513</v>
      </c>
      <c r="BQ60" s="45">
        <v>0</v>
      </c>
      <c r="BR60" s="45">
        <v>0</v>
      </c>
      <c r="BS60" s="45">
        <v>0</v>
      </c>
      <c r="BT60" s="45">
        <v>0</v>
      </c>
      <c r="BU60" s="45">
        <v>0</v>
      </c>
      <c r="BV60" s="45">
        <v>0</v>
      </c>
      <c r="BW60" s="45">
        <v>0</v>
      </c>
      <c r="BX60" s="45">
        <v>135.79333113120177</v>
      </c>
      <c r="BY60" s="45"/>
      <c r="BZ60" s="45">
        <v>0</v>
      </c>
      <c r="CA60" s="45">
        <v>-31.892806128994682</v>
      </c>
      <c r="CB60" s="45">
        <v>525.62623769362187</v>
      </c>
      <c r="CC60" s="45">
        <v>103.90052500220709</v>
      </c>
      <c r="CD60" s="199">
        <v>4.1056437689414134</v>
      </c>
      <c r="CE60" s="45">
        <v>-3.6612916498046664</v>
      </c>
      <c r="CF60" s="45">
        <v>7.5725666984285294</v>
      </c>
      <c r="CG60" s="45">
        <v>0</v>
      </c>
      <c r="CH60" s="45">
        <v>7.5725666984285294</v>
      </c>
      <c r="CI60" s="45">
        <v>0.37862733177790386</v>
      </c>
      <c r="CJ60" s="45">
        <v>0</v>
      </c>
      <c r="CK60" s="45">
        <v>0.37862733177790386</v>
      </c>
      <c r="CL60" s="45"/>
      <c r="CM60" s="45">
        <v>0</v>
      </c>
      <c r="CN60" s="45"/>
      <c r="CO60" s="45">
        <v>0</v>
      </c>
      <c r="CP60" s="45">
        <v>0</v>
      </c>
      <c r="CQ60" s="45">
        <v>0</v>
      </c>
      <c r="CR60" s="45">
        <v>0</v>
      </c>
      <c r="CS60" s="45">
        <v>0</v>
      </c>
      <c r="CT60" s="45">
        <v>0</v>
      </c>
      <c r="CU60" s="45">
        <v>0</v>
      </c>
      <c r="CV60" s="45">
        <v>9999</v>
      </c>
      <c r="CW60" s="199">
        <v>9999</v>
      </c>
      <c r="CX60" s="24"/>
      <c r="CY60" s="24"/>
      <c r="CZ60" s="24"/>
      <c r="DA60" s="24"/>
      <c r="DB60" s="24"/>
      <c r="DC60" s="24"/>
      <c r="DD60" s="24"/>
      <c r="DE60" s="24"/>
      <c r="DF60" s="24"/>
      <c r="DG60" s="24"/>
      <c r="DH60" s="24"/>
      <c r="DI60" s="24"/>
      <c r="DJ60" s="24"/>
      <c r="DK60" s="24"/>
      <c r="DL60" s="24"/>
      <c r="DM60" s="24"/>
      <c r="DN60" s="24"/>
      <c r="DO60" s="24"/>
      <c r="DP60" s="24"/>
      <c r="DQ60" s="24"/>
      <c r="DR60" s="24"/>
      <c r="DS60" s="24"/>
      <c r="DT60" s="24"/>
      <c r="DU60" s="24"/>
      <c r="DV60" s="24"/>
      <c r="DW60" s="24"/>
      <c r="DX60" s="24"/>
      <c r="DY60" s="24"/>
      <c r="DZ60" s="24"/>
      <c r="EA60" s="24"/>
    </row>
    <row r="61" spans="1:131">
      <c r="A61" s="24" t="s">
        <v>423</v>
      </c>
      <c r="B61" s="24" t="s">
        <v>608</v>
      </c>
      <c r="C61" s="45">
        <v>11.627906976744185</v>
      </c>
      <c r="D61" s="45">
        <v>1298.0734693877553</v>
      </c>
      <c r="E61" s="45">
        <v>0</v>
      </c>
      <c r="F61" s="45">
        <v>134.02315442591345</v>
      </c>
      <c r="G61" s="45">
        <v>0</v>
      </c>
      <c r="H61" s="45">
        <v>-59.569394411177889</v>
      </c>
      <c r="I61" s="45" t="s">
        <v>368</v>
      </c>
      <c r="J61" s="45"/>
      <c r="K61" s="45"/>
      <c r="L61" s="45">
        <v>1391.6616897786967</v>
      </c>
      <c r="M61" s="45">
        <v>0.32483436677816196</v>
      </c>
      <c r="N61" s="45">
        <v>0.32248985798864294</v>
      </c>
      <c r="O61" s="45">
        <v>0</v>
      </c>
      <c r="P61" s="45">
        <v>0</v>
      </c>
      <c r="Q61" s="45">
        <v>0</v>
      </c>
      <c r="R61" s="45">
        <v>26.726007341126671</v>
      </c>
      <c r="S61" s="45">
        <v>61.759737962574029</v>
      </c>
      <c r="T61" s="45">
        <v>0</v>
      </c>
      <c r="U61" s="45">
        <v>130.73887605793738</v>
      </c>
      <c r="V61" s="45" t="s">
        <v>607</v>
      </c>
      <c r="W61" s="45" t="s">
        <v>607</v>
      </c>
      <c r="X61" s="45" t="s">
        <v>607</v>
      </c>
      <c r="Y61" s="45" t="s">
        <v>607</v>
      </c>
      <c r="Z61" s="45">
        <v>0</v>
      </c>
      <c r="AA61" s="45">
        <v>0</v>
      </c>
      <c r="AB61" s="45">
        <v>0</v>
      </c>
      <c r="AC61" s="45">
        <v>0</v>
      </c>
      <c r="AD61" s="45">
        <v>0</v>
      </c>
      <c r="AE61" s="45">
        <v>0</v>
      </c>
      <c r="AF61" s="45">
        <v>0</v>
      </c>
      <c r="AG61" s="45">
        <v>-59.569394411177889</v>
      </c>
      <c r="AH61" s="45">
        <v>26.726007341126671</v>
      </c>
      <c r="AI61" s="45">
        <v>61.759737962574029</v>
      </c>
      <c r="AJ61" s="45">
        <v>0</v>
      </c>
      <c r="AK61" s="45">
        <v>71.169481646759493</v>
      </c>
      <c r="AL61" s="45">
        <v>159.65522695046019</v>
      </c>
      <c r="AM61" s="45">
        <v>667.03755633364551</v>
      </c>
      <c r="AN61" s="45">
        <v>114.77973136697989</v>
      </c>
      <c r="AO61" s="45">
        <v>0</v>
      </c>
      <c r="AP61" s="45">
        <v>0</v>
      </c>
      <c r="AQ61" s="45">
        <v>781.81728770062546</v>
      </c>
      <c r="AR61" s="45">
        <v>26.726007341126671</v>
      </c>
      <c r="AS61" s="199">
        <v>29.253052194502125</v>
      </c>
      <c r="AT61" s="45">
        <v>667.03755633364551</v>
      </c>
      <c r="AU61" s="45">
        <v>135.86501480324617</v>
      </c>
      <c r="AV61" s="45">
        <v>0</v>
      </c>
      <c r="AW61" s="45">
        <v>0</v>
      </c>
      <c r="AX61" s="45">
        <v>802.90257113689165</v>
      </c>
      <c r="AY61" s="45">
        <v>61.759737962574029</v>
      </c>
      <c r="AZ61" s="199">
        <v>13.000420623925656</v>
      </c>
      <c r="BA61" s="45">
        <v>667.03755633364551</v>
      </c>
      <c r="BB61" s="45">
        <v>250.64474617022606</v>
      </c>
      <c r="BC61" s="45">
        <v>0</v>
      </c>
      <c r="BD61" s="45">
        <v>0</v>
      </c>
      <c r="BE61" s="45">
        <v>917.6823025038716</v>
      </c>
      <c r="BF61" s="45">
        <v>88.485745303700696</v>
      </c>
      <c r="BG61" s="45">
        <v>-8.5738820023119331</v>
      </c>
      <c r="BH61" s="199">
        <v>10.370962004718423</v>
      </c>
      <c r="BI61" s="45">
        <v>1.4130922866523732</v>
      </c>
      <c r="BJ61" s="45">
        <v>3.265441344330112</v>
      </c>
      <c r="BK61" s="45">
        <v>0</v>
      </c>
      <c r="BL61" s="45">
        <v>3.7629655741853081</v>
      </c>
      <c r="BM61" s="45">
        <v>8.4414992051677942</v>
      </c>
      <c r="BN61" s="45">
        <v>667.03755633364551</v>
      </c>
      <c r="BO61" s="45">
        <v>0</v>
      </c>
      <c r="BP61" s="45">
        <v>250.64474617022606</v>
      </c>
      <c r="BQ61" s="45">
        <v>0</v>
      </c>
      <c r="BR61" s="45">
        <v>0</v>
      </c>
      <c r="BS61" s="45">
        <v>0</v>
      </c>
      <c r="BT61" s="45">
        <v>0</v>
      </c>
      <c r="BU61" s="45">
        <v>0</v>
      </c>
      <c r="BV61" s="45">
        <v>0</v>
      </c>
      <c r="BW61" s="45">
        <v>0</v>
      </c>
      <c r="BX61" s="45">
        <v>219.22462136163807</v>
      </c>
      <c r="BY61" s="45"/>
      <c r="BZ61" s="45">
        <v>0</v>
      </c>
      <c r="CA61" s="45">
        <v>-59.569394411177889</v>
      </c>
      <c r="CB61" s="45">
        <v>917.6823025038716</v>
      </c>
      <c r="CC61" s="45">
        <v>159.65522695046019</v>
      </c>
      <c r="CD61" s="199">
        <v>4.4577643279536208</v>
      </c>
      <c r="CE61" s="45">
        <v>-4.8109164281266201</v>
      </c>
      <c r="CF61" s="45">
        <v>13.220821080336949</v>
      </c>
      <c r="CG61" s="45">
        <v>0</v>
      </c>
      <c r="CH61" s="45">
        <v>13.220821080336949</v>
      </c>
      <c r="CI61" s="45">
        <v>0.66103930264488109</v>
      </c>
      <c r="CJ61" s="45">
        <v>0</v>
      </c>
      <c r="CK61" s="45">
        <v>0.66103930264488109</v>
      </c>
      <c r="CL61" s="45"/>
      <c r="CM61" s="45">
        <v>0</v>
      </c>
      <c r="CN61" s="45"/>
      <c r="CO61" s="45">
        <v>0</v>
      </c>
      <c r="CP61" s="45">
        <v>0</v>
      </c>
      <c r="CQ61" s="45">
        <v>0</v>
      </c>
      <c r="CR61" s="45">
        <v>0</v>
      </c>
      <c r="CS61" s="45">
        <v>0</v>
      </c>
      <c r="CT61" s="45">
        <v>0</v>
      </c>
      <c r="CU61" s="45">
        <v>0</v>
      </c>
      <c r="CV61" s="45">
        <v>9999</v>
      </c>
      <c r="CW61" s="199">
        <v>9999</v>
      </c>
      <c r="CX61" s="24"/>
      <c r="CY61" s="24"/>
      <c r="CZ61" s="24"/>
      <c r="DA61" s="24"/>
      <c r="DB61" s="24"/>
      <c r="DC61" s="24"/>
      <c r="DD61" s="24"/>
      <c r="DE61" s="24"/>
      <c r="DF61" s="24"/>
      <c r="DG61" s="24"/>
      <c r="DH61" s="24"/>
      <c r="DI61" s="24"/>
      <c r="DJ61" s="24"/>
      <c r="DK61" s="24"/>
      <c r="DL61" s="24"/>
      <c r="DM61" s="24"/>
      <c r="DN61" s="24"/>
      <c r="DO61" s="24"/>
      <c r="DP61" s="24"/>
      <c r="DQ61" s="24"/>
      <c r="DR61" s="24"/>
      <c r="DS61" s="24"/>
      <c r="DT61" s="24"/>
      <c r="DU61" s="24"/>
      <c r="DV61" s="24"/>
      <c r="DW61" s="24"/>
      <c r="DX61" s="24"/>
      <c r="DY61" s="24"/>
      <c r="DZ61" s="24"/>
      <c r="EA61" s="24"/>
    </row>
    <row r="62" spans="1:131">
      <c r="A62" s="24" t="s">
        <v>424</v>
      </c>
      <c r="B62" s="24" t="s">
        <v>609</v>
      </c>
      <c r="C62" s="45">
        <v>11.627906976744185</v>
      </c>
      <c r="D62" s="45">
        <v>3159.841836734694</v>
      </c>
      <c r="E62" s="45">
        <v>0</v>
      </c>
      <c r="F62" s="45">
        <v>532.0694632777404</v>
      </c>
      <c r="G62" s="45">
        <v>0</v>
      </c>
      <c r="H62" s="45">
        <v>-63.7013755264041</v>
      </c>
      <c r="I62" s="45" t="s">
        <v>368</v>
      </c>
      <c r="J62" s="45"/>
      <c r="K62" s="45"/>
      <c r="L62" s="45">
        <v>3387.6594304155228</v>
      </c>
      <c r="M62" s="45">
        <v>0.7907296823799802</v>
      </c>
      <c r="N62" s="45">
        <v>0.7850225501302095</v>
      </c>
      <c r="O62" s="45">
        <v>0</v>
      </c>
      <c r="P62" s="45">
        <v>0</v>
      </c>
      <c r="Q62" s="45">
        <v>0</v>
      </c>
      <c r="R62" s="45">
        <v>106.10175862866241</v>
      </c>
      <c r="S62" s="45">
        <v>245.18502620445005</v>
      </c>
      <c r="T62" s="45">
        <v>0</v>
      </c>
      <c r="U62" s="45">
        <v>519.03093843485806</v>
      </c>
      <c r="V62" s="45" t="s">
        <v>607</v>
      </c>
      <c r="W62" s="45" t="s">
        <v>607</v>
      </c>
      <c r="X62" s="45" t="s">
        <v>607</v>
      </c>
      <c r="Y62" s="45" t="s">
        <v>607</v>
      </c>
      <c r="Z62" s="45">
        <v>0</v>
      </c>
      <c r="AA62" s="45">
        <v>0</v>
      </c>
      <c r="AB62" s="45">
        <v>0</v>
      </c>
      <c r="AC62" s="45">
        <v>0</v>
      </c>
      <c r="AD62" s="45">
        <v>0</v>
      </c>
      <c r="AE62" s="45">
        <v>0</v>
      </c>
      <c r="AF62" s="45">
        <v>0</v>
      </c>
      <c r="AG62" s="45">
        <v>-63.7013755264041</v>
      </c>
      <c r="AH62" s="45">
        <v>106.10175862866241</v>
      </c>
      <c r="AI62" s="45">
        <v>245.18502620445005</v>
      </c>
      <c r="AJ62" s="45">
        <v>0</v>
      </c>
      <c r="AK62" s="45">
        <v>455.32956290845397</v>
      </c>
      <c r="AL62" s="45">
        <v>806.61634774156641</v>
      </c>
      <c r="AM62" s="45">
        <v>1623.7395084967363</v>
      </c>
      <c r="AN62" s="45">
        <v>279.40313528911093</v>
      </c>
      <c r="AO62" s="45">
        <v>0</v>
      </c>
      <c r="AP62" s="45">
        <v>0</v>
      </c>
      <c r="AQ62" s="45">
        <v>1903.1426437858472</v>
      </c>
      <c r="AR62" s="45">
        <v>106.10175862866241</v>
      </c>
      <c r="AS62" s="199">
        <v>17.936956638452276</v>
      </c>
      <c r="AT62" s="45">
        <v>1623.7395084967363</v>
      </c>
      <c r="AU62" s="45">
        <v>330.73009197727737</v>
      </c>
      <c r="AV62" s="45">
        <v>0</v>
      </c>
      <c r="AW62" s="45">
        <v>0</v>
      </c>
      <c r="AX62" s="45">
        <v>1954.4696004740138</v>
      </c>
      <c r="AY62" s="45">
        <v>245.18502620445005</v>
      </c>
      <c r="AZ62" s="199">
        <v>7.9714068625229144</v>
      </c>
      <c r="BA62" s="45">
        <v>1623.7395084967363</v>
      </c>
      <c r="BB62" s="45">
        <v>610.1332272663883</v>
      </c>
      <c r="BC62" s="45">
        <v>0</v>
      </c>
      <c r="BD62" s="45">
        <v>0</v>
      </c>
      <c r="BE62" s="45">
        <v>2233.8727357631246</v>
      </c>
      <c r="BF62" s="45">
        <v>351.28678483311245</v>
      </c>
      <c r="BG62" s="45">
        <v>-5.6222813100911129</v>
      </c>
      <c r="BH62" s="199">
        <v>6.3591140692194887</v>
      </c>
      <c r="BI62" s="45">
        <v>2.3045861820546318</v>
      </c>
      <c r="BJ62" s="45">
        <v>5.3255481411486745</v>
      </c>
      <c r="BK62" s="45">
        <v>0</v>
      </c>
      <c r="BL62" s="45">
        <v>9.8899983612178044</v>
      </c>
      <c r="BM62" s="45">
        <v>17.52013268442111</v>
      </c>
      <c r="BN62" s="45">
        <v>1623.7395084967363</v>
      </c>
      <c r="BO62" s="45">
        <v>0</v>
      </c>
      <c r="BP62" s="45">
        <v>610.1332272663883</v>
      </c>
      <c r="BQ62" s="45">
        <v>0</v>
      </c>
      <c r="BR62" s="45">
        <v>0</v>
      </c>
      <c r="BS62" s="45">
        <v>0</v>
      </c>
      <c r="BT62" s="45">
        <v>0</v>
      </c>
      <c r="BU62" s="45">
        <v>0</v>
      </c>
      <c r="BV62" s="45">
        <v>0</v>
      </c>
      <c r="BW62" s="45">
        <v>0</v>
      </c>
      <c r="BX62" s="45">
        <v>870.31772326797045</v>
      </c>
      <c r="BY62" s="45"/>
      <c r="BZ62" s="45">
        <v>0</v>
      </c>
      <c r="CA62" s="45">
        <v>-63.7013755264041</v>
      </c>
      <c r="CB62" s="45">
        <v>2233.8727357631246</v>
      </c>
      <c r="CC62" s="45">
        <v>806.6163477415663</v>
      </c>
      <c r="CD62" s="199">
        <v>2.6399256844527184</v>
      </c>
      <c r="CE62" s="45">
        <v>4.2677170511266853</v>
      </c>
      <c r="CF62" s="45">
        <v>32.182849854666841</v>
      </c>
      <c r="CG62" s="45">
        <v>0</v>
      </c>
      <c r="CH62" s="45">
        <v>32.182849854666841</v>
      </c>
      <c r="CI62" s="45">
        <v>1.6091382294473737</v>
      </c>
      <c r="CJ62" s="45">
        <v>0</v>
      </c>
      <c r="CK62" s="45">
        <v>1.6091382294473737</v>
      </c>
      <c r="CL62" s="45"/>
      <c r="CM62" s="45">
        <v>0</v>
      </c>
      <c r="CN62" s="45"/>
      <c r="CO62" s="45">
        <v>0</v>
      </c>
      <c r="CP62" s="45">
        <v>0</v>
      </c>
      <c r="CQ62" s="45">
        <v>0</v>
      </c>
      <c r="CR62" s="45">
        <v>0</v>
      </c>
      <c r="CS62" s="45">
        <v>0</v>
      </c>
      <c r="CT62" s="45">
        <v>0</v>
      </c>
      <c r="CU62" s="45">
        <v>0</v>
      </c>
      <c r="CV62" s="45">
        <v>9999</v>
      </c>
      <c r="CW62" s="199">
        <v>9999</v>
      </c>
      <c r="CX62" s="24"/>
      <c r="CY62" s="24"/>
      <c r="CZ62" s="24"/>
      <c r="DA62" s="24"/>
      <c r="DB62" s="24"/>
      <c r="DC62" s="24"/>
      <c r="DD62" s="24"/>
      <c r="DE62" s="24"/>
      <c r="DF62" s="24"/>
      <c r="DG62" s="24"/>
      <c r="DH62" s="24"/>
      <c r="DI62" s="24"/>
      <c r="DJ62" s="24"/>
      <c r="DK62" s="24"/>
      <c r="DL62" s="24"/>
      <c r="DM62" s="24"/>
      <c r="DN62" s="24"/>
      <c r="DO62" s="24"/>
      <c r="DP62" s="24"/>
      <c r="DQ62" s="24"/>
      <c r="DR62" s="24"/>
      <c r="DS62" s="24"/>
      <c r="DT62" s="24"/>
      <c r="DU62" s="24"/>
      <c r="DV62" s="24"/>
      <c r="DW62" s="24"/>
      <c r="DX62" s="24"/>
      <c r="DY62" s="24"/>
      <c r="DZ62" s="24"/>
      <c r="EA62" s="24"/>
    </row>
    <row r="63" spans="1:131">
      <c r="A63" s="24" t="s">
        <v>427</v>
      </c>
      <c r="B63" s="24" t="s">
        <v>610</v>
      </c>
      <c r="C63" s="45">
        <v>11.627906976744185</v>
      </c>
      <c r="D63" s="45">
        <v>743.50510204081638</v>
      </c>
      <c r="E63" s="45">
        <v>0</v>
      </c>
      <c r="F63" s="45">
        <v>260.08403248610176</v>
      </c>
      <c r="G63" s="45">
        <v>0</v>
      </c>
      <c r="H63" s="45">
        <v>-31.892806128994682</v>
      </c>
      <c r="I63" s="45" t="s">
        <v>368</v>
      </c>
      <c r="J63" s="45"/>
      <c r="K63" s="45"/>
      <c r="L63" s="45">
        <v>797.11017216400808</v>
      </c>
      <c r="M63" s="45">
        <v>0.18605727234504985</v>
      </c>
      <c r="N63" s="45">
        <v>0.18471439438945222</v>
      </c>
      <c r="O63" s="45">
        <v>0</v>
      </c>
      <c r="P63" s="45">
        <v>0</v>
      </c>
      <c r="Q63" s="45">
        <v>0</v>
      </c>
      <c r="R63" s="45">
        <v>51.864230410841614</v>
      </c>
      <c r="S63" s="45">
        <v>119.85034797453999</v>
      </c>
      <c r="T63" s="45">
        <v>0</v>
      </c>
      <c r="U63" s="45">
        <v>253.71059376643433</v>
      </c>
      <c r="V63" s="45" t="s">
        <v>607</v>
      </c>
      <c r="W63" s="45" t="s">
        <v>607</v>
      </c>
      <c r="X63" s="45" t="s">
        <v>607</v>
      </c>
      <c r="Y63" s="45" t="s">
        <v>607</v>
      </c>
      <c r="Z63" s="45">
        <v>0</v>
      </c>
      <c r="AA63" s="45">
        <v>0</v>
      </c>
      <c r="AB63" s="45">
        <v>0</v>
      </c>
      <c r="AC63" s="45">
        <v>0</v>
      </c>
      <c r="AD63" s="45">
        <v>0</v>
      </c>
      <c r="AE63" s="45">
        <v>0</v>
      </c>
      <c r="AF63" s="45">
        <v>0</v>
      </c>
      <c r="AG63" s="45">
        <v>-31.892806128994682</v>
      </c>
      <c r="AH63" s="45">
        <v>51.864230410841614</v>
      </c>
      <c r="AI63" s="45">
        <v>119.85034797453999</v>
      </c>
      <c r="AJ63" s="45">
        <v>0</v>
      </c>
      <c r="AK63" s="45">
        <v>221.81778763743964</v>
      </c>
      <c r="AL63" s="45">
        <v>393.53236602282124</v>
      </c>
      <c r="AM63" s="45">
        <v>382.06298648166677</v>
      </c>
      <c r="AN63" s="45">
        <v>65.743055300617698</v>
      </c>
      <c r="AO63" s="45">
        <v>0</v>
      </c>
      <c r="AP63" s="45">
        <v>0</v>
      </c>
      <c r="AQ63" s="45">
        <v>447.80604178228447</v>
      </c>
      <c r="AR63" s="45">
        <v>51.864230410841614</v>
      </c>
      <c r="AS63" s="199">
        <v>8.6341981407030737</v>
      </c>
      <c r="AT63" s="45">
        <v>382.06298648166677</v>
      </c>
      <c r="AU63" s="45">
        <v>77.820195911337436</v>
      </c>
      <c r="AV63" s="45">
        <v>0</v>
      </c>
      <c r="AW63" s="45">
        <v>0</v>
      </c>
      <c r="AX63" s="45">
        <v>459.88318239300418</v>
      </c>
      <c r="AY63" s="45">
        <v>119.85034797453999</v>
      </c>
      <c r="AZ63" s="199">
        <v>3.8371451578154612</v>
      </c>
      <c r="BA63" s="45">
        <v>382.06298648166677</v>
      </c>
      <c r="BB63" s="45">
        <v>143.56325121195513</v>
      </c>
      <c r="BC63" s="45">
        <v>0</v>
      </c>
      <c r="BD63" s="45">
        <v>0</v>
      </c>
      <c r="BE63" s="45">
        <v>525.62623769362187</v>
      </c>
      <c r="BF63" s="45">
        <v>171.7145783853816</v>
      </c>
      <c r="BG63" s="45">
        <v>2.5986670347852652</v>
      </c>
      <c r="BH63" s="199">
        <v>3.0610460837748503</v>
      </c>
      <c r="BI63" s="45">
        <v>4.7876203144122202</v>
      </c>
      <c r="BJ63" s="45">
        <v>11.063462353667457</v>
      </c>
      <c r="BK63" s="45">
        <v>0</v>
      </c>
      <c r="BL63" s="45">
        <v>20.476141991860878</v>
      </c>
      <c r="BM63" s="45">
        <v>36.327224659940555</v>
      </c>
      <c r="BN63" s="45">
        <v>382.06298648166677</v>
      </c>
      <c r="BO63" s="45">
        <v>0</v>
      </c>
      <c r="BP63" s="45">
        <v>143.56325121195513</v>
      </c>
      <c r="BQ63" s="45">
        <v>0</v>
      </c>
      <c r="BR63" s="45">
        <v>0</v>
      </c>
      <c r="BS63" s="45">
        <v>0</v>
      </c>
      <c r="BT63" s="45">
        <v>0</v>
      </c>
      <c r="BU63" s="45">
        <v>0</v>
      </c>
      <c r="BV63" s="45">
        <v>0</v>
      </c>
      <c r="BW63" s="45">
        <v>0</v>
      </c>
      <c r="BX63" s="45">
        <v>425.4251721518159</v>
      </c>
      <c r="BY63" s="45"/>
      <c r="BZ63" s="45">
        <v>0</v>
      </c>
      <c r="CA63" s="45">
        <v>-31.892806128994682</v>
      </c>
      <c r="CB63" s="45">
        <v>525.62623769362187</v>
      </c>
      <c r="CC63" s="45">
        <v>393.53236602282124</v>
      </c>
      <c r="CD63" s="199">
        <v>1.3104984855566142</v>
      </c>
      <c r="CE63" s="45">
        <v>23.07480902664614</v>
      </c>
      <c r="CF63" s="45">
        <v>7.5725666984285294</v>
      </c>
      <c r="CG63" s="45">
        <v>0</v>
      </c>
      <c r="CH63" s="45">
        <v>7.5725666984285294</v>
      </c>
      <c r="CI63" s="45">
        <v>0.37862733177790386</v>
      </c>
      <c r="CJ63" s="45">
        <v>0</v>
      </c>
      <c r="CK63" s="45">
        <v>0.37862733177790386</v>
      </c>
      <c r="CL63" s="45"/>
      <c r="CM63" s="45">
        <v>0</v>
      </c>
      <c r="CN63" s="45"/>
      <c r="CO63" s="45">
        <v>0</v>
      </c>
      <c r="CP63" s="45">
        <v>0</v>
      </c>
      <c r="CQ63" s="45">
        <v>0</v>
      </c>
      <c r="CR63" s="45">
        <v>0</v>
      </c>
      <c r="CS63" s="45">
        <v>0</v>
      </c>
      <c r="CT63" s="45">
        <v>0</v>
      </c>
      <c r="CU63" s="45">
        <v>0</v>
      </c>
      <c r="CV63" s="45">
        <v>9999</v>
      </c>
      <c r="CW63" s="199">
        <v>9999</v>
      </c>
      <c r="CX63" s="24"/>
      <c r="CY63" s="24"/>
      <c r="CZ63" s="24"/>
      <c r="DA63" s="24"/>
      <c r="DB63" s="24"/>
      <c r="DC63" s="24"/>
      <c r="DD63" s="24"/>
      <c r="DE63" s="24"/>
      <c r="DF63" s="24"/>
      <c r="DG63" s="24"/>
      <c r="DH63" s="24"/>
      <c r="DI63" s="24"/>
      <c r="DJ63" s="24"/>
      <c r="DK63" s="24"/>
      <c r="DL63" s="24"/>
      <c r="DM63" s="24"/>
      <c r="DN63" s="24"/>
      <c r="DO63" s="24"/>
      <c r="DP63" s="24"/>
      <c r="DQ63" s="24"/>
      <c r="DR63" s="24"/>
      <c r="DS63" s="24"/>
      <c r="DT63" s="24"/>
      <c r="DU63" s="24"/>
      <c r="DV63" s="24"/>
      <c r="DW63" s="24"/>
      <c r="DX63" s="24"/>
      <c r="DY63" s="24"/>
      <c r="DZ63" s="24"/>
      <c r="EA63" s="24"/>
    </row>
    <row r="64" spans="1:131">
      <c r="A64" s="24" t="s">
        <v>429</v>
      </c>
      <c r="B64" s="24" t="s">
        <v>611</v>
      </c>
      <c r="C64" s="45">
        <v>11.627906976744185</v>
      </c>
      <c r="D64" s="45">
        <v>1298.0734693877553</v>
      </c>
      <c r="E64" s="45">
        <v>0</v>
      </c>
      <c r="F64" s="45">
        <v>338.08982109258011</v>
      </c>
      <c r="G64" s="45">
        <v>0</v>
      </c>
      <c r="H64" s="45">
        <v>-59.569394411177889</v>
      </c>
      <c r="I64" s="45" t="s">
        <v>368</v>
      </c>
      <c r="J64" s="45"/>
      <c r="K64" s="45"/>
      <c r="L64" s="45">
        <v>1391.6616897786967</v>
      </c>
      <c r="M64" s="45">
        <v>0.32483436677816196</v>
      </c>
      <c r="N64" s="45">
        <v>0.32248985798864294</v>
      </c>
      <c r="O64" s="45">
        <v>0</v>
      </c>
      <c r="P64" s="45">
        <v>0</v>
      </c>
      <c r="Q64" s="45">
        <v>0</v>
      </c>
      <c r="R64" s="45">
        <v>67.419626699469944</v>
      </c>
      <c r="S64" s="45">
        <v>155.79650283514036</v>
      </c>
      <c r="T64" s="45">
        <v>0</v>
      </c>
      <c r="U64" s="45">
        <v>329.80482667796895</v>
      </c>
      <c r="V64" s="45" t="s">
        <v>607</v>
      </c>
      <c r="W64" s="45" t="s">
        <v>607</v>
      </c>
      <c r="X64" s="45" t="s">
        <v>607</v>
      </c>
      <c r="Y64" s="45" t="s">
        <v>607</v>
      </c>
      <c r="Z64" s="45">
        <v>0</v>
      </c>
      <c r="AA64" s="45">
        <v>0</v>
      </c>
      <c r="AB64" s="45">
        <v>0</v>
      </c>
      <c r="AC64" s="45">
        <v>0</v>
      </c>
      <c r="AD64" s="45">
        <v>0</v>
      </c>
      <c r="AE64" s="45">
        <v>0</v>
      </c>
      <c r="AF64" s="45">
        <v>0</v>
      </c>
      <c r="AG64" s="45">
        <v>-59.569394411177889</v>
      </c>
      <c r="AH64" s="45">
        <v>67.419626699469944</v>
      </c>
      <c r="AI64" s="45">
        <v>155.79650283514036</v>
      </c>
      <c r="AJ64" s="45">
        <v>0</v>
      </c>
      <c r="AK64" s="45">
        <v>270.23543226679107</v>
      </c>
      <c r="AL64" s="45">
        <v>493.45156180140134</v>
      </c>
      <c r="AM64" s="45">
        <v>667.03755633364551</v>
      </c>
      <c r="AN64" s="45">
        <v>114.77973136697989</v>
      </c>
      <c r="AO64" s="45">
        <v>0</v>
      </c>
      <c r="AP64" s="45">
        <v>0</v>
      </c>
      <c r="AQ64" s="45">
        <v>781.81728770062546</v>
      </c>
      <c r="AR64" s="45">
        <v>67.419626699469944</v>
      </c>
      <c r="AS64" s="199">
        <v>11.596286214779237</v>
      </c>
      <c r="AT64" s="45">
        <v>667.03755633364551</v>
      </c>
      <c r="AU64" s="45">
        <v>135.86501480324617</v>
      </c>
      <c r="AV64" s="45">
        <v>0</v>
      </c>
      <c r="AW64" s="45">
        <v>0</v>
      </c>
      <c r="AX64" s="45">
        <v>802.90257113689165</v>
      </c>
      <c r="AY64" s="45">
        <v>155.79650283514036</v>
      </c>
      <c r="AZ64" s="199">
        <v>5.1535339787857843</v>
      </c>
      <c r="BA64" s="45">
        <v>667.03755633364551</v>
      </c>
      <c r="BB64" s="45">
        <v>250.64474617022606</v>
      </c>
      <c r="BC64" s="45">
        <v>0</v>
      </c>
      <c r="BD64" s="45">
        <v>0</v>
      </c>
      <c r="BE64" s="45">
        <v>917.6823025038716</v>
      </c>
      <c r="BF64" s="45">
        <v>223.2161295346103</v>
      </c>
      <c r="BG64" s="45">
        <v>-1.450241560836885</v>
      </c>
      <c r="BH64" s="199">
        <v>4.1111827555525391</v>
      </c>
      <c r="BI64" s="45">
        <v>3.5646983569969763</v>
      </c>
      <c r="BJ64" s="45">
        <v>8.2374757154605547</v>
      </c>
      <c r="BK64" s="45">
        <v>0</v>
      </c>
      <c r="BL64" s="45">
        <v>14.288239917106681</v>
      </c>
      <c r="BM64" s="45">
        <v>26.090413989564208</v>
      </c>
      <c r="BN64" s="45">
        <v>667.03755633364551</v>
      </c>
      <c r="BO64" s="45">
        <v>0</v>
      </c>
      <c r="BP64" s="45">
        <v>250.64474617022606</v>
      </c>
      <c r="BQ64" s="45">
        <v>0</v>
      </c>
      <c r="BR64" s="45">
        <v>0</v>
      </c>
      <c r="BS64" s="45">
        <v>0</v>
      </c>
      <c r="BT64" s="45">
        <v>0</v>
      </c>
      <c r="BU64" s="45">
        <v>0</v>
      </c>
      <c r="BV64" s="45">
        <v>0</v>
      </c>
      <c r="BW64" s="45">
        <v>0</v>
      </c>
      <c r="BX64" s="45">
        <v>553.02095621257922</v>
      </c>
      <c r="BY64" s="45"/>
      <c r="BZ64" s="45">
        <v>0</v>
      </c>
      <c r="CA64" s="45">
        <v>-59.569394411177889</v>
      </c>
      <c r="CB64" s="45">
        <v>917.6823025038716</v>
      </c>
      <c r="CC64" s="45">
        <v>493.45156180140134</v>
      </c>
      <c r="CD64" s="199">
        <v>1.7671151263558944</v>
      </c>
      <c r="CE64" s="45">
        <v>12.837998356269795</v>
      </c>
      <c r="CF64" s="45">
        <v>13.220821080336949</v>
      </c>
      <c r="CG64" s="45">
        <v>0</v>
      </c>
      <c r="CH64" s="45">
        <v>13.220821080336949</v>
      </c>
      <c r="CI64" s="45">
        <v>0.66103930264488109</v>
      </c>
      <c r="CJ64" s="45">
        <v>0</v>
      </c>
      <c r="CK64" s="45">
        <v>0.66103930264488109</v>
      </c>
      <c r="CL64" s="45"/>
      <c r="CM64" s="45">
        <v>0</v>
      </c>
      <c r="CN64" s="45"/>
      <c r="CO64" s="45">
        <v>0</v>
      </c>
      <c r="CP64" s="45">
        <v>0</v>
      </c>
      <c r="CQ64" s="45">
        <v>0</v>
      </c>
      <c r="CR64" s="45">
        <v>0</v>
      </c>
      <c r="CS64" s="45">
        <v>0</v>
      </c>
      <c r="CT64" s="45">
        <v>0</v>
      </c>
      <c r="CU64" s="45">
        <v>0</v>
      </c>
      <c r="CV64" s="45">
        <v>9999</v>
      </c>
      <c r="CW64" s="199">
        <v>9999</v>
      </c>
      <c r="CX64" s="24"/>
      <c r="CY64" s="24"/>
      <c r="CZ64" s="24"/>
      <c r="DA64" s="24"/>
      <c r="DB64" s="24"/>
      <c r="DC64" s="24"/>
      <c r="DD64" s="24"/>
      <c r="DE64" s="24"/>
      <c r="DF64" s="24"/>
      <c r="DG64" s="24"/>
      <c r="DH64" s="24"/>
      <c r="DI64" s="24"/>
      <c r="DJ64" s="24"/>
      <c r="DK64" s="24"/>
      <c r="DL64" s="24"/>
      <c r="DM64" s="24"/>
      <c r="DN64" s="24"/>
      <c r="DO64" s="24"/>
      <c r="DP64" s="24"/>
      <c r="DQ64" s="24"/>
      <c r="DR64" s="24"/>
      <c r="DS64" s="24"/>
      <c r="DT64" s="24"/>
      <c r="DU64" s="24"/>
      <c r="DV64" s="24"/>
      <c r="DW64" s="24"/>
      <c r="DX64" s="24"/>
      <c r="DY64" s="24"/>
      <c r="DZ64" s="24"/>
      <c r="EA64" s="24"/>
    </row>
    <row r="65" spans="1:131">
      <c r="A65" s="24" t="s">
        <v>433</v>
      </c>
      <c r="B65" s="24" t="s">
        <v>612</v>
      </c>
      <c r="C65" s="45">
        <v>11.627906976744185</v>
      </c>
      <c r="D65" s="45">
        <v>3159.841836734694</v>
      </c>
      <c r="E65" s="45">
        <v>0</v>
      </c>
      <c r="F65" s="45">
        <v>984.136129944407</v>
      </c>
      <c r="G65" s="45">
        <v>0</v>
      </c>
      <c r="H65" s="45">
        <v>-63.7013755264041</v>
      </c>
      <c r="I65" s="45" t="s">
        <v>368</v>
      </c>
      <c r="J65" s="45"/>
      <c r="K65" s="45"/>
      <c r="L65" s="45">
        <v>3387.6594304155228</v>
      </c>
      <c r="M65" s="45">
        <v>0.7907296823799802</v>
      </c>
      <c r="N65" s="45">
        <v>0.7850225501302095</v>
      </c>
      <c r="O65" s="45">
        <v>0</v>
      </c>
      <c r="P65" s="45">
        <v>0</v>
      </c>
      <c r="Q65" s="45">
        <v>0</v>
      </c>
      <c r="R65" s="45">
        <v>196.24989089554438</v>
      </c>
      <c r="S65" s="45">
        <v>453.50364841969747</v>
      </c>
      <c r="T65" s="45">
        <v>0</v>
      </c>
      <c r="U65" s="45">
        <v>960.01957324519276</v>
      </c>
      <c r="V65" s="45" t="s">
        <v>607</v>
      </c>
      <c r="W65" s="45" t="s">
        <v>607</v>
      </c>
      <c r="X65" s="45" t="s">
        <v>607</v>
      </c>
      <c r="Y65" s="45" t="s">
        <v>607</v>
      </c>
      <c r="Z65" s="45">
        <v>0</v>
      </c>
      <c r="AA65" s="45">
        <v>0</v>
      </c>
      <c r="AB65" s="45">
        <v>0</v>
      </c>
      <c r="AC65" s="45">
        <v>0</v>
      </c>
      <c r="AD65" s="45">
        <v>0</v>
      </c>
      <c r="AE65" s="45">
        <v>0</v>
      </c>
      <c r="AF65" s="45">
        <v>0</v>
      </c>
      <c r="AG65" s="45">
        <v>-63.7013755264041</v>
      </c>
      <c r="AH65" s="45">
        <v>196.24989089554438</v>
      </c>
      <c r="AI65" s="45">
        <v>453.50364841969747</v>
      </c>
      <c r="AJ65" s="45">
        <v>0</v>
      </c>
      <c r="AK65" s="45">
        <v>896.31819771878861</v>
      </c>
      <c r="AL65" s="45">
        <v>1546.0717370340305</v>
      </c>
      <c r="AM65" s="45">
        <v>1623.7395084967363</v>
      </c>
      <c r="AN65" s="45">
        <v>279.40313528911093</v>
      </c>
      <c r="AO65" s="45">
        <v>0</v>
      </c>
      <c r="AP65" s="45">
        <v>0</v>
      </c>
      <c r="AQ65" s="45">
        <v>1903.1426437858472</v>
      </c>
      <c r="AR65" s="45">
        <v>196.24989089554438</v>
      </c>
      <c r="AS65" s="199">
        <v>9.6975475252560042</v>
      </c>
      <c r="AT65" s="45">
        <v>1623.7395084967363</v>
      </c>
      <c r="AU65" s="45">
        <v>330.73009197727737</v>
      </c>
      <c r="AV65" s="45">
        <v>0</v>
      </c>
      <c r="AW65" s="45">
        <v>0</v>
      </c>
      <c r="AX65" s="45">
        <v>1954.4696004740138</v>
      </c>
      <c r="AY65" s="45">
        <v>453.50364841969747</v>
      </c>
      <c r="AZ65" s="199">
        <v>4.3097108640352966</v>
      </c>
      <c r="BA65" s="45">
        <v>1623.7395084967363</v>
      </c>
      <c r="BB65" s="45">
        <v>610.1332272663883</v>
      </c>
      <c r="BC65" s="45">
        <v>0</v>
      </c>
      <c r="BD65" s="45">
        <v>0</v>
      </c>
      <c r="BE65" s="45">
        <v>2233.8727357631246</v>
      </c>
      <c r="BF65" s="45">
        <v>649.75353931524182</v>
      </c>
      <c r="BG65" s="45">
        <v>0.86057408337635544</v>
      </c>
      <c r="BH65" s="199">
        <v>3.4380308849373016</v>
      </c>
      <c r="BI65" s="45">
        <v>4.2626511815933545</v>
      </c>
      <c r="BJ65" s="45">
        <v>9.8503385350774231</v>
      </c>
      <c r="BK65" s="45">
        <v>0</v>
      </c>
      <c r="BL65" s="45">
        <v>19.468504197147375</v>
      </c>
      <c r="BM65" s="45">
        <v>33.58149391381815</v>
      </c>
      <c r="BN65" s="45">
        <v>1623.7395084967363</v>
      </c>
      <c r="BO65" s="45">
        <v>0</v>
      </c>
      <c r="BP65" s="45">
        <v>610.1332272663883</v>
      </c>
      <c r="BQ65" s="45">
        <v>0</v>
      </c>
      <c r="BR65" s="45">
        <v>0</v>
      </c>
      <c r="BS65" s="45">
        <v>0</v>
      </c>
      <c r="BT65" s="45">
        <v>0</v>
      </c>
      <c r="BU65" s="45">
        <v>0</v>
      </c>
      <c r="BV65" s="45">
        <v>0</v>
      </c>
      <c r="BW65" s="45">
        <v>0</v>
      </c>
      <c r="BX65" s="45">
        <v>1609.7731125604346</v>
      </c>
      <c r="BY65" s="45"/>
      <c r="BZ65" s="45">
        <v>0</v>
      </c>
      <c r="CA65" s="45">
        <v>-63.7013755264041</v>
      </c>
      <c r="CB65" s="45">
        <v>2233.8727357631246</v>
      </c>
      <c r="CC65" s="45">
        <v>1546.0717370340305</v>
      </c>
      <c r="CD65" s="199">
        <v>1.4272658012253092</v>
      </c>
      <c r="CE65" s="45">
        <v>20.329078280523731</v>
      </c>
      <c r="CF65" s="45">
        <v>32.182849854666841</v>
      </c>
      <c r="CG65" s="45">
        <v>0</v>
      </c>
      <c r="CH65" s="45">
        <v>32.182849854666841</v>
      </c>
      <c r="CI65" s="45">
        <v>1.6091382294473737</v>
      </c>
      <c r="CJ65" s="45">
        <v>0</v>
      </c>
      <c r="CK65" s="45">
        <v>1.6091382294473737</v>
      </c>
      <c r="CL65" s="45"/>
      <c r="CM65" s="45">
        <v>0</v>
      </c>
      <c r="CN65" s="45"/>
      <c r="CO65" s="45">
        <v>0</v>
      </c>
      <c r="CP65" s="45">
        <v>0</v>
      </c>
      <c r="CQ65" s="45">
        <v>0</v>
      </c>
      <c r="CR65" s="45">
        <v>0</v>
      </c>
      <c r="CS65" s="45">
        <v>0</v>
      </c>
      <c r="CT65" s="45">
        <v>0</v>
      </c>
      <c r="CU65" s="45">
        <v>0</v>
      </c>
      <c r="CV65" s="45">
        <v>9999</v>
      </c>
      <c r="CW65" s="199">
        <v>9999</v>
      </c>
      <c r="CX65" s="24"/>
      <c r="CY65" s="24"/>
      <c r="CZ65" s="24"/>
      <c r="DA65" s="24"/>
      <c r="DB65" s="24"/>
      <c r="DC65" s="24"/>
      <c r="DD65" s="24"/>
      <c r="DE65" s="24"/>
      <c r="DF65" s="24"/>
      <c r="DG65" s="24"/>
      <c r="DH65" s="24"/>
      <c r="DI65" s="24"/>
      <c r="DJ65" s="24"/>
      <c r="DK65" s="24"/>
      <c r="DL65" s="24"/>
      <c r="DM65" s="24"/>
      <c r="DN65" s="24"/>
      <c r="DO65" s="24"/>
      <c r="DP65" s="24"/>
      <c r="DQ65" s="24"/>
      <c r="DR65" s="24"/>
      <c r="DS65" s="24"/>
      <c r="DT65" s="24"/>
      <c r="DU65" s="24"/>
      <c r="DV65" s="24"/>
      <c r="DW65" s="24"/>
      <c r="DX65" s="24"/>
      <c r="DY65" s="24"/>
      <c r="DZ65" s="24"/>
      <c r="EA65" s="24"/>
    </row>
    <row r="66" spans="1:131">
      <c r="A66" s="24" t="s">
        <v>431</v>
      </c>
      <c r="B66" s="24" t="s">
        <v>613</v>
      </c>
      <c r="C66" s="45">
        <v>11.627906976744185</v>
      </c>
      <c r="D66" s="45">
        <v>743.50510204081638</v>
      </c>
      <c r="E66" s="45">
        <v>0</v>
      </c>
      <c r="F66" s="45">
        <v>285.91736581943508</v>
      </c>
      <c r="G66" s="45">
        <v>0</v>
      </c>
      <c r="H66" s="45">
        <v>-31.892806128994682</v>
      </c>
      <c r="I66" s="45" t="s">
        <v>368</v>
      </c>
      <c r="J66" s="45"/>
      <c r="K66" s="45"/>
      <c r="L66" s="45">
        <v>797.11017216400808</v>
      </c>
      <c r="M66" s="45">
        <v>0.18605727234504985</v>
      </c>
      <c r="N66" s="45">
        <v>0.18471439438945222</v>
      </c>
      <c r="O66" s="45">
        <v>0</v>
      </c>
      <c r="P66" s="45">
        <v>0</v>
      </c>
      <c r="Q66" s="45">
        <v>0</v>
      </c>
      <c r="R66" s="45">
        <v>57.015742172147732</v>
      </c>
      <c r="S66" s="45">
        <v>131.75470811440258</v>
      </c>
      <c r="T66" s="45">
        <v>0</v>
      </c>
      <c r="U66" s="45">
        <v>278.91087336959083</v>
      </c>
      <c r="V66" s="45" t="s">
        <v>607</v>
      </c>
      <c r="W66" s="45" t="s">
        <v>607</v>
      </c>
      <c r="X66" s="45" t="s">
        <v>607</v>
      </c>
      <c r="Y66" s="45" t="s">
        <v>607</v>
      </c>
      <c r="Z66" s="45">
        <v>0</v>
      </c>
      <c r="AA66" s="45">
        <v>0</v>
      </c>
      <c r="AB66" s="45">
        <v>0</v>
      </c>
      <c r="AC66" s="45">
        <v>0</v>
      </c>
      <c r="AD66" s="45">
        <v>0</v>
      </c>
      <c r="AE66" s="45">
        <v>0</v>
      </c>
      <c r="AF66" s="45">
        <v>0</v>
      </c>
      <c r="AG66" s="45">
        <v>-31.892806128994682</v>
      </c>
      <c r="AH66" s="45">
        <v>57.015742172147732</v>
      </c>
      <c r="AI66" s="45">
        <v>131.75470811440258</v>
      </c>
      <c r="AJ66" s="45">
        <v>0</v>
      </c>
      <c r="AK66" s="45">
        <v>247.01806724059614</v>
      </c>
      <c r="AL66" s="45">
        <v>435.78851752714644</v>
      </c>
      <c r="AM66" s="45">
        <v>382.06298648166677</v>
      </c>
      <c r="AN66" s="45">
        <v>65.743055300617698</v>
      </c>
      <c r="AO66" s="45">
        <v>0</v>
      </c>
      <c r="AP66" s="45">
        <v>0</v>
      </c>
      <c r="AQ66" s="45">
        <v>447.80604178228447</v>
      </c>
      <c r="AR66" s="45">
        <v>57.015742172147732</v>
      </c>
      <c r="AS66" s="199">
        <v>7.8540772201162072</v>
      </c>
      <c r="AT66" s="45">
        <v>382.06298648166677</v>
      </c>
      <c r="AU66" s="45">
        <v>77.820195911337436</v>
      </c>
      <c r="AV66" s="45">
        <v>0</v>
      </c>
      <c r="AW66" s="45">
        <v>0</v>
      </c>
      <c r="AX66" s="45">
        <v>459.88318239300418</v>
      </c>
      <c r="AY66" s="45">
        <v>131.75470811440258</v>
      </c>
      <c r="AZ66" s="199">
        <v>3.49044970744945</v>
      </c>
      <c r="BA66" s="45">
        <v>382.06298648166677</v>
      </c>
      <c r="BB66" s="45">
        <v>143.56325121195513</v>
      </c>
      <c r="BC66" s="45">
        <v>0</v>
      </c>
      <c r="BD66" s="45">
        <v>0</v>
      </c>
      <c r="BE66" s="45">
        <v>525.62623769362187</v>
      </c>
      <c r="BF66" s="45">
        <v>188.7704502865503</v>
      </c>
      <c r="BG66" s="45">
        <v>4.1731054897127322</v>
      </c>
      <c r="BH66" s="199">
        <v>2.7844730830261319</v>
      </c>
      <c r="BI66" s="45">
        <v>5.26315966326578</v>
      </c>
      <c r="BJ66" s="45">
        <v>12.162361459741369</v>
      </c>
      <c r="BK66" s="45">
        <v>0</v>
      </c>
      <c r="BL66" s="45">
        <v>22.802395936076728</v>
      </c>
      <c r="BM66" s="45">
        <v>40.227917059083879</v>
      </c>
      <c r="BN66" s="45">
        <v>382.06298648166677</v>
      </c>
      <c r="BO66" s="45">
        <v>0</v>
      </c>
      <c r="BP66" s="45">
        <v>143.56325121195513</v>
      </c>
      <c r="BQ66" s="45">
        <v>0</v>
      </c>
      <c r="BR66" s="45">
        <v>0</v>
      </c>
      <c r="BS66" s="45">
        <v>0</v>
      </c>
      <c r="BT66" s="45">
        <v>0</v>
      </c>
      <c r="BU66" s="45">
        <v>0</v>
      </c>
      <c r="BV66" s="45">
        <v>0</v>
      </c>
      <c r="BW66" s="45">
        <v>0</v>
      </c>
      <c r="BX66" s="45">
        <v>467.6813236561411</v>
      </c>
      <c r="BY66" s="45"/>
      <c r="BZ66" s="45">
        <v>0</v>
      </c>
      <c r="CA66" s="45">
        <v>-31.892806128994682</v>
      </c>
      <c r="CB66" s="45">
        <v>525.62623769362187</v>
      </c>
      <c r="CC66" s="45">
        <v>435.78851752714644</v>
      </c>
      <c r="CD66" s="199">
        <v>1.1920917420096253</v>
      </c>
      <c r="CE66" s="45">
        <v>26.97550142578946</v>
      </c>
      <c r="CF66" s="45">
        <v>7.5725666984285294</v>
      </c>
      <c r="CG66" s="45">
        <v>0</v>
      </c>
      <c r="CH66" s="45">
        <v>7.5725666984285294</v>
      </c>
      <c r="CI66" s="45">
        <v>0.37862733177790386</v>
      </c>
      <c r="CJ66" s="45">
        <v>0</v>
      </c>
      <c r="CK66" s="45">
        <v>0.37862733177790386</v>
      </c>
      <c r="CL66" s="45"/>
      <c r="CM66" s="45">
        <v>0</v>
      </c>
      <c r="CN66" s="45"/>
      <c r="CO66" s="45">
        <v>0</v>
      </c>
      <c r="CP66" s="45">
        <v>0</v>
      </c>
      <c r="CQ66" s="45">
        <v>0</v>
      </c>
      <c r="CR66" s="45">
        <v>0</v>
      </c>
      <c r="CS66" s="45">
        <v>0</v>
      </c>
      <c r="CT66" s="45">
        <v>0</v>
      </c>
      <c r="CU66" s="45">
        <v>0</v>
      </c>
      <c r="CV66" s="45">
        <v>9999</v>
      </c>
      <c r="CW66" s="199">
        <v>9999</v>
      </c>
      <c r="CX66" s="24"/>
      <c r="CY66" s="24"/>
      <c r="CZ66" s="24"/>
      <c r="DA66" s="24"/>
      <c r="DB66" s="24"/>
      <c r="DC66" s="24"/>
      <c r="DD66" s="24"/>
      <c r="DE66" s="24"/>
      <c r="DF66" s="24"/>
      <c r="DG66" s="24"/>
      <c r="DH66" s="24"/>
      <c r="DI66" s="24"/>
      <c r="DJ66" s="24"/>
      <c r="DK66" s="24"/>
      <c r="DL66" s="24"/>
      <c r="DM66" s="24"/>
      <c r="DN66" s="24"/>
      <c r="DO66" s="24"/>
      <c r="DP66" s="24"/>
      <c r="DQ66" s="24"/>
      <c r="DR66" s="24"/>
      <c r="DS66" s="24"/>
      <c r="DT66" s="24"/>
      <c r="DU66" s="24"/>
      <c r="DV66" s="24"/>
      <c r="DW66" s="24"/>
      <c r="DX66" s="24"/>
      <c r="DY66" s="24"/>
      <c r="DZ66" s="24"/>
      <c r="EA66" s="24"/>
    </row>
    <row r="67" spans="1:131">
      <c r="A67" s="24" t="s">
        <v>432</v>
      </c>
      <c r="B67" s="24" t="s">
        <v>614</v>
      </c>
      <c r="C67" s="45">
        <v>11.627906976744185</v>
      </c>
      <c r="D67" s="45">
        <v>1298.0734693877553</v>
      </c>
      <c r="E67" s="45">
        <v>0</v>
      </c>
      <c r="F67" s="45">
        <v>366.92315442591342</v>
      </c>
      <c r="G67" s="45">
        <v>0</v>
      </c>
      <c r="H67" s="45">
        <v>-59.569394411177889</v>
      </c>
      <c r="I67" s="45" t="s">
        <v>368</v>
      </c>
      <c r="J67" s="45"/>
      <c r="K67" s="45"/>
      <c r="L67" s="45">
        <v>1391.6616897786967</v>
      </c>
      <c r="M67" s="45">
        <v>0.32483436677816196</v>
      </c>
      <c r="N67" s="45">
        <v>0.32248985798864294</v>
      </c>
      <c r="O67" s="45">
        <v>0</v>
      </c>
      <c r="P67" s="45">
        <v>0</v>
      </c>
      <c r="Q67" s="45">
        <v>0</v>
      </c>
      <c r="R67" s="45">
        <v>73.169378536282579</v>
      </c>
      <c r="S67" s="45">
        <v>169.08330479769668</v>
      </c>
      <c r="T67" s="45">
        <v>0</v>
      </c>
      <c r="U67" s="45">
        <v>357.93159036407275</v>
      </c>
      <c r="V67" s="45" t="s">
        <v>607</v>
      </c>
      <c r="W67" s="45" t="s">
        <v>607</v>
      </c>
      <c r="X67" s="45" t="s">
        <v>607</v>
      </c>
      <c r="Y67" s="45" t="s">
        <v>607</v>
      </c>
      <c r="Z67" s="45">
        <v>0</v>
      </c>
      <c r="AA67" s="45">
        <v>0</v>
      </c>
      <c r="AB67" s="45">
        <v>0</v>
      </c>
      <c r="AC67" s="45">
        <v>0</v>
      </c>
      <c r="AD67" s="45">
        <v>0</v>
      </c>
      <c r="AE67" s="45">
        <v>0</v>
      </c>
      <c r="AF67" s="45">
        <v>0</v>
      </c>
      <c r="AG67" s="45">
        <v>-59.569394411177889</v>
      </c>
      <c r="AH67" s="45">
        <v>73.169378536282579</v>
      </c>
      <c r="AI67" s="45">
        <v>169.08330479769668</v>
      </c>
      <c r="AJ67" s="45">
        <v>0</v>
      </c>
      <c r="AK67" s="45">
        <v>298.36219595289487</v>
      </c>
      <c r="AL67" s="45">
        <v>540.61487928687416</v>
      </c>
      <c r="AM67" s="45">
        <v>667.03755633364551</v>
      </c>
      <c r="AN67" s="45">
        <v>114.77973136697989</v>
      </c>
      <c r="AO67" s="45">
        <v>0</v>
      </c>
      <c r="AP67" s="45">
        <v>0</v>
      </c>
      <c r="AQ67" s="45">
        <v>781.81728770062546</v>
      </c>
      <c r="AR67" s="45">
        <v>73.169378536282579</v>
      </c>
      <c r="AS67" s="199">
        <v>10.685033867179081</v>
      </c>
      <c r="AT67" s="45">
        <v>667.03755633364551</v>
      </c>
      <c r="AU67" s="45">
        <v>135.86501480324617</v>
      </c>
      <c r="AV67" s="45">
        <v>0</v>
      </c>
      <c r="AW67" s="45">
        <v>0</v>
      </c>
      <c r="AX67" s="45">
        <v>802.90257113689165</v>
      </c>
      <c r="AY67" s="45">
        <v>169.08330479769668</v>
      </c>
      <c r="AZ67" s="199">
        <v>4.748562089542439</v>
      </c>
      <c r="BA67" s="45">
        <v>667.03755633364551</v>
      </c>
      <c r="BB67" s="45">
        <v>250.64474617022606</v>
      </c>
      <c r="BC67" s="45">
        <v>0</v>
      </c>
      <c r="BD67" s="45">
        <v>0</v>
      </c>
      <c r="BE67" s="45">
        <v>917.6823025038716</v>
      </c>
      <c r="BF67" s="45">
        <v>242.25268333397926</v>
      </c>
      <c r="BG67" s="45">
        <v>-0.44371608192870238</v>
      </c>
      <c r="BH67" s="199">
        <v>3.788120279512933</v>
      </c>
      <c r="BI67" s="45">
        <v>3.8687067285827461</v>
      </c>
      <c r="BJ67" s="45">
        <v>8.939992822782969</v>
      </c>
      <c r="BK67" s="45">
        <v>0</v>
      </c>
      <c r="BL67" s="45">
        <v>15.775394818548531</v>
      </c>
      <c r="BM67" s="45">
        <v>28.584094369914251</v>
      </c>
      <c r="BN67" s="45">
        <v>667.03755633364551</v>
      </c>
      <c r="BO67" s="45">
        <v>0</v>
      </c>
      <c r="BP67" s="45">
        <v>250.64474617022606</v>
      </c>
      <c r="BQ67" s="45">
        <v>0</v>
      </c>
      <c r="BR67" s="45">
        <v>0</v>
      </c>
      <c r="BS67" s="45">
        <v>0</v>
      </c>
      <c r="BT67" s="45">
        <v>0</v>
      </c>
      <c r="BU67" s="45">
        <v>0</v>
      </c>
      <c r="BV67" s="45">
        <v>0</v>
      </c>
      <c r="BW67" s="45">
        <v>0</v>
      </c>
      <c r="BX67" s="45">
        <v>600.18427369805204</v>
      </c>
      <c r="BY67" s="45"/>
      <c r="BZ67" s="45">
        <v>0</v>
      </c>
      <c r="CA67" s="45">
        <v>-59.569394411177889</v>
      </c>
      <c r="CB67" s="45">
        <v>917.6823025038716</v>
      </c>
      <c r="CC67" s="45">
        <v>540.61487928687416</v>
      </c>
      <c r="CD67" s="199">
        <v>1.6282527545976606</v>
      </c>
      <c r="CE67" s="45">
        <v>15.33167873661983</v>
      </c>
      <c r="CF67" s="45">
        <v>13.220821080336949</v>
      </c>
      <c r="CG67" s="45">
        <v>0</v>
      </c>
      <c r="CH67" s="45">
        <v>13.220821080336949</v>
      </c>
      <c r="CI67" s="45">
        <v>0.66103930264488109</v>
      </c>
      <c r="CJ67" s="45">
        <v>0</v>
      </c>
      <c r="CK67" s="45">
        <v>0.66103930264488109</v>
      </c>
      <c r="CL67" s="45"/>
      <c r="CM67" s="45">
        <v>0</v>
      </c>
      <c r="CN67" s="45"/>
      <c r="CO67" s="45">
        <v>0</v>
      </c>
      <c r="CP67" s="45">
        <v>0</v>
      </c>
      <c r="CQ67" s="45">
        <v>0</v>
      </c>
      <c r="CR67" s="45">
        <v>0</v>
      </c>
      <c r="CS67" s="45">
        <v>0</v>
      </c>
      <c r="CT67" s="45">
        <v>0</v>
      </c>
      <c r="CU67" s="45">
        <v>0</v>
      </c>
      <c r="CV67" s="45">
        <v>9999</v>
      </c>
      <c r="CW67" s="199">
        <v>9999</v>
      </c>
      <c r="CX67" s="24"/>
      <c r="CY67" s="24"/>
      <c r="CZ67" s="24"/>
      <c r="DA67" s="24"/>
      <c r="DB67" s="24"/>
      <c r="DC67" s="24"/>
      <c r="DD67" s="24"/>
      <c r="DE67" s="24"/>
      <c r="DF67" s="24"/>
      <c r="DG67" s="24"/>
      <c r="DH67" s="24"/>
      <c r="DI67" s="24"/>
      <c r="DJ67" s="24"/>
      <c r="DK67" s="24"/>
      <c r="DL67" s="24"/>
      <c r="DM67" s="24"/>
      <c r="DN67" s="24"/>
      <c r="DO67" s="24"/>
      <c r="DP67" s="24"/>
      <c r="DQ67" s="24"/>
      <c r="DR67" s="24"/>
      <c r="DS67" s="24"/>
      <c r="DT67" s="24"/>
      <c r="DU67" s="24"/>
      <c r="DV67" s="24"/>
      <c r="DW67" s="24"/>
      <c r="DX67" s="24"/>
      <c r="DY67" s="24"/>
      <c r="DZ67" s="24"/>
      <c r="EA67" s="24"/>
    </row>
    <row r="68" spans="1:131">
      <c r="A68" s="24" t="s">
        <v>434</v>
      </c>
      <c r="B68" s="24" t="s">
        <v>615</v>
      </c>
      <c r="C68" s="45">
        <v>11.627906976744185</v>
      </c>
      <c r="D68" s="45">
        <v>3159.841836734694</v>
      </c>
      <c r="E68" s="45">
        <v>0</v>
      </c>
      <c r="F68" s="45">
        <v>1014.9694632777404</v>
      </c>
      <c r="G68" s="45">
        <v>0</v>
      </c>
      <c r="H68" s="45">
        <v>-63.7013755264041</v>
      </c>
      <c r="I68" s="45" t="s">
        <v>368</v>
      </c>
      <c r="J68" s="45"/>
      <c r="K68" s="45"/>
      <c r="L68" s="45">
        <v>3387.6594304155228</v>
      </c>
      <c r="M68" s="45">
        <v>0.7907296823799802</v>
      </c>
      <c r="N68" s="45">
        <v>0.7850225501302095</v>
      </c>
      <c r="O68" s="45">
        <v>0</v>
      </c>
      <c r="P68" s="45">
        <v>0</v>
      </c>
      <c r="Q68" s="45">
        <v>0</v>
      </c>
      <c r="R68" s="45">
        <v>202.39846944936139</v>
      </c>
      <c r="S68" s="45">
        <v>467.71207826404958</v>
      </c>
      <c r="T68" s="45">
        <v>0</v>
      </c>
      <c r="U68" s="45">
        <v>990.09732631992802</v>
      </c>
      <c r="V68" s="45" t="s">
        <v>607</v>
      </c>
      <c r="W68" s="45" t="s">
        <v>607</v>
      </c>
      <c r="X68" s="45" t="s">
        <v>607</v>
      </c>
      <c r="Y68" s="45" t="s">
        <v>607</v>
      </c>
      <c r="Z68" s="45">
        <v>0</v>
      </c>
      <c r="AA68" s="45">
        <v>0</v>
      </c>
      <c r="AB68" s="45">
        <v>0</v>
      </c>
      <c r="AC68" s="45">
        <v>0</v>
      </c>
      <c r="AD68" s="45">
        <v>0</v>
      </c>
      <c r="AE68" s="45">
        <v>0</v>
      </c>
      <c r="AF68" s="45">
        <v>0</v>
      </c>
      <c r="AG68" s="45">
        <v>-63.7013755264041</v>
      </c>
      <c r="AH68" s="45">
        <v>202.39846944936139</v>
      </c>
      <c r="AI68" s="45">
        <v>467.71207826404958</v>
      </c>
      <c r="AJ68" s="45">
        <v>0</v>
      </c>
      <c r="AK68" s="45">
        <v>926.39595079352387</v>
      </c>
      <c r="AL68" s="45">
        <v>1596.5064985069348</v>
      </c>
      <c r="AM68" s="45">
        <v>1623.7395084967363</v>
      </c>
      <c r="AN68" s="45">
        <v>279.40313528911093</v>
      </c>
      <c r="AO68" s="45">
        <v>0</v>
      </c>
      <c r="AP68" s="45">
        <v>0</v>
      </c>
      <c r="AQ68" s="45">
        <v>1903.1426437858472</v>
      </c>
      <c r="AR68" s="45">
        <v>202.39846944936139</v>
      </c>
      <c r="AS68" s="199">
        <v>9.4029497800229151</v>
      </c>
      <c r="AT68" s="45">
        <v>1623.7395084967363</v>
      </c>
      <c r="AU68" s="45">
        <v>330.73009197727737</v>
      </c>
      <c r="AV68" s="45">
        <v>0</v>
      </c>
      <c r="AW68" s="45">
        <v>0</v>
      </c>
      <c r="AX68" s="45">
        <v>1954.4696004740138</v>
      </c>
      <c r="AY68" s="45">
        <v>467.71207826404958</v>
      </c>
      <c r="AZ68" s="199">
        <v>4.1787879580279013</v>
      </c>
      <c r="BA68" s="45">
        <v>1623.7395084967363</v>
      </c>
      <c r="BB68" s="45">
        <v>610.1332272663883</v>
      </c>
      <c r="BC68" s="45">
        <v>0</v>
      </c>
      <c r="BD68" s="45">
        <v>0</v>
      </c>
      <c r="BE68" s="45">
        <v>2233.8727357631246</v>
      </c>
      <c r="BF68" s="45">
        <v>670.11054771341094</v>
      </c>
      <c r="BG68" s="45">
        <v>1.3027390471691176</v>
      </c>
      <c r="BH68" s="199">
        <v>3.3335883808808431</v>
      </c>
      <c r="BI68" s="45">
        <v>4.3962015520824655</v>
      </c>
      <c r="BJ68" s="45">
        <v>10.158953128381071</v>
      </c>
      <c r="BK68" s="45">
        <v>0</v>
      </c>
      <c r="BL68" s="45">
        <v>20.121808864470399</v>
      </c>
      <c r="BM68" s="45">
        <v>34.676963544933933</v>
      </c>
      <c r="BN68" s="45">
        <v>1623.7395084967363</v>
      </c>
      <c r="BO68" s="45">
        <v>0</v>
      </c>
      <c r="BP68" s="45">
        <v>610.1332272663883</v>
      </c>
      <c r="BQ68" s="45">
        <v>0</v>
      </c>
      <c r="BR68" s="45">
        <v>0</v>
      </c>
      <c r="BS68" s="45">
        <v>0</v>
      </c>
      <c r="BT68" s="45">
        <v>0</v>
      </c>
      <c r="BU68" s="45">
        <v>0</v>
      </c>
      <c r="BV68" s="45">
        <v>0</v>
      </c>
      <c r="BW68" s="45">
        <v>0</v>
      </c>
      <c r="BX68" s="45">
        <v>1660.2078740333391</v>
      </c>
      <c r="BY68" s="45"/>
      <c r="BZ68" s="45">
        <v>0</v>
      </c>
      <c r="CA68" s="45">
        <v>-63.7013755264041</v>
      </c>
      <c r="CB68" s="45">
        <v>2233.8727357631246</v>
      </c>
      <c r="CC68" s="45">
        <v>1596.506498506935</v>
      </c>
      <c r="CD68" s="199">
        <v>1.3839074896734229</v>
      </c>
      <c r="CE68" s="45">
        <v>21.424547911639518</v>
      </c>
      <c r="CF68" s="45">
        <v>32.182849854666841</v>
      </c>
      <c r="CG68" s="45">
        <v>0</v>
      </c>
      <c r="CH68" s="45">
        <v>32.182849854666841</v>
      </c>
      <c r="CI68" s="45">
        <v>1.6091382294473737</v>
      </c>
      <c r="CJ68" s="45">
        <v>0</v>
      </c>
      <c r="CK68" s="45">
        <v>1.6091382294473737</v>
      </c>
      <c r="CL68" s="45"/>
      <c r="CM68" s="45">
        <v>0</v>
      </c>
      <c r="CN68" s="45"/>
      <c r="CO68" s="45">
        <v>0</v>
      </c>
      <c r="CP68" s="45">
        <v>0</v>
      </c>
      <c r="CQ68" s="45">
        <v>0</v>
      </c>
      <c r="CR68" s="45">
        <v>0</v>
      </c>
      <c r="CS68" s="45">
        <v>0</v>
      </c>
      <c r="CT68" s="45">
        <v>0</v>
      </c>
      <c r="CU68" s="45">
        <v>0</v>
      </c>
      <c r="CV68" s="45">
        <v>9999</v>
      </c>
      <c r="CW68" s="199">
        <v>9999</v>
      </c>
      <c r="CX68" s="24"/>
      <c r="CY68" s="24"/>
      <c r="CZ68" s="24"/>
      <c r="DA68" s="24"/>
      <c r="DB68" s="24"/>
      <c r="DC68" s="24"/>
      <c r="DD68" s="24"/>
      <c r="DE68" s="24"/>
      <c r="DF68" s="24"/>
      <c r="DG68" s="24"/>
      <c r="DH68" s="24"/>
      <c r="DI68" s="24"/>
      <c r="DJ68" s="24"/>
      <c r="DK68" s="24"/>
      <c r="DL68" s="24"/>
      <c r="DM68" s="24"/>
      <c r="DN68" s="24"/>
      <c r="DO68" s="24"/>
      <c r="DP68" s="24"/>
      <c r="DQ68" s="24"/>
      <c r="DR68" s="24"/>
      <c r="DS68" s="24"/>
      <c r="DT68" s="24"/>
      <c r="DU68" s="24"/>
      <c r="DV68" s="24"/>
      <c r="DW68" s="24"/>
      <c r="DX68" s="24"/>
      <c r="DY68" s="24"/>
      <c r="DZ68" s="24"/>
      <c r="EA68" s="24"/>
    </row>
    <row r="69" spans="1:131">
      <c r="A69" s="24" t="s">
        <v>415</v>
      </c>
      <c r="B69" s="24" t="s">
        <v>616</v>
      </c>
      <c r="C69" s="45">
        <v>16.279069767441861</v>
      </c>
      <c r="D69" s="45">
        <v>649.36581632653053</v>
      </c>
      <c r="E69" s="45">
        <v>0</v>
      </c>
      <c r="F69" s="45">
        <v>7.3019593555087283</v>
      </c>
      <c r="G69" s="45">
        <v>0</v>
      </c>
      <c r="H69" s="45">
        <v>-57.917727227432479</v>
      </c>
      <c r="I69" s="45" t="s">
        <v>368</v>
      </c>
      <c r="J69" s="45"/>
      <c r="K69" s="45"/>
      <c r="L69" s="45">
        <v>696.18365257841458</v>
      </c>
      <c r="M69" s="45">
        <v>0.16249953390797076</v>
      </c>
      <c r="N69" s="45">
        <v>0.16132668514409546</v>
      </c>
      <c r="O69" s="45">
        <v>0</v>
      </c>
      <c r="P69" s="45">
        <v>0</v>
      </c>
      <c r="Q69" s="45">
        <v>0</v>
      </c>
      <c r="R69" s="45">
        <v>1.4561082387283526</v>
      </c>
      <c r="S69" s="45">
        <v>3.3648446668883225</v>
      </c>
      <c r="T69" s="45">
        <v>0</v>
      </c>
      <c r="U69" s="45">
        <v>4.2851339941471842</v>
      </c>
      <c r="V69" s="45" t="s">
        <v>607</v>
      </c>
      <c r="W69" s="45" t="s">
        <v>607</v>
      </c>
      <c r="X69" s="45" t="s">
        <v>607</v>
      </c>
      <c r="Y69" s="45" t="s">
        <v>607</v>
      </c>
      <c r="Z69" s="45">
        <v>0</v>
      </c>
      <c r="AA69" s="45">
        <v>0</v>
      </c>
      <c r="AB69" s="45">
        <v>0</v>
      </c>
      <c r="AC69" s="45">
        <v>0</v>
      </c>
      <c r="AD69" s="45">
        <v>0</v>
      </c>
      <c r="AE69" s="45">
        <v>0</v>
      </c>
      <c r="AF69" s="45">
        <v>0</v>
      </c>
      <c r="AG69" s="45">
        <v>-57.917727227432479</v>
      </c>
      <c r="AH69" s="45">
        <v>1.4561082387283526</v>
      </c>
      <c r="AI69" s="45">
        <v>3.3648446668883225</v>
      </c>
      <c r="AJ69" s="45">
        <v>0</v>
      </c>
      <c r="AK69" s="45">
        <v>-53.632593233285291</v>
      </c>
      <c r="AL69" s="45">
        <v>-48.81164032766862</v>
      </c>
      <c r="AM69" s="45">
        <v>333.6878824688946</v>
      </c>
      <c r="AN69" s="45">
        <v>57.41896411457607</v>
      </c>
      <c r="AO69" s="45">
        <v>0</v>
      </c>
      <c r="AP69" s="45">
        <v>0</v>
      </c>
      <c r="AQ69" s="45">
        <v>391.10684658347066</v>
      </c>
      <c r="AR69" s="45">
        <v>1.4561082387283526</v>
      </c>
      <c r="AS69" s="199">
        <v>268.59737221529065</v>
      </c>
      <c r="AT69" s="45">
        <v>333.6878824688946</v>
      </c>
      <c r="AU69" s="45">
        <v>67.966951277063316</v>
      </c>
      <c r="AV69" s="45">
        <v>0</v>
      </c>
      <c r="AW69" s="45">
        <v>0</v>
      </c>
      <c r="AX69" s="45">
        <v>401.65483374595794</v>
      </c>
      <c r="AY69" s="45">
        <v>3.3648446668883225</v>
      </c>
      <c r="AZ69" s="199">
        <v>119.36801650858752</v>
      </c>
      <c r="BA69" s="45">
        <v>333.6878824688946</v>
      </c>
      <c r="BB69" s="45">
        <v>125.38591539163939</v>
      </c>
      <c r="BC69" s="45">
        <v>0</v>
      </c>
      <c r="BD69" s="45">
        <v>0</v>
      </c>
      <c r="BE69" s="45">
        <v>459.073797860534</v>
      </c>
      <c r="BF69" s="45">
        <v>4.8209529056166751</v>
      </c>
      <c r="BG69" s="45">
        <v>-12.742874577951687</v>
      </c>
      <c r="BH69" s="199">
        <v>95.224700769361959</v>
      </c>
      <c r="BI69" s="45">
        <v>0.15390047220550196</v>
      </c>
      <c r="BJ69" s="45">
        <v>0.35564058313723107</v>
      </c>
      <c r="BK69" s="45">
        <v>0</v>
      </c>
      <c r="BL69" s="45">
        <v>-5.6685905653666682</v>
      </c>
      <c r="BM69" s="45">
        <v>-5.1590495100239355</v>
      </c>
      <c r="BN69" s="45">
        <v>333.6878824688946</v>
      </c>
      <c r="BO69" s="45">
        <v>0</v>
      </c>
      <c r="BP69" s="45">
        <v>125.38591539163939</v>
      </c>
      <c r="BQ69" s="45">
        <v>0</v>
      </c>
      <c r="BR69" s="45">
        <v>0</v>
      </c>
      <c r="BS69" s="45">
        <v>0</v>
      </c>
      <c r="BT69" s="45">
        <v>0</v>
      </c>
      <c r="BU69" s="45">
        <v>0</v>
      </c>
      <c r="BV69" s="45">
        <v>0</v>
      </c>
      <c r="BW69" s="45">
        <v>0</v>
      </c>
      <c r="BX69" s="45">
        <v>9.1060868997638593</v>
      </c>
      <c r="BY69" s="45"/>
      <c r="BZ69" s="45">
        <v>0</v>
      </c>
      <c r="CA69" s="45">
        <v>-57.917727227432479</v>
      </c>
      <c r="CB69" s="45">
        <v>459.073797860534</v>
      </c>
      <c r="CC69" s="45">
        <v>-48.81164032766862</v>
      </c>
      <c r="CD69" s="199">
        <v>56.774279751423542</v>
      </c>
      <c r="CE69" s="45">
        <v>-18.411465143318352</v>
      </c>
      <c r="CF69" s="45">
        <v>6.6137622220945982</v>
      </c>
      <c r="CG69" s="45">
        <v>0</v>
      </c>
      <c r="CH69" s="45">
        <v>6.6137622220945982</v>
      </c>
      <c r="CI69" s="45">
        <v>0.33068723497474706</v>
      </c>
      <c r="CJ69" s="45">
        <v>0</v>
      </c>
      <c r="CK69" s="45">
        <v>0.33068723497474706</v>
      </c>
      <c r="CL69" s="45"/>
      <c r="CM69" s="45">
        <v>0</v>
      </c>
      <c r="CN69" s="45"/>
      <c r="CO69" s="45">
        <v>0</v>
      </c>
      <c r="CP69" s="45">
        <v>0</v>
      </c>
      <c r="CQ69" s="45">
        <v>0</v>
      </c>
      <c r="CR69" s="45">
        <v>0</v>
      </c>
      <c r="CS69" s="45">
        <v>0</v>
      </c>
      <c r="CT69" s="45">
        <v>0</v>
      </c>
      <c r="CU69" s="45">
        <v>0</v>
      </c>
      <c r="CV69" s="45">
        <v>9999</v>
      </c>
      <c r="CW69" s="199">
        <v>9999</v>
      </c>
      <c r="CX69" s="24"/>
      <c r="CY69" s="24"/>
      <c r="CZ69" s="24"/>
      <c r="DA69" s="24"/>
      <c r="DB69" s="24"/>
      <c r="DC69" s="24"/>
      <c r="DD69" s="24"/>
      <c r="DE69" s="24"/>
      <c r="DF69" s="24"/>
      <c r="DG69" s="24"/>
      <c r="DH69" s="24"/>
      <c r="DI69" s="24"/>
      <c r="DJ69" s="24"/>
      <c r="DK69" s="24"/>
      <c r="DL69" s="24"/>
      <c r="DM69" s="24"/>
      <c r="DN69" s="24"/>
      <c r="DO69" s="24"/>
      <c r="DP69" s="24"/>
      <c r="DQ69" s="24"/>
      <c r="DR69" s="24"/>
      <c r="DS69" s="24"/>
      <c r="DT69" s="24"/>
      <c r="DU69" s="24"/>
      <c r="DV69" s="24"/>
      <c r="DW69" s="24"/>
      <c r="DX69" s="24"/>
      <c r="DY69" s="24"/>
      <c r="DZ69" s="24"/>
      <c r="EA69" s="24"/>
    </row>
    <row r="70" spans="1:131">
      <c r="A70" s="24" t="s">
        <v>418</v>
      </c>
      <c r="B70" s="24" t="s">
        <v>617</v>
      </c>
      <c r="C70" s="45">
        <v>16.279069767441861</v>
      </c>
      <c r="D70" s="45">
        <v>1606.9202380952379</v>
      </c>
      <c r="E70" s="45">
        <v>0</v>
      </c>
      <c r="F70" s="45">
        <v>51.863052062075326</v>
      </c>
      <c r="G70" s="45">
        <v>0</v>
      </c>
      <c r="H70" s="45">
        <v>-106.4505816687022</v>
      </c>
      <c r="I70" s="45" t="s">
        <v>368</v>
      </c>
      <c r="J70" s="45"/>
      <c r="K70" s="45"/>
      <c r="L70" s="45">
        <v>1722.7756260529418</v>
      </c>
      <c r="M70" s="45">
        <v>0.40212124376201641</v>
      </c>
      <c r="N70" s="45">
        <v>0.39921891295323159</v>
      </c>
      <c r="O70" s="45">
        <v>0</v>
      </c>
      <c r="P70" s="45">
        <v>0</v>
      </c>
      <c r="Q70" s="45">
        <v>0</v>
      </c>
      <c r="R70" s="45">
        <v>10.34218539387145</v>
      </c>
      <c r="S70" s="45">
        <v>23.899217407718282</v>
      </c>
      <c r="T70" s="45">
        <v>0</v>
      </c>
      <c r="U70" s="45">
        <v>30.435683987170137</v>
      </c>
      <c r="V70" s="45" t="s">
        <v>607</v>
      </c>
      <c r="W70" s="45" t="s">
        <v>607</v>
      </c>
      <c r="X70" s="45" t="s">
        <v>607</v>
      </c>
      <c r="Y70" s="45" t="s">
        <v>607</v>
      </c>
      <c r="Z70" s="45">
        <v>0</v>
      </c>
      <c r="AA70" s="45">
        <v>0</v>
      </c>
      <c r="AB70" s="45">
        <v>0</v>
      </c>
      <c r="AC70" s="45">
        <v>0</v>
      </c>
      <c r="AD70" s="45">
        <v>0</v>
      </c>
      <c r="AE70" s="45">
        <v>0</v>
      </c>
      <c r="AF70" s="45">
        <v>0</v>
      </c>
      <c r="AG70" s="45">
        <v>-106.4505816687022</v>
      </c>
      <c r="AH70" s="45">
        <v>10.34218539387145</v>
      </c>
      <c r="AI70" s="45">
        <v>23.899217407718282</v>
      </c>
      <c r="AJ70" s="45">
        <v>0</v>
      </c>
      <c r="AK70" s="45">
        <v>-76.014897681532062</v>
      </c>
      <c r="AL70" s="45">
        <v>-41.773494879942334</v>
      </c>
      <c r="AM70" s="45">
        <v>825.74382276504309</v>
      </c>
      <c r="AN70" s="45">
        <v>142.08893225722269</v>
      </c>
      <c r="AO70" s="45">
        <v>0</v>
      </c>
      <c r="AP70" s="45">
        <v>0</v>
      </c>
      <c r="AQ70" s="45">
        <v>967.83275502226581</v>
      </c>
      <c r="AR70" s="45">
        <v>10.34218539387145</v>
      </c>
      <c r="AS70" s="199">
        <v>93.581068039621698</v>
      </c>
      <c r="AT70" s="45">
        <v>825.74382276504309</v>
      </c>
      <c r="AU70" s="45">
        <v>168.19097461364754</v>
      </c>
      <c r="AV70" s="45">
        <v>0</v>
      </c>
      <c r="AW70" s="45">
        <v>0</v>
      </c>
      <c r="AX70" s="45">
        <v>993.93479737869063</v>
      </c>
      <c r="AY70" s="45">
        <v>23.899217407718282</v>
      </c>
      <c r="AZ70" s="199">
        <v>41.588591811282413</v>
      </c>
      <c r="BA70" s="45">
        <v>825.74382276504309</v>
      </c>
      <c r="BB70" s="45">
        <v>310.27990687087026</v>
      </c>
      <c r="BC70" s="45">
        <v>0</v>
      </c>
      <c r="BD70" s="45">
        <v>0</v>
      </c>
      <c r="BE70" s="45">
        <v>1136.0237296359132</v>
      </c>
      <c r="BF70" s="45">
        <v>34.241402801589729</v>
      </c>
      <c r="BG70" s="45">
        <v>-11.78992550181913</v>
      </c>
      <c r="BH70" s="199">
        <v>33.17690388500003</v>
      </c>
      <c r="BI70" s="45">
        <v>0.44172676464419353</v>
      </c>
      <c r="BJ70" s="45">
        <v>1.020763366831094</v>
      </c>
      <c r="BK70" s="45">
        <v>0</v>
      </c>
      <c r="BL70" s="45">
        <v>-3.2466846743551931</v>
      </c>
      <c r="BM70" s="45">
        <v>-1.784194542879906</v>
      </c>
      <c r="BN70" s="45">
        <v>825.74382276504309</v>
      </c>
      <c r="BO70" s="45">
        <v>0</v>
      </c>
      <c r="BP70" s="45">
        <v>310.27990687087026</v>
      </c>
      <c r="BQ70" s="45">
        <v>0</v>
      </c>
      <c r="BR70" s="45">
        <v>0</v>
      </c>
      <c r="BS70" s="45">
        <v>0</v>
      </c>
      <c r="BT70" s="45">
        <v>0</v>
      </c>
      <c r="BU70" s="45">
        <v>0</v>
      </c>
      <c r="BV70" s="45">
        <v>0</v>
      </c>
      <c r="BW70" s="45">
        <v>0</v>
      </c>
      <c r="BX70" s="45">
        <v>64.677086788759865</v>
      </c>
      <c r="BY70" s="45"/>
      <c r="BZ70" s="45">
        <v>0</v>
      </c>
      <c r="CA70" s="45">
        <v>-106.4505816687022</v>
      </c>
      <c r="CB70" s="45">
        <v>1136.0237296359132</v>
      </c>
      <c r="CC70" s="45">
        <v>-41.773494879942334</v>
      </c>
      <c r="CD70" s="199">
        <v>19.210424788652404</v>
      </c>
      <c r="CE70" s="45">
        <v>-15.036610176174316</v>
      </c>
      <c r="CF70" s="45">
        <v>16.366411808916986</v>
      </c>
      <c r="CG70" s="45">
        <v>0</v>
      </c>
      <c r="CH70" s="45">
        <v>16.366411808916986</v>
      </c>
      <c r="CI70" s="45">
        <v>0.81831842237514751</v>
      </c>
      <c r="CJ70" s="45">
        <v>0</v>
      </c>
      <c r="CK70" s="45">
        <v>0.81831842237514751</v>
      </c>
      <c r="CL70" s="45"/>
      <c r="CM70" s="45">
        <v>0</v>
      </c>
      <c r="CN70" s="45"/>
      <c r="CO70" s="45">
        <v>0</v>
      </c>
      <c r="CP70" s="45">
        <v>0</v>
      </c>
      <c r="CQ70" s="45">
        <v>0</v>
      </c>
      <c r="CR70" s="45">
        <v>0</v>
      </c>
      <c r="CS70" s="45">
        <v>0</v>
      </c>
      <c r="CT70" s="45">
        <v>0</v>
      </c>
      <c r="CU70" s="45">
        <v>0</v>
      </c>
      <c r="CV70" s="45">
        <v>9999</v>
      </c>
      <c r="CW70" s="199">
        <v>9999</v>
      </c>
      <c r="CX70" s="24"/>
      <c r="CY70" s="24"/>
      <c r="CZ70" s="24"/>
      <c r="DA70" s="24"/>
      <c r="DB70" s="24"/>
      <c r="DC70" s="24"/>
      <c r="DD70" s="24"/>
      <c r="DE70" s="24"/>
      <c r="DF70" s="24"/>
      <c r="DG70" s="24"/>
      <c r="DH70" s="24"/>
      <c r="DI70" s="24"/>
      <c r="DJ70" s="24"/>
      <c r="DK70" s="24"/>
      <c r="DL70" s="24"/>
      <c r="DM70" s="24"/>
      <c r="DN70" s="24"/>
      <c r="DO70" s="24"/>
      <c r="DP70" s="24"/>
      <c r="DQ70" s="24"/>
      <c r="DR70" s="24"/>
      <c r="DS70" s="24"/>
      <c r="DT70" s="24"/>
      <c r="DU70" s="24"/>
      <c r="DV70" s="24"/>
      <c r="DW70" s="24"/>
      <c r="DX70" s="24"/>
      <c r="DY70" s="24"/>
      <c r="DZ70" s="24"/>
      <c r="EA70" s="24"/>
    </row>
    <row r="71" spans="1:131">
      <c r="A71" s="24" t="s">
        <v>430</v>
      </c>
      <c r="B71" s="24" t="s">
        <v>618</v>
      </c>
      <c r="C71" s="45">
        <v>16.279069767441861</v>
      </c>
      <c r="D71" s="45">
        <v>649.36581632653053</v>
      </c>
      <c r="E71" s="45">
        <v>0</v>
      </c>
      <c r="F71" s="45">
        <v>186.95819668884204</v>
      </c>
      <c r="G71" s="45">
        <v>0</v>
      </c>
      <c r="H71" s="45">
        <v>-57.917727227432479</v>
      </c>
      <c r="I71" s="45" t="s">
        <v>368</v>
      </c>
      <c r="J71" s="45"/>
      <c r="K71" s="45"/>
      <c r="L71" s="45">
        <v>696.18365257841458</v>
      </c>
      <c r="M71" s="45">
        <v>0.16249953390797076</v>
      </c>
      <c r="N71" s="45">
        <v>0.16132668514409546</v>
      </c>
      <c r="O71" s="45">
        <v>0</v>
      </c>
      <c r="P71" s="45">
        <v>0</v>
      </c>
      <c r="Q71" s="45">
        <v>0</v>
      </c>
      <c r="R71" s="45">
        <v>37.281961901231682</v>
      </c>
      <c r="S71" s="45">
        <v>86.152943399351443</v>
      </c>
      <c r="T71" s="45">
        <v>0</v>
      </c>
      <c r="U71" s="45">
        <v>109.71588379376797</v>
      </c>
      <c r="V71" s="45" t="s">
        <v>607</v>
      </c>
      <c r="W71" s="45" t="s">
        <v>607</v>
      </c>
      <c r="X71" s="45" t="s">
        <v>607</v>
      </c>
      <c r="Y71" s="45" t="s">
        <v>607</v>
      </c>
      <c r="Z71" s="45">
        <v>0</v>
      </c>
      <c r="AA71" s="45">
        <v>0</v>
      </c>
      <c r="AB71" s="45">
        <v>0</v>
      </c>
      <c r="AC71" s="45">
        <v>0</v>
      </c>
      <c r="AD71" s="45">
        <v>0</v>
      </c>
      <c r="AE71" s="45">
        <v>0</v>
      </c>
      <c r="AF71" s="45">
        <v>0</v>
      </c>
      <c r="AG71" s="45">
        <v>-57.917727227432479</v>
      </c>
      <c r="AH71" s="45">
        <v>37.281961901231682</v>
      </c>
      <c r="AI71" s="45">
        <v>86.152943399351443</v>
      </c>
      <c r="AJ71" s="45">
        <v>0</v>
      </c>
      <c r="AK71" s="45">
        <v>51.798156566335493</v>
      </c>
      <c r="AL71" s="45">
        <v>175.2330618669186</v>
      </c>
      <c r="AM71" s="45">
        <v>333.6878824688946</v>
      </c>
      <c r="AN71" s="45">
        <v>57.41896411457607</v>
      </c>
      <c r="AO71" s="45">
        <v>0</v>
      </c>
      <c r="AP71" s="45">
        <v>0</v>
      </c>
      <c r="AQ71" s="45">
        <v>391.10684658347066</v>
      </c>
      <c r="AR71" s="45">
        <v>37.281961901231682</v>
      </c>
      <c r="AS71" s="199">
        <v>10.490511406550997</v>
      </c>
      <c r="AT71" s="45">
        <v>333.6878824688946</v>
      </c>
      <c r="AU71" s="45">
        <v>67.966951277063316</v>
      </c>
      <c r="AV71" s="45">
        <v>0</v>
      </c>
      <c r="AW71" s="45">
        <v>0</v>
      </c>
      <c r="AX71" s="45">
        <v>401.65483374595794</v>
      </c>
      <c r="AY71" s="45">
        <v>86.152943399351443</v>
      </c>
      <c r="AZ71" s="199">
        <v>4.6621138860472362</v>
      </c>
      <c r="BA71" s="45">
        <v>333.6878824688946</v>
      </c>
      <c r="BB71" s="45">
        <v>125.38591539163939</v>
      </c>
      <c r="BC71" s="45">
        <v>0</v>
      </c>
      <c r="BD71" s="45">
        <v>0</v>
      </c>
      <c r="BE71" s="45">
        <v>459.073797860534</v>
      </c>
      <c r="BF71" s="45">
        <v>123.43490530058313</v>
      </c>
      <c r="BG71" s="45">
        <v>-0.20620814188475731</v>
      </c>
      <c r="BH71" s="199">
        <v>3.7191570467253015</v>
      </c>
      <c r="BI71" s="45">
        <v>3.9404430170369369</v>
      </c>
      <c r="BJ71" s="45">
        <v>9.1057644743727231</v>
      </c>
      <c r="BK71" s="45">
        <v>0</v>
      </c>
      <c r="BL71" s="45">
        <v>5.474703420327768</v>
      </c>
      <c r="BM71" s="45">
        <v>18.520910911737428</v>
      </c>
      <c r="BN71" s="45">
        <v>333.6878824688946</v>
      </c>
      <c r="BO71" s="45">
        <v>0</v>
      </c>
      <c r="BP71" s="45">
        <v>125.38591539163939</v>
      </c>
      <c r="BQ71" s="45">
        <v>0</v>
      </c>
      <c r="BR71" s="45">
        <v>0</v>
      </c>
      <c r="BS71" s="45">
        <v>0</v>
      </c>
      <c r="BT71" s="45">
        <v>0</v>
      </c>
      <c r="BU71" s="45">
        <v>0</v>
      </c>
      <c r="BV71" s="45">
        <v>0</v>
      </c>
      <c r="BW71" s="45">
        <v>0</v>
      </c>
      <c r="BX71" s="45">
        <v>233.1507890943511</v>
      </c>
      <c r="BY71" s="45"/>
      <c r="BZ71" s="45">
        <v>0</v>
      </c>
      <c r="CA71" s="45">
        <v>-57.917727227432479</v>
      </c>
      <c r="CB71" s="45">
        <v>459.073797860534</v>
      </c>
      <c r="CC71" s="45">
        <v>175.2330618669186</v>
      </c>
      <c r="CD71" s="199">
        <v>2.2174127185936787</v>
      </c>
      <c r="CE71" s="45">
        <v>5.2684952784430097</v>
      </c>
      <c r="CF71" s="45">
        <v>6.6137622220945982</v>
      </c>
      <c r="CG71" s="45">
        <v>0</v>
      </c>
      <c r="CH71" s="45">
        <v>6.6137622220945982</v>
      </c>
      <c r="CI71" s="45">
        <v>0.33068723497474706</v>
      </c>
      <c r="CJ71" s="45">
        <v>0</v>
      </c>
      <c r="CK71" s="45">
        <v>0.33068723497474706</v>
      </c>
      <c r="CL71" s="45"/>
      <c r="CM71" s="45">
        <v>0</v>
      </c>
      <c r="CN71" s="45"/>
      <c r="CO71" s="45">
        <v>0</v>
      </c>
      <c r="CP71" s="45">
        <v>0</v>
      </c>
      <c r="CQ71" s="45">
        <v>0</v>
      </c>
      <c r="CR71" s="45">
        <v>0</v>
      </c>
      <c r="CS71" s="45">
        <v>0</v>
      </c>
      <c r="CT71" s="45">
        <v>0</v>
      </c>
      <c r="CU71" s="45">
        <v>0</v>
      </c>
      <c r="CV71" s="45">
        <v>9999</v>
      </c>
      <c r="CW71" s="199">
        <v>9999</v>
      </c>
      <c r="CX71" s="24"/>
      <c r="CY71" s="24"/>
      <c r="CZ71" s="24"/>
      <c r="DA71" s="24"/>
      <c r="DB71" s="24"/>
      <c r="DC71" s="24"/>
      <c r="DD71" s="24"/>
      <c r="DE71" s="24"/>
      <c r="DF71" s="24"/>
      <c r="DG71" s="24"/>
      <c r="DH71" s="24"/>
      <c r="DI71" s="24"/>
      <c r="DJ71" s="24"/>
      <c r="DK71" s="24"/>
      <c r="DL71" s="24"/>
      <c r="DM71" s="24"/>
      <c r="DN71" s="24"/>
      <c r="DO71" s="24"/>
      <c r="DP71" s="24"/>
      <c r="DQ71" s="24"/>
      <c r="DR71" s="24"/>
      <c r="DS71" s="24"/>
      <c r="DT71" s="24"/>
      <c r="DU71" s="24"/>
      <c r="DV71" s="24"/>
      <c r="DW71" s="24"/>
      <c r="DX71" s="24"/>
      <c r="DY71" s="24"/>
      <c r="DZ71" s="24"/>
      <c r="EA71" s="24"/>
    </row>
    <row r="72" spans="1:131">
      <c r="A72" s="24" t="s">
        <v>425</v>
      </c>
      <c r="B72" s="24" t="s">
        <v>619</v>
      </c>
      <c r="C72" s="45">
        <v>16.279069767441861</v>
      </c>
      <c r="D72" s="45">
        <v>1606.9202380952379</v>
      </c>
      <c r="E72" s="45">
        <v>0</v>
      </c>
      <c r="F72" s="45">
        <v>332.28218672874203</v>
      </c>
      <c r="G72" s="45">
        <v>0</v>
      </c>
      <c r="H72" s="45">
        <v>-106.4505816687022</v>
      </c>
      <c r="I72" s="45" t="s">
        <v>368</v>
      </c>
      <c r="J72" s="45"/>
      <c r="K72" s="45"/>
      <c r="L72" s="45">
        <v>1722.7756260529418</v>
      </c>
      <c r="M72" s="45">
        <v>0.40212124376201641</v>
      </c>
      <c r="N72" s="45">
        <v>0.39921891295323159</v>
      </c>
      <c r="O72" s="45">
        <v>0</v>
      </c>
      <c r="P72" s="45">
        <v>0</v>
      </c>
      <c r="Q72" s="45">
        <v>0</v>
      </c>
      <c r="R72" s="45">
        <v>66.261506826024373</v>
      </c>
      <c r="S72" s="45">
        <v>153.120263956646</v>
      </c>
      <c r="T72" s="45">
        <v>0</v>
      </c>
      <c r="U72" s="45">
        <v>194.99885231854915</v>
      </c>
      <c r="V72" s="45" t="s">
        <v>607</v>
      </c>
      <c r="W72" s="45" t="s">
        <v>607</v>
      </c>
      <c r="X72" s="45" t="s">
        <v>607</v>
      </c>
      <c r="Y72" s="45" t="s">
        <v>607</v>
      </c>
      <c r="Z72" s="45">
        <v>0</v>
      </c>
      <c r="AA72" s="45">
        <v>0</v>
      </c>
      <c r="AB72" s="45">
        <v>0</v>
      </c>
      <c r="AC72" s="45">
        <v>0</v>
      </c>
      <c r="AD72" s="45">
        <v>0</v>
      </c>
      <c r="AE72" s="45">
        <v>0</v>
      </c>
      <c r="AF72" s="45">
        <v>0</v>
      </c>
      <c r="AG72" s="45">
        <v>-106.4505816687022</v>
      </c>
      <c r="AH72" s="45">
        <v>66.261506826024373</v>
      </c>
      <c r="AI72" s="45">
        <v>153.120263956646</v>
      </c>
      <c r="AJ72" s="45">
        <v>0</v>
      </c>
      <c r="AK72" s="45">
        <v>88.548270649846955</v>
      </c>
      <c r="AL72" s="45">
        <v>307.93004143251733</v>
      </c>
      <c r="AM72" s="45">
        <v>825.74382276504309</v>
      </c>
      <c r="AN72" s="45">
        <v>142.08893225722269</v>
      </c>
      <c r="AO72" s="45">
        <v>0</v>
      </c>
      <c r="AP72" s="45">
        <v>0</v>
      </c>
      <c r="AQ72" s="45">
        <v>967.83275502226581</v>
      </c>
      <c r="AR72" s="45">
        <v>66.261506826024373</v>
      </c>
      <c r="AS72" s="199">
        <v>14.606259371121743</v>
      </c>
      <c r="AT72" s="45">
        <v>825.74382276504309</v>
      </c>
      <c r="AU72" s="45">
        <v>168.19097461364754</v>
      </c>
      <c r="AV72" s="45">
        <v>0</v>
      </c>
      <c r="AW72" s="45">
        <v>0</v>
      </c>
      <c r="AX72" s="45">
        <v>993.93479737869063</v>
      </c>
      <c r="AY72" s="45">
        <v>153.120263956646</v>
      </c>
      <c r="AZ72" s="199">
        <v>6.4912035265306898</v>
      </c>
      <c r="BA72" s="45">
        <v>825.74382276504309</v>
      </c>
      <c r="BB72" s="45">
        <v>310.27990687087026</v>
      </c>
      <c r="BC72" s="45">
        <v>0</v>
      </c>
      <c r="BD72" s="45">
        <v>0</v>
      </c>
      <c r="BE72" s="45">
        <v>1136.0237296359132</v>
      </c>
      <c r="BF72" s="45">
        <v>219.38177078267037</v>
      </c>
      <c r="BG72" s="45">
        <v>-3.8823650937664831</v>
      </c>
      <c r="BH72" s="199">
        <v>5.178295924875683</v>
      </c>
      <c r="BI72" s="45">
        <v>2.8301060091277552</v>
      </c>
      <c r="BJ72" s="45">
        <v>6.5399445304001738</v>
      </c>
      <c r="BK72" s="45">
        <v>0</v>
      </c>
      <c r="BL72" s="45">
        <v>3.7819996083394005</v>
      </c>
      <c r="BM72" s="45">
        <v>13.15205014786733</v>
      </c>
      <c r="BN72" s="45">
        <v>825.74382276504309</v>
      </c>
      <c r="BO72" s="45">
        <v>0</v>
      </c>
      <c r="BP72" s="45">
        <v>310.27990687087026</v>
      </c>
      <c r="BQ72" s="45">
        <v>0</v>
      </c>
      <c r="BR72" s="45">
        <v>0</v>
      </c>
      <c r="BS72" s="45">
        <v>0</v>
      </c>
      <c r="BT72" s="45">
        <v>0</v>
      </c>
      <c r="BU72" s="45">
        <v>0</v>
      </c>
      <c r="BV72" s="45">
        <v>0</v>
      </c>
      <c r="BW72" s="45">
        <v>0</v>
      </c>
      <c r="BX72" s="45">
        <v>414.3806231012195</v>
      </c>
      <c r="BY72" s="45"/>
      <c r="BZ72" s="45">
        <v>0</v>
      </c>
      <c r="CA72" s="45">
        <v>-106.4505816687022</v>
      </c>
      <c r="CB72" s="45">
        <v>1136.0237296359132</v>
      </c>
      <c r="CC72" s="45">
        <v>307.93004143251733</v>
      </c>
      <c r="CD72" s="199">
        <v>2.998389022165064</v>
      </c>
      <c r="CE72" s="45">
        <v>-0.10036548542708357</v>
      </c>
      <c r="CF72" s="45">
        <v>16.366411808916986</v>
      </c>
      <c r="CG72" s="45">
        <v>0</v>
      </c>
      <c r="CH72" s="45">
        <v>16.366411808916986</v>
      </c>
      <c r="CI72" s="45">
        <v>0.81831842237514751</v>
      </c>
      <c r="CJ72" s="45">
        <v>0</v>
      </c>
      <c r="CK72" s="45">
        <v>0.81831842237514751</v>
      </c>
      <c r="CL72" s="45"/>
      <c r="CM72" s="45">
        <v>0</v>
      </c>
      <c r="CN72" s="45"/>
      <c r="CO72" s="45">
        <v>0</v>
      </c>
      <c r="CP72" s="45">
        <v>0</v>
      </c>
      <c r="CQ72" s="45">
        <v>0</v>
      </c>
      <c r="CR72" s="45">
        <v>0</v>
      </c>
      <c r="CS72" s="45">
        <v>0</v>
      </c>
      <c r="CT72" s="45">
        <v>0</v>
      </c>
      <c r="CU72" s="45">
        <v>0</v>
      </c>
      <c r="CV72" s="45">
        <v>9999</v>
      </c>
      <c r="CW72" s="199">
        <v>9999</v>
      </c>
      <c r="CX72" s="24"/>
      <c r="CY72" s="24"/>
      <c r="CZ72" s="24"/>
      <c r="DA72" s="24"/>
      <c r="DB72" s="24"/>
      <c r="DC72" s="24"/>
      <c r="DD72" s="24"/>
      <c r="DE72" s="24"/>
      <c r="DF72" s="24"/>
      <c r="DG72" s="24"/>
      <c r="DH72" s="24"/>
      <c r="DI72" s="24"/>
      <c r="DJ72" s="24"/>
      <c r="DK72" s="24"/>
      <c r="DL72" s="24"/>
      <c r="DM72" s="24"/>
      <c r="DN72" s="24"/>
      <c r="DO72" s="24"/>
      <c r="DP72" s="24"/>
      <c r="DQ72" s="24"/>
      <c r="DR72" s="24"/>
      <c r="DS72" s="24"/>
      <c r="DT72" s="24"/>
      <c r="DU72" s="24"/>
      <c r="DV72" s="24"/>
      <c r="DW72" s="24"/>
      <c r="DX72" s="24"/>
      <c r="DY72" s="24"/>
      <c r="DZ72" s="24"/>
      <c r="EA72" s="24"/>
    </row>
    <row r="73" spans="1:131">
      <c r="A73" s="24" t="s">
        <v>435</v>
      </c>
      <c r="B73" s="24" t="s">
        <v>620</v>
      </c>
      <c r="C73" s="45">
        <v>16.279069767441861</v>
      </c>
      <c r="D73" s="45">
        <v>649.36581632653053</v>
      </c>
      <c r="E73" s="45">
        <v>0</v>
      </c>
      <c r="F73" s="45">
        <v>228.79070335550873</v>
      </c>
      <c r="G73" s="45">
        <v>0</v>
      </c>
      <c r="H73" s="45">
        <v>-57.917727227432479</v>
      </c>
      <c r="I73" s="45" t="s">
        <v>368</v>
      </c>
      <c r="J73" s="45"/>
      <c r="K73" s="45"/>
      <c r="L73" s="45">
        <v>696.18365257841458</v>
      </c>
      <c r="M73" s="45">
        <v>0.16249953390797076</v>
      </c>
      <c r="N73" s="45">
        <v>0.16132668514409546</v>
      </c>
      <c r="O73" s="45">
        <v>0</v>
      </c>
      <c r="P73" s="45">
        <v>0</v>
      </c>
      <c r="Q73" s="45">
        <v>0</v>
      </c>
      <c r="R73" s="45">
        <v>45.623922550196198</v>
      </c>
      <c r="S73" s="45">
        <v>105.4299456540561</v>
      </c>
      <c r="T73" s="45">
        <v>0</v>
      </c>
      <c r="U73" s="45">
        <v>134.26517086183236</v>
      </c>
      <c r="V73" s="45" t="s">
        <v>607</v>
      </c>
      <c r="W73" s="45" t="s">
        <v>607</v>
      </c>
      <c r="X73" s="45" t="s">
        <v>607</v>
      </c>
      <c r="Y73" s="45" t="s">
        <v>607</v>
      </c>
      <c r="Z73" s="45">
        <v>0</v>
      </c>
      <c r="AA73" s="45">
        <v>0</v>
      </c>
      <c r="AB73" s="45">
        <v>0</v>
      </c>
      <c r="AC73" s="45">
        <v>0</v>
      </c>
      <c r="AD73" s="45">
        <v>0</v>
      </c>
      <c r="AE73" s="45">
        <v>0</v>
      </c>
      <c r="AF73" s="45">
        <v>0</v>
      </c>
      <c r="AG73" s="45">
        <v>-57.917727227432479</v>
      </c>
      <c r="AH73" s="45">
        <v>45.623922550196198</v>
      </c>
      <c r="AI73" s="45">
        <v>105.4299456540561</v>
      </c>
      <c r="AJ73" s="45">
        <v>0</v>
      </c>
      <c r="AK73" s="45">
        <v>76.34744363439988</v>
      </c>
      <c r="AL73" s="45">
        <v>227.40131183865219</v>
      </c>
      <c r="AM73" s="45">
        <v>333.6878824688946</v>
      </c>
      <c r="AN73" s="45">
        <v>57.41896411457607</v>
      </c>
      <c r="AO73" s="45">
        <v>0</v>
      </c>
      <c r="AP73" s="45">
        <v>0</v>
      </c>
      <c r="AQ73" s="45">
        <v>391.10684658347066</v>
      </c>
      <c r="AR73" s="45">
        <v>45.623922550196198</v>
      </c>
      <c r="AS73" s="199">
        <v>8.5724072969212237</v>
      </c>
      <c r="AT73" s="45">
        <v>333.6878824688946</v>
      </c>
      <c r="AU73" s="45">
        <v>67.966951277063316</v>
      </c>
      <c r="AV73" s="45">
        <v>0</v>
      </c>
      <c r="AW73" s="45">
        <v>0</v>
      </c>
      <c r="AX73" s="45">
        <v>401.65483374595794</v>
      </c>
      <c r="AY73" s="45">
        <v>105.4299456540561</v>
      </c>
      <c r="AZ73" s="199">
        <v>3.80968453748326</v>
      </c>
      <c r="BA73" s="45">
        <v>333.6878824688946</v>
      </c>
      <c r="BB73" s="45">
        <v>125.38591539163939</v>
      </c>
      <c r="BC73" s="45">
        <v>0</v>
      </c>
      <c r="BD73" s="45">
        <v>0</v>
      </c>
      <c r="BE73" s="45">
        <v>459.073797860534</v>
      </c>
      <c r="BF73" s="45">
        <v>151.0538682042523</v>
      </c>
      <c r="BG73" s="45">
        <v>2.7129233619744841</v>
      </c>
      <c r="BH73" s="199">
        <v>3.0391396348737176</v>
      </c>
      <c r="BI73" s="45">
        <v>4.8221300021449593</v>
      </c>
      <c r="BJ73" s="45">
        <v>11.143208993123942</v>
      </c>
      <c r="BK73" s="45">
        <v>0</v>
      </c>
      <c r="BL73" s="45">
        <v>8.0693916252259577</v>
      </c>
      <c r="BM73" s="45">
        <v>24.034730620494859</v>
      </c>
      <c r="BN73" s="45">
        <v>333.6878824688946</v>
      </c>
      <c r="BO73" s="45">
        <v>0</v>
      </c>
      <c r="BP73" s="45">
        <v>125.38591539163939</v>
      </c>
      <c r="BQ73" s="45">
        <v>0</v>
      </c>
      <c r="BR73" s="45">
        <v>0</v>
      </c>
      <c r="BS73" s="45">
        <v>0</v>
      </c>
      <c r="BT73" s="45">
        <v>0</v>
      </c>
      <c r="BU73" s="45">
        <v>0</v>
      </c>
      <c r="BV73" s="45">
        <v>0</v>
      </c>
      <c r="BW73" s="45">
        <v>0</v>
      </c>
      <c r="BX73" s="45">
        <v>285.31903906608466</v>
      </c>
      <c r="BY73" s="45"/>
      <c r="BZ73" s="45">
        <v>0</v>
      </c>
      <c r="CA73" s="45">
        <v>-57.917727227432479</v>
      </c>
      <c r="CB73" s="45">
        <v>459.073797860534</v>
      </c>
      <c r="CC73" s="45">
        <v>227.40131183865219</v>
      </c>
      <c r="CD73" s="199">
        <v>1.8119769601783307</v>
      </c>
      <c r="CE73" s="45">
        <v>10.782314987200442</v>
      </c>
      <c r="CF73" s="45">
        <v>6.6137622220945982</v>
      </c>
      <c r="CG73" s="45">
        <v>0</v>
      </c>
      <c r="CH73" s="45">
        <v>6.6137622220945982</v>
      </c>
      <c r="CI73" s="45">
        <v>0.33068723497474706</v>
      </c>
      <c r="CJ73" s="45">
        <v>0</v>
      </c>
      <c r="CK73" s="45">
        <v>0.33068723497474706</v>
      </c>
      <c r="CL73" s="45"/>
      <c r="CM73" s="45">
        <v>0</v>
      </c>
      <c r="CN73" s="45"/>
      <c r="CO73" s="45">
        <v>0</v>
      </c>
      <c r="CP73" s="45">
        <v>0</v>
      </c>
      <c r="CQ73" s="45">
        <v>0</v>
      </c>
      <c r="CR73" s="45">
        <v>0</v>
      </c>
      <c r="CS73" s="45">
        <v>0</v>
      </c>
      <c r="CT73" s="45">
        <v>0</v>
      </c>
      <c r="CU73" s="45">
        <v>0</v>
      </c>
      <c r="CV73" s="45">
        <v>9999</v>
      </c>
      <c r="CW73" s="199">
        <v>9999</v>
      </c>
      <c r="CX73" s="24"/>
      <c r="CY73" s="24"/>
      <c r="CZ73" s="24"/>
      <c r="DA73" s="24"/>
      <c r="DB73" s="24"/>
      <c r="DC73" s="24"/>
      <c r="DD73" s="24"/>
      <c r="DE73" s="24"/>
      <c r="DF73" s="24"/>
      <c r="DG73" s="24"/>
      <c r="DH73" s="24"/>
      <c r="DI73" s="24"/>
      <c r="DJ73" s="24"/>
      <c r="DK73" s="24"/>
      <c r="DL73" s="24"/>
      <c r="DM73" s="24"/>
      <c r="DN73" s="24"/>
      <c r="DO73" s="24"/>
      <c r="DP73" s="24"/>
      <c r="DQ73" s="24"/>
      <c r="DR73" s="24"/>
      <c r="DS73" s="24"/>
      <c r="DT73" s="24"/>
      <c r="DU73" s="24"/>
      <c r="DV73" s="24"/>
      <c r="DW73" s="24"/>
      <c r="DX73" s="24"/>
      <c r="DY73" s="24"/>
      <c r="DZ73" s="24"/>
      <c r="EA73" s="24"/>
    </row>
    <row r="74" spans="1:131">
      <c r="A74" s="24" t="s">
        <v>426</v>
      </c>
      <c r="B74" s="24" t="s">
        <v>621</v>
      </c>
      <c r="C74" s="45">
        <v>16.279069767441861</v>
      </c>
      <c r="D74" s="45">
        <v>1606.9202380952379</v>
      </c>
      <c r="E74" s="45">
        <v>0</v>
      </c>
      <c r="F74" s="45">
        <v>371.54658006207535</v>
      </c>
      <c r="G74" s="45">
        <v>0</v>
      </c>
      <c r="H74" s="45">
        <v>-106.4505816687022</v>
      </c>
      <c r="I74" s="45" t="s">
        <v>368</v>
      </c>
      <c r="J74" s="45"/>
      <c r="K74" s="45"/>
      <c r="L74" s="45">
        <v>1722.7756260529418</v>
      </c>
      <c r="M74" s="45">
        <v>0.40212124376201641</v>
      </c>
      <c r="N74" s="45">
        <v>0.39921891295323159</v>
      </c>
      <c r="O74" s="45">
        <v>0</v>
      </c>
      <c r="P74" s="45">
        <v>0</v>
      </c>
      <c r="Q74" s="45">
        <v>0</v>
      </c>
      <c r="R74" s="45">
        <v>74.091351370174664</v>
      </c>
      <c r="S74" s="45">
        <v>171.21384378554487</v>
      </c>
      <c r="T74" s="45">
        <v>0</v>
      </c>
      <c r="U74" s="45">
        <v>218.04104941121025</v>
      </c>
      <c r="V74" s="45" t="s">
        <v>607</v>
      </c>
      <c r="W74" s="45" t="s">
        <v>607</v>
      </c>
      <c r="X74" s="45" t="s">
        <v>607</v>
      </c>
      <c r="Y74" s="45" t="s">
        <v>607</v>
      </c>
      <c r="Z74" s="45">
        <v>0</v>
      </c>
      <c r="AA74" s="45">
        <v>0</v>
      </c>
      <c r="AB74" s="45">
        <v>0</v>
      </c>
      <c r="AC74" s="45">
        <v>0</v>
      </c>
      <c r="AD74" s="45">
        <v>0</v>
      </c>
      <c r="AE74" s="45">
        <v>0</v>
      </c>
      <c r="AF74" s="45">
        <v>0</v>
      </c>
      <c r="AG74" s="45">
        <v>-106.4505816687022</v>
      </c>
      <c r="AH74" s="45">
        <v>74.091351370174664</v>
      </c>
      <c r="AI74" s="45">
        <v>171.21384378554487</v>
      </c>
      <c r="AJ74" s="45">
        <v>0</v>
      </c>
      <c r="AK74" s="45">
        <v>111.59046774250805</v>
      </c>
      <c r="AL74" s="45">
        <v>356.89566289822756</v>
      </c>
      <c r="AM74" s="45">
        <v>825.74382276504309</v>
      </c>
      <c r="AN74" s="45">
        <v>142.08893225722269</v>
      </c>
      <c r="AO74" s="45">
        <v>0</v>
      </c>
      <c r="AP74" s="45">
        <v>0</v>
      </c>
      <c r="AQ74" s="45">
        <v>967.83275502226581</v>
      </c>
      <c r="AR74" s="45">
        <v>74.091351370174664</v>
      </c>
      <c r="AS74" s="199">
        <v>13.062695404039628</v>
      </c>
      <c r="AT74" s="45">
        <v>825.74382276504309</v>
      </c>
      <c r="AU74" s="45">
        <v>168.19097461364754</v>
      </c>
      <c r="AV74" s="45">
        <v>0</v>
      </c>
      <c r="AW74" s="45">
        <v>0</v>
      </c>
      <c r="AX74" s="45">
        <v>993.93479737869063</v>
      </c>
      <c r="AY74" s="45">
        <v>171.21384378554487</v>
      </c>
      <c r="AZ74" s="199">
        <v>5.8052244807005842</v>
      </c>
      <c r="BA74" s="45">
        <v>825.74382276504309</v>
      </c>
      <c r="BB74" s="45">
        <v>310.27990687087026</v>
      </c>
      <c r="BC74" s="45">
        <v>0</v>
      </c>
      <c r="BD74" s="45">
        <v>0</v>
      </c>
      <c r="BE74" s="45">
        <v>1136.0237296359132</v>
      </c>
      <c r="BF74" s="45">
        <v>245.30519515571953</v>
      </c>
      <c r="BG74" s="45">
        <v>-2.7751454935849718</v>
      </c>
      <c r="BH74" s="199">
        <v>4.6310626601885314</v>
      </c>
      <c r="BI74" s="45">
        <v>3.164527774589823</v>
      </c>
      <c r="BJ74" s="45">
        <v>7.3127423651196191</v>
      </c>
      <c r="BK74" s="45">
        <v>0</v>
      </c>
      <c r="BL74" s="45">
        <v>4.7661586409232202</v>
      </c>
      <c r="BM74" s="45">
        <v>15.24342878063266</v>
      </c>
      <c r="BN74" s="45">
        <v>825.74382276504309</v>
      </c>
      <c r="BO74" s="45">
        <v>0</v>
      </c>
      <c r="BP74" s="45">
        <v>310.27990687087026</v>
      </c>
      <c r="BQ74" s="45">
        <v>0</v>
      </c>
      <c r="BR74" s="45">
        <v>0</v>
      </c>
      <c r="BS74" s="45">
        <v>0</v>
      </c>
      <c r="BT74" s="45">
        <v>0</v>
      </c>
      <c r="BU74" s="45">
        <v>0</v>
      </c>
      <c r="BV74" s="45">
        <v>0</v>
      </c>
      <c r="BW74" s="45">
        <v>0</v>
      </c>
      <c r="BX74" s="45">
        <v>463.34624456692978</v>
      </c>
      <c r="BY74" s="45"/>
      <c r="BZ74" s="45">
        <v>0</v>
      </c>
      <c r="CA74" s="45">
        <v>-106.4505816687022</v>
      </c>
      <c r="CB74" s="45">
        <v>1136.0237296359132</v>
      </c>
      <c r="CC74" s="45">
        <v>356.89566289822756</v>
      </c>
      <c r="CD74" s="199">
        <v>2.681524509745199</v>
      </c>
      <c r="CE74" s="45">
        <v>1.9910131473382475</v>
      </c>
      <c r="CF74" s="45">
        <v>16.366411808916986</v>
      </c>
      <c r="CG74" s="45">
        <v>0</v>
      </c>
      <c r="CH74" s="45">
        <v>16.366411808916986</v>
      </c>
      <c r="CI74" s="45">
        <v>0.81831842237514751</v>
      </c>
      <c r="CJ74" s="45">
        <v>0</v>
      </c>
      <c r="CK74" s="45">
        <v>0.81831842237514751</v>
      </c>
      <c r="CL74" s="45"/>
      <c r="CM74" s="45">
        <v>0</v>
      </c>
      <c r="CN74" s="45"/>
      <c r="CO74" s="45">
        <v>0</v>
      </c>
      <c r="CP74" s="45">
        <v>0</v>
      </c>
      <c r="CQ74" s="45">
        <v>0</v>
      </c>
      <c r="CR74" s="45">
        <v>0</v>
      </c>
      <c r="CS74" s="45">
        <v>0</v>
      </c>
      <c r="CT74" s="45">
        <v>0</v>
      </c>
      <c r="CU74" s="45">
        <v>0</v>
      </c>
      <c r="CV74" s="45">
        <v>9999</v>
      </c>
      <c r="CW74" s="199">
        <v>9999</v>
      </c>
      <c r="CX74" s="24"/>
      <c r="CY74" s="24"/>
      <c r="CZ74" s="24"/>
      <c r="DA74" s="24"/>
      <c r="DB74" s="24"/>
      <c r="DC74" s="24"/>
      <c r="DD74" s="24"/>
      <c r="DE74" s="24"/>
      <c r="DF74" s="24"/>
      <c r="DG74" s="24"/>
      <c r="DH74" s="24"/>
      <c r="DI74" s="24"/>
      <c r="DJ74" s="24"/>
      <c r="DK74" s="24"/>
      <c r="DL74" s="24"/>
      <c r="DM74" s="24"/>
      <c r="DN74" s="24"/>
      <c r="DO74" s="24"/>
      <c r="DP74" s="24"/>
      <c r="DQ74" s="24"/>
      <c r="DR74" s="24"/>
      <c r="DS74" s="24"/>
      <c r="DT74" s="24"/>
      <c r="DU74" s="24"/>
      <c r="DV74" s="24"/>
      <c r="DW74" s="24"/>
      <c r="DX74" s="24"/>
      <c r="DY74" s="24"/>
      <c r="DZ74" s="24"/>
      <c r="EA74" s="24"/>
    </row>
    <row r="75" spans="1:131">
      <c r="A75" s="24" t="s">
        <v>414</v>
      </c>
      <c r="B75" s="24" t="s">
        <v>622</v>
      </c>
      <c r="C75" s="45">
        <v>16.279069767441861</v>
      </c>
      <c r="D75" s="45">
        <v>647.87397959183659</v>
      </c>
      <c r="E75" s="45">
        <v>0</v>
      </c>
      <c r="F75" s="45">
        <v>6.6707622506870052</v>
      </c>
      <c r="G75" s="45">
        <v>0</v>
      </c>
      <c r="H75" s="45">
        <v>-54.45644007047715</v>
      </c>
      <c r="I75" s="45" t="s">
        <v>368</v>
      </c>
      <c r="J75" s="45"/>
      <c r="K75" s="45"/>
      <c r="L75" s="45">
        <v>694.58425772131352</v>
      </c>
      <c r="M75" s="45">
        <v>0.16212621155567028</v>
      </c>
      <c r="N75" s="45">
        <v>0.16095605726511986</v>
      </c>
      <c r="O75" s="45">
        <v>0</v>
      </c>
      <c r="P75" s="45">
        <v>0</v>
      </c>
      <c r="Q75" s="45">
        <v>0</v>
      </c>
      <c r="R75" s="45">
        <v>1.3302391041790051</v>
      </c>
      <c r="S75" s="45">
        <v>3.0739802415320749</v>
      </c>
      <c r="T75" s="45">
        <v>0</v>
      </c>
      <c r="U75" s="45">
        <v>3.9147177758155487</v>
      </c>
      <c r="V75" s="45" t="s">
        <v>607</v>
      </c>
      <c r="W75" s="45" t="s">
        <v>607</v>
      </c>
      <c r="X75" s="45" t="s">
        <v>607</v>
      </c>
      <c r="Y75" s="45" t="s">
        <v>607</v>
      </c>
      <c r="Z75" s="45">
        <v>0</v>
      </c>
      <c r="AA75" s="45">
        <v>0</v>
      </c>
      <c r="AB75" s="45">
        <v>0</v>
      </c>
      <c r="AC75" s="45">
        <v>0</v>
      </c>
      <c r="AD75" s="45">
        <v>0</v>
      </c>
      <c r="AE75" s="45">
        <v>0</v>
      </c>
      <c r="AF75" s="45">
        <v>0</v>
      </c>
      <c r="AG75" s="45">
        <v>-54.45644007047715</v>
      </c>
      <c r="AH75" s="45">
        <v>1.3302391041790051</v>
      </c>
      <c r="AI75" s="45">
        <v>3.0739802415320749</v>
      </c>
      <c r="AJ75" s="45">
        <v>0</v>
      </c>
      <c r="AK75" s="45">
        <v>-50.541722294661604</v>
      </c>
      <c r="AL75" s="45">
        <v>-46.13750294895052</v>
      </c>
      <c r="AM75" s="45">
        <v>332.92127629950102</v>
      </c>
      <c r="AN75" s="45">
        <v>57.287051226985589</v>
      </c>
      <c r="AO75" s="45">
        <v>0</v>
      </c>
      <c r="AP75" s="45">
        <v>0</v>
      </c>
      <c r="AQ75" s="45">
        <v>390.20832752648658</v>
      </c>
      <c r="AR75" s="45">
        <v>1.3302391041790051</v>
      </c>
      <c r="AS75" s="199">
        <v>293.3369845320513</v>
      </c>
      <c r="AT75" s="45">
        <v>332.92127629950102</v>
      </c>
      <c r="AU75" s="45">
        <v>67.810805708400849</v>
      </c>
      <c r="AV75" s="45">
        <v>0</v>
      </c>
      <c r="AW75" s="45">
        <v>0</v>
      </c>
      <c r="AX75" s="45">
        <v>400.73208200790185</v>
      </c>
      <c r="AY75" s="45">
        <v>3.0739802415320749</v>
      </c>
      <c r="AZ75" s="199">
        <v>130.36260825416906</v>
      </c>
      <c r="BA75" s="45">
        <v>332.92127629950102</v>
      </c>
      <c r="BB75" s="45">
        <v>125.09785693538643</v>
      </c>
      <c r="BC75" s="45">
        <v>0</v>
      </c>
      <c r="BD75" s="45">
        <v>0</v>
      </c>
      <c r="BE75" s="45">
        <v>458.01913323488742</v>
      </c>
      <c r="BF75" s="45">
        <v>4.4042193457110805</v>
      </c>
      <c r="BG75" s="45">
        <v>-12.78584852543656</v>
      </c>
      <c r="BH75" s="199">
        <v>103.99553184854788</v>
      </c>
      <c r="BI75" s="45">
        <v>0.1409207314346464</v>
      </c>
      <c r="BJ75" s="45">
        <v>0.32564637642321081</v>
      </c>
      <c r="BK75" s="45">
        <v>0</v>
      </c>
      <c r="BL75" s="45">
        <v>-5.3542077145042777</v>
      </c>
      <c r="BM75" s="45">
        <v>-4.8876406066464195</v>
      </c>
      <c r="BN75" s="45">
        <v>332.92127629950102</v>
      </c>
      <c r="BO75" s="45">
        <v>0</v>
      </c>
      <c r="BP75" s="45">
        <v>125.09785693538643</v>
      </c>
      <c r="BQ75" s="45">
        <v>0</v>
      </c>
      <c r="BR75" s="45">
        <v>0</v>
      </c>
      <c r="BS75" s="45">
        <v>0</v>
      </c>
      <c r="BT75" s="45">
        <v>0</v>
      </c>
      <c r="BU75" s="45">
        <v>0</v>
      </c>
      <c r="BV75" s="45">
        <v>0</v>
      </c>
      <c r="BW75" s="45">
        <v>0</v>
      </c>
      <c r="BX75" s="45">
        <v>8.3189371215266288</v>
      </c>
      <c r="BY75" s="45"/>
      <c r="BZ75" s="45">
        <v>0</v>
      </c>
      <c r="CA75" s="45">
        <v>-54.45644007047715</v>
      </c>
      <c r="CB75" s="45">
        <v>458.01913323488742</v>
      </c>
      <c r="CC75" s="45">
        <v>-46.13750294895052</v>
      </c>
      <c r="CD75" s="199">
        <v>61.603491626261857</v>
      </c>
      <c r="CE75" s="45">
        <v>-18.140056239940833</v>
      </c>
      <c r="CF75" s="45">
        <v>6.598567930696162</v>
      </c>
      <c r="CG75" s="45">
        <v>0</v>
      </c>
      <c r="CH75" s="45">
        <v>6.598567930696162</v>
      </c>
      <c r="CI75" s="45">
        <v>0.32992752241762402</v>
      </c>
      <c r="CJ75" s="45">
        <v>0</v>
      </c>
      <c r="CK75" s="45">
        <v>0.32992752241762402</v>
      </c>
      <c r="CL75" s="45"/>
      <c r="CM75" s="45">
        <v>0</v>
      </c>
      <c r="CN75" s="45"/>
      <c r="CO75" s="45">
        <v>0</v>
      </c>
      <c r="CP75" s="45">
        <v>0</v>
      </c>
      <c r="CQ75" s="45">
        <v>0</v>
      </c>
      <c r="CR75" s="45">
        <v>0</v>
      </c>
      <c r="CS75" s="45">
        <v>0</v>
      </c>
      <c r="CT75" s="45">
        <v>0</v>
      </c>
      <c r="CU75" s="45">
        <v>0</v>
      </c>
      <c r="CV75" s="45">
        <v>9999</v>
      </c>
      <c r="CW75" s="199">
        <v>9999</v>
      </c>
      <c r="CX75" s="24"/>
      <c r="CY75" s="24"/>
      <c r="CZ75" s="24"/>
      <c r="DA75" s="24"/>
      <c r="DB75" s="24"/>
      <c r="DC75" s="24"/>
      <c r="DD75" s="24"/>
      <c r="DE75" s="24"/>
      <c r="DF75" s="24"/>
      <c r="DG75" s="24"/>
      <c r="DH75" s="24"/>
      <c r="DI75" s="24"/>
      <c r="DJ75" s="24"/>
      <c r="DK75" s="24"/>
      <c r="DL75" s="24"/>
      <c r="DM75" s="24"/>
      <c r="DN75" s="24"/>
      <c r="DO75" s="24"/>
      <c r="DP75" s="24"/>
      <c r="DQ75" s="24"/>
      <c r="DR75" s="24"/>
      <c r="DS75" s="24"/>
      <c r="DT75" s="24"/>
      <c r="DU75" s="24"/>
      <c r="DV75" s="24"/>
      <c r="DW75" s="24"/>
      <c r="DX75" s="24"/>
      <c r="DY75" s="24"/>
      <c r="DZ75" s="24"/>
      <c r="EA75" s="24"/>
    </row>
    <row r="76" spans="1:131">
      <c r="A76" s="24" t="s">
        <v>420</v>
      </c>
      <c r="B76" s="24" t="s">
        <v>623</v>
      </c>
      <c r="C76" s="45">
        <v>6.6762790697674417</v>
      </c>
      <c r="D76" s="45">
        <v>68.226666666666659</v>
      </c>
      <c r="E76" s="45">
        <v>0</v>
      </c>
      <c r="F76" s="45">
        <v>4.0008899869194874</v>
      </c>
      <c r="G76" s="45">
        <v>0</v>
      </c>
      <c r="H76" s="45">
        <v>-38.781804660785241</v>
      </c>
      <c r="I76" s="45" t="s">
        <v>368</v>
      </c>
      <c r="J76" s="45"/>
      <c r="K76" s="45"/>
      <c r="L76" s="45">
        <v>73.145658131418585</v>
      </c>
      <c r="M76" s="45">
        <v>1.7073275578542112E-2</v>
      </c>
      <c r="N76" s="45">
        <v>1.6950048331816986E-2</v>
      </c>
      <c r="O76" s="45">
        <v>0</v>
      </c>
      <c r="P76" s="45">
        <v>0</v>
      </c>
      <c r="Q76" s="45">
        <v>0</v>
      </c>
      <c r="R76" s="45">
        <v>0.79783090928932687</v>
      </c>
      <c r="S76" s="45">
        <v>1.843665881971347</v>
      </c>
      <c r="T76" s="45">
        <v>0</v>
      </c>
      <c r="U76" s="45">
        <v>7.9972084671416068</v>
      </c>
      <c r="V76" s="45" t="s">
        <v>607</v>
      </c>
      <c r="W76" s="45" t="s">
        <v>607</v>
      </c>
      <c r="X76" s="45" t="s">
        <v>607</v>
      </c>
      <c r="Y76" s="45" t="s">
        <v>607</v>
      </c>
      <c r="Z76" s="45">
        <v>0</v>
      </c>
      <c r="AA76" s="45">
        <v>0</v>
      </c>
      <c r="AB76" s="45">
        <v>0</v>
      </c>
      <c r="AC76" s="45">
        <v>0</v>
      </c>
      <c r="AD76" s="45">
        <v>0</v>
      </c>
      <c r="AE76" s="45">
        <v>0</v>
      </c>
      <c r="AF76" s="45">
        <v>0</v>
      </c>
      <c r="AG76" s="45">
        <v>-38.781804660785241</v>
      </c>
      <c r="AH76" s="45">
        <v>0.79783090928932687</v>
      </c>
      <c r="AI76" s="45">
        <v>1.843665881971347</v>
      </c>
      <c r="AJ76" s="45">
        <v>0</v>
      </c>
      <c r="AK76" s="45">
        <v>-30.784596193643633</v>
      </c>
      <c r="AL76" s="45">
        <v>-28.143099402382958</v>
      </c>
      <c r="AM76" s="45">
        <v>35.059455480272995</v>
      </c>
      <c r="AN76" s="45">
        <v>6.0328160591388107</v>
      </c>
      <c r="AO76" s="45">
        <v>0</v>
      </c>
      <c r="AP76" s="45">
        <v>0</v>
      </c>
      <c r="AQ76" s="45">
        <v>41.092271539411804</v>
      </c>
      <c r="AR76" s="45">
        <v>0.79783090928932687</v>
      </c>
      <c r="AS76" s="199">
        <v>51.504988163488193</v>
      </c>
      <c r="AT76" s="45">
        <v>35.059455480272995</v>
      </c>
      <c r="AU76" s="45">
        <v>7.141057340163405</v>
      </c>
      <c r="AV76" s="45">
        <v>0</v>
      </c>
      <c r="AW76" s="45">
        <v>0</v>
      </c>
      <c r="AX76" s="45">
        <v>42.200512820436401</v>
      </c>
      <c r="AY76" s="45">
        <v>1.843665881971347</v>
      </c>
      <c r="AZ76" s="199">
        <v>22.889458026588493</v>
      </c>
      <c r="BA76" s="45">
        <v>35.059455480272995</v>
      </c>
      <c r="BB76" s="45">
        <v>13.173873399302217</v>
      </c>
      <c r="BC76" s="45">
        <v>0</v>
      </c>
      <c r="BD76" s="45">
        <v>0</v>
      </c>
      <c r="BE76" s="45">
        <v>48.233328879575211</v>
      </c>
      <c r="BF76" s="45">
        <v>2.6414967912606739</v>
      </c>
      <c r="BG76" s="45">
        <v>-10.59517031821084</v>
      </c>
      <c r="BH76" s="199">
        <v>18.259847613350875</v>
      </c>
      <c r="BI76" s="45">
        <v>0.80258755299344298</v>
      </c>
      <c r="BJ76" s="45">
        <v>1.8546577620901359</v>
      </c>
      <c r="BK76" s="45">
        <v>0</v>
      </c>
      <c r="BL76" s="45">
        <v>-30.968133023269203</v>
      </c>
      <c r="BM76" s="45">
        <v>-28.310887708185625</v>
      </c>
      <c r="BN76" s="45">
        <v>35.059455480272995</v>
      </c>
      <c r="BO76" s="45">
        <v>0</v>
      </c>
      <c r="BP76" s="45">
        <v>13.173873399302217</v>
      </c>
      <c r="BQ76" s="45">
        <v>0</v>
      </c>
      <c r="BR76" s="45">
        <v>0</v>
      </c>
      <c r="BS76" s="45">
        <v>0</v>
      </c>
      <c r="BT76" s="45">
        <v>0</v>
      </c>
      <c r="BU76" s="45">
        <v>0</v>
      </c>
      <c r="BV76" s="45">
        <v>0</v>
      </c>
      <c r="BW76" s="45">
        <v>0</v>
      </c>
      <c r="BX76" s="45">
        <v>10.638705258402281</v>
      </c>
      <c r="BY76" s="45"/>
      <c r="BZ76" s="45">
        <v>0</v>
      </c>
      <c r="CA76" s="45">
        <v>-38.781804660785241</v>
      </c>
      <c r="CB76" s="45">
        <v>48.233328879575211</v>
      </c>
      <c r="CC76" s="45">
        <v>-28.143099402382958</v>
      </c>
      <c r="CD76" s="199">
        <v>8.179109339610406</v>
      </c>
      <c r="CE76" s="45">
        <v>-41.563303341480044</v>
      </c>
      <c r="CF76" s="45">
        <v>0.69488559328866673</v>
      </c>
      <c r="CG76" s="45">
        <v>0</v>
      </c>
      <c r="CH76" s="45">
        <v>0.69488559328866673</v>
      </c>
      <c r="CI76" s="45">
        <v>3.4744187612423837E-2</v>
      </c>
      <c r="CJ76" s="45">
        <v>0</v>
      </c>
      <c r="CK76" s="45">
        <v>3.4744187612423837E-2</v>
      </c>
      <c r="CL76" s="45"/>
      <c r="CM76" s="45">
        <v>0</v>
      </c>
      <c r="CN76" s="45"/>
      <c r="CO76" s="45">
        <v>0</v>
      </c>
      <c r="CP76" s="45">
        <v>0</v>
      </c>
      <c r="CQ76" s="45">
        <v>0</v>
      </c>
      <c r="CR76" s="45">
        <v>0</v>
      </c>
      <c r="CS76" s="45">
        <v>0</v>
      </c>
      <c r="CT76" s="45">
        <v>0</v>
      </c>
      <c r="CU76" s="45">
        <v>0</v>
      </c>
      <c r="CV76" s="45">
        <v>9999</v>
      </c>
      <c r="CW76" s="199">
        <v>9999</v>
      </c>
      <c r="CX76" s="24"/>
      <c r="CY76" s="24"/>
      <c r="CZ76" s="24"/>
      <c r="DA76" s="24"/>
      <c r="DB76" s="24"/>
      <c r="DC76" s="24"/>
      <c r="DD76" s="24"/>
      <c r="DE76" s="24"/>
      <c r="DF76" s="24"/>
      <c r="DG76" s="24"/>
      <c r="DH76" s="24"/>
      <c r="DI76" s="24"/>
      <c r="DJ76" s="24"/>
      <c r="DK76" s="24"/>
      <c r="DL76" s="24"/>
      <c r="DM76" s="24"/>
      <c r="DN76" s="24"/>
      <c r="DO76" s="24"/>
      <c r="DP76" s="24"/>
      <c r="DQ76" s="24"/>
      <c r="DR76" s="24"/>
      <c r="DS76" s="24"/>
      <c r="DT76" s="24"/>
      <c r="DU76" s="24"/>
      <c r="DV76" s="24"/>
      <c r="DW76" s="24"/>
      <c r="DX76" s="24"/>
      <c r="DY76" s="24"/>
      <c r="DZ76" s="24"/>
      <c r="EA76" s="24"/>
    </row>
    <row r="77" spans="1:131">
      <c r="A77" s="24" t="s">
        <v>416</v>
      </c>
      <c r="B77" s="24" t="s">
        <v>624</v>
      </c>
      <c r="C77" s="45">
        <v>6.6762790697674417</v>
      </c>
      <c r="D77" s="45">
        <v>278.92666666666668</v>
      </c>
      <c r="E77" s="45">
        <v>0</v>
      </c>
      <c r="F77" s="45">
        <v>4.7789999869194872</v>
      </c>
      <c r="G77" s="45">
        <v>0</v>
      </c>
      <c r="H77" s="45">
        <v>-479.41816791091384</v>
      </c>
      <c r="I77" s="45" t="s">
        <v>368</v>
      </c>
      <c r="J77" s="45"/>
      <c r="K77" s="45"/>
      <c r="L77" s="45">
        <v>299.03666118432898</v>
      </c>
      <c r="M77" s="45">
        <v>6.9799567806392765E-2</v>
      </c>
      <c r="N77" s="45">
        <v>6.9295785827134165E-2</v>
      </c>
      <c r="O77" s="45">
        <v>0</v>
      </c>
      <c r="P77" s="45">
        <v>0</v>
      </c>
      <c r="Q77" s="45">
        <v>0</v>
      </c>
      <c r="R77" s="45">
        <v>0.9529964376734521</v>
      </c>
      <c r="S77" s="45">
        <v>2.2022298175234178</v>
      </c>
      <c r="T77" s="45">
        <v>0</v>
      </c>
      <c r="U77" s="45">
        <v>9.5525393811912522</v>
      </c>
      <c r="V77" s="45" t="s">
        <v>607</v>
      </c>
      <c r="W77" s="45" t="s">
        <v>607</v>
      </c>
      <c r="X77" s="45" t="s">
        <v>607</v>
      </c>
      <c r="Y77" s="45" t="s">
        <v>607</v>
      </c>
      <c r="Z77" s="45">
        <v>0</v>
      </c>
      <c r="AA77" s="45">
        <v>0</v>
      </c>
      <c r="AB77" s="45">
        <v>0</v>
      </c>
      <c r="AC77" s="45">
        <v>0</v>
      </c>
      <c r="AD77" s="45">
        <v>0</v>
      </c>
      <c r="AE77" s="45">
        <v>0</v>
      </c>
      <c r="AF77" s="45">
        <v>0</v>
      </c>
      <c r="AG77" s="45">
        <v>-479.41816791091384</v>
      </c>
      <c r="AH77" s="45">
        <v>0.9529964376734521</v>
      </c>
      <c r="AI77" s="45">
        <v>2.2022298175234178</v>
      </c>
      <c r="AJ77" s="45">
        <v>0</v>
      </c>
      <c r="AK77" s="45">
        <v>-469.86562852972258</v>
      </c>
      <c r="AL77" s="45">
        <v>-466.71040227452573</v>
      </c>
      <c r="AM77" s="45">
        <v>143.33130328699843</v>
      </c>
      <c r="AN77" s="45">
        <v>24.66357153589102</v>
      </c>
      <c r="AO77" s="45">
        <v>0</v>
      </c>
      <c r="AP77" s="45">
        <v>0</v>
      </c>
      <c r="AQ77" s="45">
        <v>167.99487482288944</v>
      </c>
      <c r="AR77" s="45">
        <v>0.9529964376734521</v>
      </c>
      <c r="AS77" s="199">
        <v>176.28069547984347</v>
      </c>
      <c r="AT77" s="45">
        <v>143.33130328699843</v>
      </c>
      <c r="AU77" s="45">
        <v>29.194322655373931</v>
      </c>
      <c r="AV77" s="45">
        <v>0</v>
      </c>
      <c r="AW77" s="45">
        <v>0</v>
      </c>
      <c r="AX77" s="45">
        <v>172.52562594237236</v>
      </c>
      <c r="AY77" s="45">
        <v>2.2022298175234178</v>
      </c>
      <c r="AZ77" s="199">
        <v>78.341335935770374</v>
      </c>
      <c r="BA77" s="45">
        <v>143.33130328699843</v>
      </c>
      <c r="BB77" s="45">
        <v>53.857894191264947</v>
      </c>
      <c r="BC77" s="45">
        <v>0</v>
      </c>
      <c r="BD77" s="45">
        <v>0</v>
      </c>
      <c r="BE77" s="45">
        <v>197.18919747826337</v>
      </c>
      <c r="BF77" s="45">
        <v>3.1552262551968697</v>
      </c>
      <c r="BG77" s="45">
        <v>-12.4760323309236</v>
      </c>
      <c r="BH77" s="199">
        <v>62.496056234788078</v>
      </c>
      <c r="BI77" s="45">
        <v>0.23449681943089945</v>
      </c>
      <c r="BJ77" s="45">
        <v>0.54188648293991148</v>
      </c>
      <c r="BK77" s="45">
        <v>0</v>
      </c>
      <c r="BL77" s="45">
        <v>-115.6163770340081</v>
      </c>
      <c r="BM77" s="45">
        <v>-114.83999373163729</v>
      </c>
      <c r="BN77" s="45">
        <v>143.33130328699843</v>
      </c>
      <c r="BO77" s="45">
        <v>0</v>
      </c>
      <c r="BP77" s="45">
        <v>53.857894191264947</v>
      </c>
      <c r="BQ77" s="45">
        <v>0</v>
      </c>
      <c r="BR77" s="45">
        <v>0</v>
      </c>
      <c r="BS77" s="45">
        <v>0</v>
      </c>
      <c r="BT77" s="45">
        <v>0</v>
      </c>
      <c r="BU77" s="45">
        <v>0</v>
      </c>
      <c r="BV77" s="45">
        <v>0</v>
      </c>
      <c r="BW77" s="45">
        <v>0</v>
      </c>
      <c r="BX77" s="45">
        <v>12.707765636388121</v>
      </c>
      <c r="BY77" s="45"/>
      <c r="BZ77" s="45">
        <v>0</v>
      </c>
      <c r="CA77" s="45">
        <v>-479.41816791091384</v>
      </c>
      <c r="CB77" s="45">
        <v>197.18919747826337</v>
      </c>
      <c r="CC77" s="45">
        <v>-466.71040227452573</v>
      </c>
      <c r="CD77" s="199">
        <v>53.243613767296921</v>
      </c>
      <c r="CE77" s="45">
        <v>-128.09240936493168</v>
      </c>
      <c r="CF77" s="45">
        <v>2.8408558078566108</v>
      </c>
      <c r="CG77" s="45">
        <v>0</v>
      </c>
      <c r="CH77" s="45">
        <v>2.8408558078566108</v>
      </c>
      <c r="CI77" s="45">
        <v>0.14204241406255627</v>
      </c>
      <c r="CJ77" s="45">
        <v>0</v>
      </c>
      <c r="CK77" s="45">
        <v>0.14204241406255627</v>
      </c>
      <c r="CL77" s="45"/>
      <c r="CM77" s="45">
        <v>0</v>
      </c>
      <c r="CN77" s="45"/>
      <c r="CO77" s="45">
        <v>0</v>
      </c>
      <c r="CP77" s="45">
        <v>0</v>
      </c>
      <c r="CQ77" s="45">
        <v>0</v>
      </c>
      <c r="CR77" s="45">
        <v>0</v>
      </c>
      <c r="CS77" s="45">
        <v>0</v>
      </c>
      <c r="CT77" s="45">
        <v>0</v>
      </c>
      <c r="CU77" s="45">
        <v>0</v>
      </c>
      <c r="CV77" s="45">
        <v>9999</v>
      </c>
      <c r="CW77" s="199">
        <v>9999</v>
      </c>
      <c r="CX77" s="24"/>
      <c r="CY77" s="24"/>
      <c r="CZ77" s="24"/>
      <c r="DA77" s="24"/>
      <c r="DB77" s="24"/>
      <c r="DC77" s="24"/>
      <c r="DD77" s="24"/>
      <c r="DE77" s="24"/>
      <c r="DF77" s="24"/>
      <c r="DG77" s="24"/>
      <c r="DH77" s="24"/>
      <c r="DI77" s="24"/>
      <c r="DJ77" s="24"/>
      <c r="DK77" s="24"/>
      <c r="DL77" s="24"/>
      <c r="DM77" s="24"/>
      <c r="DN77" s="24"/>
      <c r="DO77" s="24"/>
      <c r="DP77" s="24"/>
      <c r="DQ77" s="24"/>
      <c r="DR77" s="24"/>
      <c r="DS77" s="24"/>
      <c r="DT77" s="24"/>
      <c r="DU77" s="24"/>
      <c r="DV77" s="24"/>
      <c r="DW77" s="24"/>
      <c r="DX77" s="24"/>
      <c r="DY77" s="24"/>
      <c r="DZ77" s="24"/>
      <c r="EA77" s="24"/>
    </row>
    <row r="78" spans="1:131">
      <c r="A78" s="24" t="s">
        <v>428</v>
      </c>
      <c r="B78" s="24" t="s">
        <v>625</v>
      </c>
      <c r="C78" s="45">
        <v>13.953488372093023</v>
      </c>
      <c r="D78" s="45">
        <v>640.16615646258492</v>
      </c>
      <c r="E78" s="45">
        <v>0</v>
      </c>
      <c r="F78" s="45">
        <v>154.26033291735365</v>
      </c>
      <c r="G78" s="45">
        <v>0</v>
      </c>
      <c r="H78" s="45">
        <v>-54.45644007047715</v>
      </c>
      <c r="I78" s="45" t="s">
        <v>368</v>
      </c>
      <c r="J78" s="45"/>
      <c r="K78" s="45"/>
      <c r="L78" s="45">
        <v>686.32071762629175</v>
      </c>
      <c r="M78" s="45">
        <v>0.16019737940211778</v>
      </c>
      <c r="N78" s="45">
        <v>0.15904114655707932</v>
      </c>
      <c r="O78" s="45">
        <v>0</v>
      </c>
      <c r="P78" s="45">
        <v>0</v>
      </c>
      <c r="Q78" s="45">
        <v>0</v>
      </c>
      <c r="R78" s="45">
        <v>30.761571070712684</v>
      </c>
      <c r="S78" s="45">
        <v>71.085311935868958</v>
      </c>
      <c r="T78" s="45">
        <v>0</v>
      </c>
      <c r="U78" s="45">
        <v>115.38708219658041</v>
      </c>
      <c r="V78" s="45" t="s">
        <v>607</v>
      </c>
      <c r="W78" s="45" t="s">
        <v>607</v>
      </c>
      <c r="X78" s="45" t="s">
        <v>607</v>
      </c>
      <c r="Y78" s="45" t="s">
        <v>607</v>
      </c>
      <c r="Z78" s="45">
        <v>0</v>
      </c>
      <c r="AA78" s="45">
        <v>0</v>
      </c>
      <c r="AB78" s="45">
        <v>0</v>
      </c>
      <c r="AC78" s="45">
        <v>0</v>
      </c>
      <c r="AD78" s="45">
        <v>0</v>
      </c>
      <c r="AE78" s="45">
        <v>0</v>
      </c>
      <c r="AF78" s="45">
        <v>0</v>
      </c>
      <c r="AG78" s="45">
        <v>-54.45644007047715</v>
      </c>
      <c r="AH78" s="45">
        <v>30.761571070712684</v>
      </c>
      <c r="AI78" s="45">
        <v>71.085311935868958</v>
      </c>
      <c r="AJ78" s="45">
        <v>0</v>
      </c>
      <c r="AK78" s="45">
        <v>60.930642126103258</v>
      </c>
      <c r="AL78" s="45">
        <v>162.7775251326849</v>
      </c>
      <c r="AM78" s="45">
        <v>328.96047775763333</v>
      </c>
      <c r="AN78" s="45">
        <v>56.605501307768009</v>
      </c>
      <c r="AO78" s="45">
        <v>0</v>
      </c>
      <c r="AP78" s="45">
        <v>0</v>
      </c>
      <c r="AQ78" s="45">
        <v>385.56597906540134</v>
      </c>
      <c r="AR78" s="45">
        <v>30.761571070712684</v>
      </c>
      <c r="AS78" s="199">
        <v>12.534014539734903</v>
      </c>
      <c r="AT78" s="45">
        <v>328.96047775763333</v>
      </c>
      <c r="AU78" s="45">
        <v>67.004053603644792</v>
      </c>
      <c r="AV78" s="45">
        <v>0</v>
      </c>
      <c r="AW78" s="45">
        <v>0</v>
      </c>
      <c r="AX78" s="45">
        <v>395.96453136127809</v>
      </c>
      <c r="AY78" s="45">
        <v>71.085311935868958</v>
      </c>
      <c r="AZ78" s="199">
        <v>5.570272122017351</v>
      </c>
      <c r="BA78" s="45">
        <v>328.96047775763333</v>
      </c>
      <c r="BB78" s="45">
        <v>123.6095549114128</v>
      </c>
      <c r="BC78" s="45">
        <v>0</v>
      </c>
      <c r="BD78" s="45">
        <v>0</v>
      </c>
      <c r="BE78" s="45">
        <v>452.5700326690461</v>
      </c>
      <c r="BF78" s="45">
        <v>101.84688300658163</v>
      </c>
      <c r="BG78" s="45">
        <v>-2.3332174732004738</v>
      </c>
      <c r="BH78" s="199">
        <v>4.4436316488919916</v>
      </c>
      <c r="BI78" s="45">
        <v>3.2980065793002113</v>
      </c>
      <c r="BJ78" s="45">
        <v>7.6211915807937363</v>
      </c>
      <c r="BK78" s="45">
        <v>0</v>
      </c>
      <c r="BL78" s="45">
        <v>6.5324901043235162</v>
      </c>
      <c r="BM78" s="45">
        <v>17.451688264417466</v>
      </c>
      <c r="BN78" s="45">
        <v>328.96047775763333</v>
      </c>
      <c r="BO78" s="45">
        <v>0</v>
      </c>
      <c r="BP78" s="45">
        <v>123.6095549114128</v>
      </c>
      <c r="BQ78" s="45">
        <v>0</v>
      </c>
      <c r="BR78" s="45">
        <v>0</v>
      </c>
      <c r="BS78" s="45">
        <v>0</v>
      </c>
      <c r="BT78" s="45">
        <v>0</v>
      </c>
      <c r="BU78" s="45">
        <v>0</v>
      </c>
      <c r="BV78" s="45">
        <v>0</v>
      </c>
      <c r="BW78" s="45">
        <v>0</v>
      </c>
      <c r="BX78" s="45">
        <v>217.23396520316203</v>
      </c>
      <c r="BY78" s="45"/>
      <c r="BZ78" s="45">
        <v>0</v>
      </c>
      <c r="CA78" s="45">
        <v>-54.45644007047715</v>
      </c>
      <c r="CB78" s="45">
        <v>452.5700326690461</v>
      </c>
      <c r="CC78" s="45">
        <v>162.77752513268487</v>
      </c>
      <c r="CD78" s="199">
        <v>2.3340110385838644</v>
      </c>
      <c r="CE78" s="45">
        <v>4.1992726311230468</v>
      </c>
      <c r="CF78" s="45">
        <v>6.5200640918042199</v>
      </c>
      <c r="CG78" s="45">
        <v>0</v>
      </c>
      <c r="CH78" s="45">
        <v>6.5200640918042199</v>
      </c>
      <c r="CI78" s="45">
        <v>0.32600234087248869</v>
      </c>
      <c r="CJ78" s="45">
        <v>0</v>
      </c>
      <c r="CK78" s="45">
        <v>0.32600234087248869</v>
      </c>
      <c r="CL78" s="45"/>
      <c r="CM78" s="45">
        <v>0</v>
      </c>
      <c r="CN78" s="45"/>
      <c r="CO78" s="45">
        <v>0</v>
      </c>
      <c r="CP78" s="45">
        <v>0</v>
      </c>
      <c r="CQ78" s="45">
        <v>0</v>
      </c>
      <c r="CR78" s="45">
        <v>0</v>
      </c>
      <c r="CS78" s="45">
        <v>0</v>
      </c>
      <c r="CT78" s="45">
        <v>0</v>
      </c>
      <c r="CU78" s="45">
        <v>0</v>
      </c>
      <c r="CV78" s="45">
        <v>9999</v>
      </c>
      <c r="CW78" s="199">
        <v>9999</v>
      </c>
      <c r="CX78" s="24"/>
      <c r="CY78" s="24"/>
      <c r="CZ78" s="24"/>
      <c r="DA78" s="24"/>
      <c r="DB78" s="24"/>
      <c r="DC78" s="24"/>
      <c r="DD78" s="24"/>
      <c r="DE78" s="24"/>
      <c r="DF78" s="24"/>
      <c r="DG78" s="24"/>
      <c r="DH78" s="24"/>
      <c r="DI78" s="24"/>
      <c r="DJ78" s="24"/>
      <c r="DK78" s="24"/>
      <c r="DL78" s="24"/>
      <c r="DM78" s="24"/>
      <c r="DN78" s="24"/>
      <c r="DO78" s="24"/>
      <c r="DP78" s="24"/>
      <c r="DQ78" s="24"/>
      <c r="DR78" s="24"/>
      <c r="DS78" s="24"/>
      <c r="DT78" s="24"/>
      <c r="DU78" s="24"/>
      <c r="DV78" s="24"/>
      <c r="DW78" s="24"/>
      <c r="DX78" s="24"/>
      <c r="DY78" s="24"/>
      <c r="DZ78" s="24"/>
      <c r="EA78" s="24"/>
    </row>
    <row r="79" spans="1:131">
      <c r="A79" s="24" t="s">
        <v>421</v>
      </c>
      <c r="B79" s="24" t="s">
        <v>626</v>
      </c>
      <c r="C79" s="45">
        <v>6.6762790697674417</v>
      </c>
      <c r="D79" s="45">
        <v>68.226666666666659</v>
      </c>
      <c r="E79" s="45">
        <v>0</v>
      </c>
      <c r="F79" s="45">
        <v>4.0008899869194874</v>
      </c>
      <c r="G79" s="45">
        <v>0</v>
      </c>
      <c r="H79" s="45">
        <v>-38.781804660785241</v>
      </c>
      <c r="I79" s="45" t="s">
        <v>368</v>
      </c>
      <c r="J79" s="45"/>
      <c r="K79" s="45"/>
      <c r="L79" s="45">
        <v>73.145658131418585</v>
      </c>
      <c r="M79" s="45">
        <v>1.7073275578542112E-2</v>
      </c>
      <c r="N79" s="45">
        <v>1.6950048331816986E-2</v>
      </c>
      <c r="O79" s="45">
        <v>0</v>
      </c>
      <c r="P79" s="45">
        <v>0</v>
      </c>
      <c r="Q79" s="45">
        <v>0</v>
      </c>
      <c r="R79" s="45">
        <v>0.79783090928932687</v>
      </c>
      <c r="S79" s="45">
        <v>1.843665881971347</v>
      </c>
      <c r="T79" s="45">
        <v>0</v>
      </c>
      <c r="U79" s="45">
        <v>7.9972084671416068</v>
      </c>
      <c r="V79" s="45" t="s">
        <v>607</v>
      </c>
      <c r="W79" s="45" t="s">
        <v>607</v>
      </c>
      <c r="X79" s="45" t="s">
        <v>607</v>
      </c>
      <c r="Y79" s="45" t="s">
        <v>607</v>
      </c>
      <c r="Z79" s="45">
        <v>0</v>
      </c>
      <c r="AA79" s="45">
        <v>0</v>
      </c>
      <c r="AB79" s="45">
        <v>0</v>
      </c>
      <c r="AC79" s="45">
        <v>0</v>
      </c>
      <c r="AD79" s="45">
        <v>0</v>
      </c>
      <c r="AE79" s="45">
        <v>0</v>
      </c>
      <c r="AF79" s="45">
        <v>0</v>
      </c>
      <c r="AG79" s="45">
        <v>-38.781804660785241</v>
      </c>
      <c r="AH79" s="45">
        <v>0.79783090928932687</v>
      </c>
      <c r="AI79" s="45">
        <v>1.843665881971347</v>
      </c>
      <c r="AJ79" s="45">
        <v>0</v>
      </c>
      <c r="AK79" s="45">
        <v>-30.784596193643633</v>
      </c>
      <c r="AL79" s="45">
        <v>-28.143099402382958</v>
      </c>
      <c r="AM79" s="45">
        <v>35.059455480272995</v>
      </c>
      <c r="AN79" s="45">
        <v>6.0328160591388107</v>
      </c>
      <c r="AO79" s="45">
        <v>0</v>
      </c>
      <c r="AP79" s="45">
        <v>0</v>
      </c>
      <c r="AQ79" s="45">
        <v>41.092271539411804</v>
      </c>
      <c r="AR79" s="45">
        <v>0.79783090928932687</v>
      </c>
      <c r="AS79" s="199">
        <v>51.504988163488193</v>
      </c>
      <c r="AT79" s="45">
        <v>35.059455480272995</v>
      </c>
      <c r="AU79" s="45">
        <v>7.141057340163405</v>
      </c>
      <c r="AV79" s="45">
        <v>0</v>
      </c>
      <c r="AW79" s="45">
        <v>0</v>
      </c>
      <c r="AX79" s="45">
        <v>42.200512820436401</v>
      </c>
      <c r="AY79" s="45">
        <v>1.843665881971347</v>
      </c>
      <c r="AZ79" s="199">
        <v>22.889458026588493</v>
      </c>
      <c r="BA79" s="45">
        <v>35.059455480272995</v>
      </c>
      <c r="BB79" s="45">
        <v>13.173873399302217</v>
      </c>
      <c r="BC79" s="45">
        <v>0</v>
      </c>
      <c r="BD79" s="45">
        <v>0</v>
      </c>
      <c r="BE79" s="45">
        <v>48.233328879575211</v>
      </c>
      <c r="BF79" s="45">
        <v>2.6414967912606739</v>
      </c>
      <c r="BG79" s="45">
        <v>-10.59517031821084</v>
      </c>
      <c r="BH79" s="199">
        <v>18.259847613350875</v>
      </c>
      <c r="BI79" s="45">
        <v>0.80258755299344298</v>
      </c>
      <c r="BJ79" s="45">
        <v>1.8546577620901359</v>
      </c>
      <c r="BK79" s="45">
        <v>0</v>
      </c>
      <c r="BL79" s="45">
        <v>-30.968133023269203</v>
      </c>
      <c r="BM79" s="45">
        <v>-28.310887708185625</v>
      </c>
      <c r="BN79" s="45">
        <v>35.059455480272995</v>
      </c>
      <c r="BO79" s="45">
        <v>0</v>
      </c>
      <c r="BP79" s="45">
        <v>13.173873399302217</v>
      </c>
      <c r="BQ79" s="45">
        <v>0</v>
      </c>
      <c r="BR79" s="45">
        <v>0</v>
      </c>
      <c r="BS79" s="45">
        <v>0</v>
      </c>
      <c r="BT79" s="45">
        <v>0</v>
      </c>
      <c r="BU79" s="45">
        <v>0</v>
      </c>
      <c r="BV79" s="45">
        <v>0</v>
      </c>
      <c r="BW79" s="45">
        <v>0</v>
      </c>
      <c r="BX79" s="45">
        <v>10.638705258402281</v>
      </c>
      <c r="BY79" s="45"/>
      <c r="BZ79" s="45">
        <v>0</v>
      </c>
      <c r="CA79" s="45">
        <v>-38.781804660785241</v>
      </c>
      <c r="CB79" s="45">
        <v>48.233328879575211</v>
      </c>
      <c r="CC79" s="45">
        <v>-28.143099402382958</v>
      </c>
      <c r="CD79" s="199">
        <v>8.179109339610406</v>
      </c>
      <c r="CE79" s="45">
        <v>-41.563303341480044</v>
      </c>
      <c r="CF79" s="45">
        <v>0.69488559328866673</v>
      </c>
      <c r="CG79" s="45">
        <v>0</v>
      </c>
      <c r="CH79" s="45">
        <v>0.69488559328866673</v>
      </c>
      <c r="CI79" s="45">
        <v>3.4744187612423837E-2</v>
      </c>
      <c r="CJ79" s="45">
        <v>0</v>
      </c>
      <c r="CK79" s="45">
        <v>3.4744187612423837E-2</v>
      </c>
      <c r="CL79" s="45"/>
      <c r="CM79" s="45">
        <v>0</v>
      </c>
      <c r="CN79" s="45"/>
      <c r="CO79" s="45">
        <v>0</v>
      </c>
      <c r="CP79" s="45">
        <v>0</v>
      </c>
      <c r="CQ79" s="45">
        <v>0</v>
      </c>
      <c r="CR79" s="45">
        <v>0</v>
      </c>
      <c r="CS79" s="45">
        <v>0</v>
      </c>
      <c r="CT79" s="45">
        <v>0</v>
      </c>
      <c r="CU79" s="45">
        <v>0</v>
      </c>
      <c r="CV79" s="45">
        <v>9999</v>
      </c>
      <c r="CW79" s="199">
        <v>9999</v>
      </c>
      <c r="CX79" s="24"/>
      <c r="CY79" s="24"/>
      <c r="CZ79" s="24"/>
      <c r="DA79" s="24"/>
      <c r="DB79" s="24"/>
      <c r="DC79" s="24"/>
      <c r="DD79" s="24"/>
      <c r="DE79" s="24"/>
      <c r="DF79" s="24"/>
      <c r="DG79" s="24"/>
      <c r="DH79" s="24"/>
      <c r="DI79" s="24"/>
      <c r="DJ79" s="24"/>
      <c r="DK79" s="24"/>
      <c r="DL79" s="24"/>
      <c r="DM79" s="24"/>
      <c r="DN79" s="24"/>
      <c r="DO79" s="24"/>
      <c r="DP79" s="24"/>
      <c r="DQ79" s="24"/>
      <c r="DR79" s="24"/>
      <c r="DS79" s="24"/>
      <c r="DT79" s="24"/>
      <c r="DU79" s="24"/>
      <c r="DV79" s="24"/>
      <c r="DW79" s="24"/>
      <c r="DX79" s="24"/>
      <c r="DY79" s="24"/>
      <c r="DZ79" s="24"/>
      <c r="EA79" s="24"/>
    </row>
    <row r="80" spans="1:131">
      <c r="A80" s="24" t="s">
        <v>417</v>
      </c>
      <c r="B80" s="24" t="s">
        <v>627</v>
      </c>
      <c r="C80" s="45">
        <v>6.6762790697674417</v>
      </c>
      <c r="D80" s="45">
        <v>278.92666666666668</v>
      </c>
      <c r="E80" s="45">
        <v>0</v>
      </c>
      <c r="F80" s="45">
        <v>4.7789999869194872</v>
      </c>
      <c r="G80" s="45">
        <v>0</v>
      </c>
      <c r="H80" s="45">
        <v>-479.41816791091384</v>
      </c>
      <c r="I80" s="45" t="s">
        <v>368</v>
      </c>
      <c r="J80" s="45"/>
      <c r="K80" s="45"/>
      <c r="L80" s="45">
        <v>299.03666118432898</v>
      </c>
      <c r="M80" s="45">
        <v>6.9799567806392765E-2</v>
      </c>
      <c r="N80" s="45">
        <v>6.9295785827134165E-2</v>
      </c>
      <c r="O80" s="45">
        <v>0</v>
      </c>
      <c r="P80" s="45">
        <v>0</v>
      </c>
      <c r="Q80" s="45">
        <v>0</v>
      </c>
      <c r="R80" s="45">
        <v>0.9529964376734521</v>
      </c>
      <c r="S80" s="45">
        <v>2.2022298175234178</v>
      </c>
      <c r="T80" s="45">
        <v>0</v>
      </c>
      <c r="U80" s="45">
        <v>9.5525393811912522</v>
      </c>
      <c r="V80" s="45" t="s">
        <v>607</v>
      </c>
      <c r="W80" s="45" t="s">
        <v>607</v>
      </c>
      <c r="X80" s="45" t="s">
        <v>607</v>
      </c>
      <c r="Y80" s="45" t="s">
        <v>607</v>
      </c>
      <c r="Z80" s="45">
        <v>0</v>
      </c>
      <c r="AA80" s="45">
        <v>0</v>
      </c>
      <c r="AB80" s="45">
        <v>0</v>
      </c>
      <c r="AC80" s="45">
        <v>0</v>
      </c>
      <c r="AD80" s="45">
        <v>0</v>
      </c>
      <c r="AE80" s="45">
        <v>0</v>
      </c>
      <c r="AF80" s="45">
        <v>0</v>
      </c>
      <c r="AG80" s="45">
        <v>-479.41816791091384</v>
      </c>
      <c r="AH80" s="45">
        <v>0.9529964376734521</v>
      </c>
      <c r="AI80" s="45">
        <v>2.2022298175234178</v>
      </c>
      <c r="AJ80" s="45">
        <v>0</v>
      </c>
      <c r="AK80" s="45">
        <v>-469.86562852972258</v>
      </c>
      <c r="AL80" s="45">
        <v>-466.71040227452573</v>
      </c>
      <c r="AM80" s="45">
        <v>143.33130328699843</v>
      </c>
      <c r="AN80" s="45">
        <v>24.66357153589102</v>
      </c>
      <c r="AO80" s="45">
        <v>0</v>
      </c>
      <c r="AP80" s="45">
        <v>0</v>
      </c>
      <c r="AQ80" s="45">
        <v>167.99487482288944</v>
      </c>
      <c r="AR80" s="45">
        <v>0.9529964376734521</v>
      </c>
      <c r="AS80" s="199">
        <v>176.28069547984347</v>
      </c>
      <c r="AT80" s="45">
        <v>143.33130328699843</v>
      </c>
      <c r="AU80" s="45">
        <v>29.194322655373931</v>
      </c>
      <c r="AV80" s="45">
        <v>0</v>
      </c>
      <c r="AW80" s="45">
        <v>0</v>
      </c>
      <c r="AX80" s="45">
        <v>172.52562594237236</v>
      </c>
      <c r="AY80" s="45">
        <v>2.2022298175234178</v>
      </c>
      <c r="AZ80" s="199">
        <v>78.341335935770374</v>
      </c>
      <c r="BA80" s="45">
        <v>143.33130328699843</v>
      </c>
      <c r="BB80" s="45">
        <v>53.857894191264947</v>
      </c>
      <c r="BC80" s="45">
        <v>0</v>
      </c>
      <c r="BD80" s="45">
        <v>0</v>
      </c>
      <c r="BE80" s="45">
        <v>197.18919747826337</v>
      </c>
      <c r="BF80" s="45">
        <v>3.1552262551968697</v>
      </c>
      <c r="BG80" s="45">
        <v>-12.4760323309236</v>
      </c>
      <c r="BH80" s="199">
        <v>62.496056234788078</v>
      </c>
      <c r="BI80" s="45">
        <v>0.23449681943089945</v>
      </c>
      <c r="BJ80" s="45">
        <v>0.54188648293991148</v>
      </c>
      <c r="BK80" s="45">
        <v>0</v>
      </c>
      <c r="BL80" s="45">
        <v>-115.6163770340081</v>
      </c>
      <c r="BM80" s="45">
        <v>-114.83999373163729</v>
      </c>
      <c r="BN80" s="45">
        <v>143.33130328699843</v>
      </c>
      <c r="BO80" s="45">
        <v>0</v>
      </c>
      <c r="BP80" s="45">
        <v>53.857894191264947</v>
      </c>
      <c r="BQ80" s="45">
        <v>0</v>
      </c>
      <c r="BR80" s="45">
        <v>0</v>
      </c>
      <c r="BS80" s="45">
        <v>0</v>
      </c>
      <c r="BT80" s="45">
        <v>0</v>
      </c>
      <c r="BU80" s="45">
        <v>0</v>
      </c>
      <c r="BV80" s="45">
        <v>0</v>
      </c>
      <c r="BW80" s="45">
        <v>0</v>
      </c>
      <c r="BX80" s="45">
        <v>12.707765636388121</v>
      </c>
      <c r="BY80" s="45"/>
      <c r="BZ80" s="45">
        <v>0</v>
      </c>
      <c r="CA80" s="45">
        <v>-479.41816791091384</v>
      </c>
      <c r="CB80" s="45">
        <v>197.18919747826337</v>
      </c>
      <c r="CC80" s="45">
        <v>-466.71040227452573</v>
      </c>
      <c r="CD80" s="199">
        <v>53.243613767296921</v>
      </c>
      <c r="CE80" s="45">
        <v>-128.09240936493168</v>
      </c>
      <c r="CF80" s="45">
        <v>2.8408558078566108</v>
      </c>
      <c r="CG80" s="45">
        <v>0</v>
      </c>
      <c r="CH80" s="45">
        <v>2.8408558078566108</v>
      </c>
      <c r="CI80" s="45">
        <v>0.14204241406255627</v>
      </c>
      <c r="CJ80" s="45">
        <v>0</v>
      </c>
      <c r="CK80" s="45">
        <v>0.14204241406255627</v>
      </c>
      <c r="CL80" s="45"/>
      <c r="CM80" s="45">
        <v>0</v>
      </c>
      <c r="CN80" s="45"/>
      <c r="CO80" s="45">
        <v>0</v>
      </c>
      <c r="CP80" s="45">
        <v>0</v>
      </c>
      <c r="CQ80" s="45">
        <v>0</v>
      </c>
      <c r="CR80" s="45">
        <v>0</v>
      </c>
      <c r="CS80" s="45">
        <v>0</v>
      </c>
      <c r="CT80" s="45">
        <v>0</v>
      </c>
      <c r="CU80" s="45">
        <v>0</v>
      </c>
      <c r="CV80" s="45">
        <v>9999</v>
      </c>
      <c r="CW80" s="199">
        <v>9999</v>
      </c>
      <c r="CX80" s="24"/>
      <c r="CY80" s="24"/>
      <c r="CZ80" s="24"/>
      <c r="DA80" s="24"/>
      <c r="DB80" s="24"/>
      <c r="DC80" s="24"/>
      <c r="DD80" s="24"/>
      <c r="DE80" s="24"/>
      <c r="DF80" s="24"/>
      <c r="DG80" s="24"/>
      <c r="DH80" s="24"/>
      <c r="DI80" s="24"/>
      <c r="DJ80" s="24"/>
      <c r="DK80" s="24"/>
      <c r="DL80" s="24"/>
      <c r="DM80" s="24"/>
      <c r="DN80" s="24"/>
      <c r="DO80" s="24"/>
      <c r="DP80" s="24"/>
      <c r="DQ80" s="24"/>
      <c r="DR80" s="24"/>
      <c r="DS80" s="24"/>
      <c r="DT80" s="24"/>
      <c r="DU80" s="24"/>
      <c r="DV80" s="24"/>
      <c r="DW80" s="24"/>
      <c r="DX80" s="24"/>
      <c r="DY80" s="24"/>
      <c r="DZ80" s="24"/>
      <c r="EA80" s="24"/>
    </row>
    <row r="81" spans="1:131">
      <c r="A81" s="24" t="s">
        <v>419</v>
      </c>
      <c r="B81" s="24" t="s">
        <v>628</v>
      </c>
      <c r="C81" s="45">
        <v>13.953488372093023</v>
      </c>
      <c r="D81" s="45">
        <v>640.16615646258492</v>
      </c>
      <c r="E81" s="45">
        <v>0</v>
      </c>
      <c r="F81" s="45">
        <v>210.259506250687</v>
      </c>
      <c r="G81" s="45">
        <v>0</v>
      </c>
      <c r="H81" s="45">
        <v>-54.45644007047715</v>
      </c>
      <c r="I81" s="45" t="s">
        <v>368</v>
      </c>
      <c r="J81" s="45"/>
      <c r="K81" s="45"/>
      <c r="L81" s="45">
        <v>686.32071762629175</v>
      </c>
      <c r="M81" s="45">
        <v>0.16019737940211778</v>
      </c>
      <c r="N81" s="45">
        <v>0.15904114655707932</v>
      </c>
      <c r="O81" s="45">
        <v>0</v>
      </c>
      <c r="P81" s="45">
        <v>0</v>
      </c>
      <c r="Q81" s="45">
        <v>0</v>
      </c>
      <c r="R81" s="45">
        <v>41.928554298457968</v>
      </c>
      <c r="S81" s="45">
        <v>96.890511686627306</v>
      </c>
      <c r="T81" s="45">
        <v>0</v>
      </c>
      <c r="U81" s="45">
        <v>157.27459205833949</v>
      </c>
      <c r="V81" s="45" t="s">
        <v>607</v>
      </c>
      <c r="W81" s="45" t="s">
        <v>607</v>
      </c>
      <c r="X81" s="45" t="s">
        <v>607</v>
      </c>
      <c r="Y81" s="45" t="s">
        <v>607</v>
      </c>
      <c r="Z81" s="45">
        <v>0</v>
      </c>
      <c r="AA81" s="45">
        <v>0</v>
      </c>
      <c r="AB81" s="45">
        <v>0</v>
      </c>
      <c r="AC81" s="45">
        <v>0</v>
      </c>
      <c r="AD81" s="45">
        <v>0</v>
      </c>
      <c r="AE81" s="45">
        <v>0</v>
      </c>
      <c r="AF81" s="45">
        <v>0</v>
      </c>
      <c r="AG81" s="45">
        <v>-54.45644007047715</v>
      </c>
      <c r="AH81" s="45">
        <v>41.928554298457968</v>
      </c>
      <c r="AI81" s="45">
        <v>96.890511686627306</v>
      </c>
      <c r="AJ81" s="45">
        <v>0</v>
      </c>
      <c r="AK81" s="45">
        <v>102.81815198786234</v>
      </c>
      <c r="AL81" s="45">
        <v>241.63721797294761</v>
      </c>
      <c r="AM81" s="45">
        <v>328.96047775763333</v>
      </c>
      <c r="AN81" s="45">
        <v>56.605501307768009</v>
      </c>
      <c r="AO81" s="45">
        <v>0</v>
      </c>
      <c r="AP81" s="45">
        <v>0</v>
      </c>
      <c r="AQ81" s="45">
        <v>385.56597906540134</v>
      </c>
      <c r="AR81" s="45">
        <v>41.928554298457968</v>
      </c>
      <c r="AS81" s="199">
        <v>9.1957851997673465</v>
      </c>
      <c r="AT81" s="45">
        <v>328.96047775763333</v>
      </c>
      <c r="AU81" s="45">
        <v>67.004053603644792</v>
      </c>
      <c r="AV81" s="45">
        <v>0</v>
      </c>
      <c r="AW81" s="45">
        <v>0</v>
      </c>
      <c r="AX81" s="45">
        <v>395.96453136127809</v>
      </c>
      <c r="AY81" s="45">
        <v>96.890511686627306</v>
      </c>
      <c r="AZ81" s="199">
        <v>4.0867214391636715</v>
      </c>
      <c r="BA81" s="45">
        <v>328.96047775763333</v>
      </c>
      <c r="BB81" s="45">
        <v>123.6095549114128</v>
      </c>
      <c r="BC81" s="45">
        <v>0</v>
      </c>
      <c r="BD81" s="45">
        <v>0</v>
      </c>
      <c r="BE81" s="45">
        <v>452.5700326690461</v>
      </c>
      <c r="BF81" s="45">
        <v>138.81906598508527</v>
      </c>
      <c r="BG81" s="45">
        <v>1.6306406286468385</v>
      </c>
      <c r="BH81" s="199">
        <v>3.2601431904005911</v>
      </c>
      <c r="BI81" s="45">
        <v>4.495240103926748</v>
      </c>
      <c r="BJ81" s="45">
        <v>10.387816158014507</v>
      </c>
      <c r="BK81" s="45">
        <v>0</v>
      </c>
      <c r="BL81" s="45">
        <v>11.023329756076823</v>
      </c>
      <c r="BM81" s="45">
        <v>25.906386018018079</v>
      </c>
      <c r="BN81" s="45">
        <v>328.96047775763333</v>
      </c>
      <c r="BO81" s="45">
        <v>0</v>
      </c>
      <c r="BP81" s="45">
        <v>123.6095549114128</v>
      </c>
      <c r="BQ81" s="45">
        <v>0</v>
      </c>
      <c r="BR81" s="45">
        <v>0</v>
      </c>
      <c r="BS81" s="45">
        <v>0</v>
      </c>
      <c r="BT81" s="45">
        <v>0</v>
      </c>
      <c r="BU81" s="45">
        <v>0</v>
      </c>
      <c r="BV81" s="45">
        <v>0</v>
      </c>
      <c r="BW81" s="45">
        <v>0</v>
      </c>
      <c r="BX81" s="45">
        <v>296.09365804342474</v>
      </c>
      <c r="BY81" s="45"/>
      <c r="BZ81" s="45">
        <v>0</v>
      </c>
      <c r="CA81" s="45">
        <v>-54.45644007047715</v>
      </c>
      <c r="CB81" s="45">
        <v>452.5700326690461</v>
      </c>
      <c r="CC81" s="45">
        <v>241.63721797294758</v>
      </c>
      <c r="CD81" s="199">
        <v>1.7123854529338258</v>
      </c>
      <c r="CE81" s="45">
        <v>12.653970384723658</v>
      </c>
      <c r="CF81" s="45">
        <v>6.5200640918042199</v>
      </c>
      <c r="CG81" s="45">
        <v>0</v>
      </c>
      <c r="CH81" s="45">
        <v>6.5200640918042199</v>
      </c>
      <c r="CI81" s="45">
        <v>0.32600234087248869</v>
      </c>
      <c r="CJ81" s="45">
        <v>0</v>
      </c>
      <c r="CK81" s="45">
        <v>0.32600234087248869</v>
      </c>
      <c r="CL81" s="45"/>
      <c r="CM81" s="45">
        <v>0</v>
      </c>
      <c r="CN81" s="45"/>
      <c r="CO81" s="45">
        <v>0</v>
      </c>
      <c r="CP81" s="45">
        <v>0</v>
      </c>
      <c r="CQ81" s="45">
        <v>0</v>
      </c>
      <c r="CR81" s="45">
        <v>0</v>
      </c>
      <c r="CS81" s="45">
        <v>0</v>
      </c>
      <c r="CT81" s="45">
        <v>0</v>
      </c>
      <c r="CU81" s="45">
        <v>0</v>
      </c>
      <c r="CV81" s="45">
        <v>9999</v>
      </c>
      <c r="CW81" s="199">
        <v>9999</v>
      </c>
      <c r="CX81" s="24"/>
      <c r="CY81" s="24"/>
      <c r="CZ81" s="24"/>
      <c r="DA81" s="24"/>
      <c r="DB81" s="24"/>
      <c r="DC81" s="24"/>
      <c r="DD81" s="24"/>
      <c r="DE81" s="24"/>
      <c r="DF81" s="24"/>
      <c r="DG81" s="24"/>
      <c r="DH81" s="24"/>
      <c r="DI81" s="24"/>
      <c r="DJ81" s="24"/>
      <c r="DK81" s="24"/>
      <c r="DL81" s="24"/>
      <c r="DM81" s="24"/>
      <c r="DN81" s="24"/>
      <c r="DO81" s="24"/>
      <c r="DP81" s="24"/>
      <c r="DQ81" s="24"/>
      <c r="DR81" s="24"/>
      <c r="DS81" s="24"/>
      <c r="DT81" s="24"/>
      <c r="DU81" s="24"/>
      <c r="DV81" s="24"/>
      <c r="DW81" s="24"/>
      <c r="DX81" s="24"/>
      <c r="DY81" s="24"/>
      <c r="DZ81" s="24"/>
      <c r="EA81" s="24"/>
    </row>
    <row r="82" spans="1:131">
      <c r="A82" s="24" t="s">
        <v>436</v>
      </c>
      <c r="B82" s="24" t="s">
        <v>629</v>
      </c>
      <c r="C82" s="45">
        <v>6.6762790697674417</v>
      </c>
      <c r="D82" s="45">
        <v>68.226666666666659</v>
      </c>
      <c r="E82" s="45">
        <v>0</v>
      </c>
      <c r="F82" s="45">
        <v>30.451059986919489</v>
      </c>
      <c r="G82" s="45">
        <v>0</v>
      </c>
      <c r="H82" s="45">
        <v>-38.781804660785241</v>
      </c>
      <c r="I82" s="45" t="s">
        <v>368</v>
      </c>
      <c r="J82" s="45"/>
      <c r="K82" s="45"/>
      <c r="L82" s="45">
        <v>73.145658131418585</v>
      </c>
      <c r="M82" s="45">
        <v>1.7073275578542112E-2</v>
      </c>
      <c r="N82" s="45">
        <v>1.6950048331816986E-2</v>
      </c>
      <c r="O82" s="45">
        <v>0</v>
      </c>
      <c r="P82" s="45">
        <v>0</v>
      </c>
      <c r="Q82" s="45">
        <v>0</v>
      </c>
      <c r="R82" s="45">
        <v>6.0723481419427285</v>
      </c>
      <c r="S82" s="45">
        <v>14.032272957090957</v>
      </c>
      <c r="T82" s="45">
        <v>0</v>
      </c>
      <c r="U82" s="45">
        <v>60.867325909236541</v>
      </c>
      <c r="V82" s="45" t="s">
        <v>607</v>
      </c>
      <c r="W82" s="45" t="s">
        <v>607</v>
      </c>
      <c r="X82" s="45" t="s">
        <v>607</v>
      </c>
      <c r="Y82" s="45" t="s">
        <v>607</v>
      </c>
      <c r="Z82" s="45">
        <v>0</v>
      </c>
      <c r="AA82" s="45">
        <v>0</v>
      </c>
      <c r="AB82" s="45">
        <v>0</v>
      </c>
      <c r="AC82" s="45">
        <v>0</v>
      </c>
      <c r="AD82" s="45">
        <v>0</v>
      </c>
      <c r="AE82" s="45">
        <v>0</v>
      </c>
      <c r="AF82" s="45">
        <v>0</v>
      </c>
      <c r="AG82" s="45">
        <v>-38.781804660785241</v>
      </c>
      <c r="AH82" s="45">
        <v>6.0723481419427285</v>
      </c>
      <c r="AI82" s="45">
        <v>14.032272957090957</v>
      </c>
      <c r="AJ82" s="45">
        <v>0</v>
      </c>
      <c r="AK82" s="45">
        <v>22.0855212484513</v>
      </c>
      <c r="AL82" s="45">
        <v>42.190142347484986</v>
      </c>
      <c r="AM82" s="45">
        <v>35.059455480272995</v>
      </c>
      <c r="AN82" s="45">
        <v>6.0328160591388107</v>
      </c>
      <c r="AO82" s="45">
        <v>0</v>
      </c>
      <c r="AP82" s="45">
        <v>0</v>
      </c>
      <c r="AQ82" s="45">
        <v>41.092271539411804</v>
      </c>
      <c r="AR82" s="45">
        <v>6.0723481419427285</v>
      </c>
      <c r="AS82" s="199">
        <v>6.7671139036941215</v>
      </c>
      <c r="AT82" s="45">
        <v>35.059455480272995</v>
      </c>
      <c r="AU82" s="45">
        <v>7.141057340163405</v>
      </c>
      <c r="AV82" s="45">
        <v>0</v>
      </c>
      <c r="AW82" s="45">
        <v>0</v>
      </c>
      <c r="AX82" s="45">
        <v>42.200512820436401</v>
      </c>
      <c r="AY82" s="45">
        <v>14.032272957090957</v>
      </c>
      <c r="AZ82" s="199">
        <v>3.0073896758907566</v>
      </c>
      <c r="BA82" s="45">
        <v>35.059455480272995</v>
      </c>
      <c r="BB82" s="45">
        <v>13.173873399302217</v>
      </c>
      <c r="BC82" s="45">
        <v>0</v>
      </c>
      <c r="BD82" s="45">
        <v>0</v>
      </c>
      <c r="BE82" s="45">
        <v>48.233328879575211</v>
      </c>
      <c r="BF82" s="45">
        <v>20.104621099033686</v>
      </c>
      <c r="BG82" s="45">
        <v>6.9720686074913738</v>
      </c>
      <c r="BH82" s="199">
        <v>2.3991165335562337</v>
      </c>
      <c r="BI82" s="45">
        <v>6.108551297551605</v>
      </c>
      <c r="BJ82" s="45">
        <v>14.115932943234185</v>
      </c>
      <c r="BK82" s="45">
        <v>0</v>
      </c>
      <c r="BL82" s="45">
        <v>22.217194456866029</v>
      </c>
      <c r="BM82" s="45">
        <v>42.441678697651824</v>
      </c>
      <c r="BN82" s="45">
        <v>35.059455480272995</v>
      </c>
      <c r="BO82" s="45">
        <v>0</v>
      </c>
      <c r="BP82" s="45">
        <v>13.173873399302217</v>
      </c>
      <c r="BQ82" s="45">
        <v>0</v>
      </c>
      <c r="BR82" s="45">
        <v>0</v>
      </c>
      <c r="BS82" s="45">
        <v>0</v>
      </c>
      <c r="BT82" s="45">
        <v>0</v>
      </c>
      <c r="BU82" s="45">
        <v>0</v>
      </c>
      <c r="BV82" s="45">
        <v>0</v>
      </c>
      <c r="BW82" s="45">
        <v>0</v>
      </c>
      <c r="BX82" s="45">
        <v>80.971947008270234</v>
      </c>
      <c r="BY82" s="45"/>
      <c r="BZ82" s="45">
        <v>0</v>
      </c>
      <c r="CA82" s="45">
        <v>-38.781804660785241</v>
      </c>
      <c r="CB82" s="45">
        <v>48.233328879575211</v>
      </c>
      <c r="CC82" s="45">
        <v>42.190142347484993</v>
      </c>
      <c r="CD82" s="199">
        <v>1.0746330890558056</v>
      </c>
      <c r="CE82" s="45">
        <v>29.189263064357409</v>
      </c>
      <c r="CF82" s="45">
        <v>0.69488559328866673</v>
      </c>
      <c r="CG82" s="45">
        <v>0</v>
      </c>
      <c r="CH82" s="45">
        <v>0.69488559328866673</v>
      </c>
      <c r="CI82" s="45">
        <v>3.4744187612423837E-2</v>
      </c>
      <c r="CJ82" s="45">
        <v>0</v>
      </c>
      <c r="CK82" s="45">
        <v>3.4744187612423837E-2</v>
      </c>
      <c r="CL82" s="45"/>
      <c r="CM82" s="45">
        <v>0</v>
      </c>
      <c r="CN82" s="45"/>
      <c r="CO82" s="45">
        <v>0</v>
      </c>
      <c r="CP82" s="45">
        <v>0</v>
      </c>
      <c r="CQ82" s="45">
        <v>0</v>
      </c>
      <c r="CR82" s="45">
        <v>0</v>
      </c>
      <c r="CS82" s="45">
        <v>0</v>
      </c>
      <c r="CT82" s="45">
        <v>0</v>
      </c>
      <c r="CU82" s="45">
        <v>0</v>
      </c>
      <c r="CV82" s="45">
        <v>9999</v>
      </c>
      <c r="CW82" s="199">
        <v>9999</v>
      </c>
      <c r="CX82" s="24"/>
      <c r="CY82" s="24"/>
      <c r="CZ82" s="24"/>
      <c r="DA82" s="24"/>
      <c r="DB82" s="24"/>
      <c r="DC82" s="24"/>
      <c r="DD82" s="24"/>
      <c r="DE82" s="24"/>
      <c r="DF82" s="24"/>
      <c r="DG82" s="24"/>
      <c r="DH82" s="24"/>
      <c r="DI82" s="24"/>
      <c r="DJ82" s="24"/>
      <c r="DK82" s="24"/>
      <c r="DL82" s="24"/>
      <c r="DM82" s="24"/>
      <c r="DN82" s="24"/>
      <c r="DO82" s="24"/>
      <c r="DP82" s="24"/>
      <c r="DQ82" s="24"/>
      <c r="DR82" s="24"/>
      <c r="DS82" s="24"/>
      <c r="DT82" s="24"/>
      <c r="DU82" s="24"/>
      <c r="DV82" s="24"/>
      <c r="DW82" s="24"/>
      <c r="DX82" s="24"/>
      <c r="DY82" s="24"/>
      <c r="DZ82" s="24"/>
      <c r="EA82" s="24"/>
    </row>
    <row r="83" spans="1:131">
      <c r="A83" s="24" t="s">
        <v>422</v>
      </c>
      <c r="B83" s="24" t="s">
        <v>630</v>
      </c>
      <c r="C83" s="45">
        <v>6.6762790697674417</v>
      </c>
      <c r="D83" s="45">
        <v>278.92666666666668</v>
      </c>
      <c r="E83" s="45">
        <v>0</v>
      </c>
      <c r="F83" s="45">
        <v>30.451059986919489</v>
      </c>
      <c r="G83" s="45">
        <v>0</v>
      </c>
      <c r="H83" s="45">
        <v>-479.41816791091384</v>
      </c>
      <c r="I83" s="45" t="s">
        <v>368</v>
      </c>
      <c r="J83" s="45"/>
      <c r="K83" s="45"/>
      <c r="L83" s="45">
        <v>299.03666118432898</v>
      </c>
      <c r="M83" s="45">
        <v>6.9799567806392765E-2</v>
      </c>
      <c r="N83" s="45">
        <v>6.9295785827134165E-2</v>
      </c>
      <c r="O83" s="45">
        <v>0</v>
      </c>
      <c r="P83" s="45">
        <v>0</v>
      </c>
      <c r="Q83" s="45">
        <v>0</v>
      </c>
      <c r="R83" s="45">
        <v>6.0723481419427285</v>
      </c>
      <c r="S83" s="45">
        <v>14.032272957090957</v>
      </c>
      <c r="T83" s="45">
        <v>0</v>
      </c>
      <c r="U83" s="45">
        <v>60.867325909236541</v>
      </c>
      <c r="V83" s="45" t="s">
        <v>607</v>
      </c>
      <c r="W83" s="45" t="s">
        <v>607</v>
      </c>
      <c r="X83" s="45" t="s">
        <v>607</v>
      </c>
      <c r="Y83" s="45" t="s">
        <v>607</v>
      </c>
      <c r="Z83" s="45">
        <v>0</v>
      </c>
      <c r="AA83" s="45">
        <v>0</v>
      </c>
      <c r="AB83" s="45">
        <v>0</v>
      </c>
      <c r="AC83" s="45">
        <v>0</v>
      </c>
      <c r="AD83" s="45">
        <v>0</v>
      </c>
      <c r="AE83" s="45">
        <v>0</v>
      </c>
      <c r="AF83" s="45">
        <v>0</v>
      </c>
      <c r="AG83" s="45">
        <v>-479.41816791091384</v>
      </c>
      <c r="AH83" s="45">
        <v>6.0723481419427285</v>
      </c>
      <c r="AI83" s="45">
        <v>14.032272957090957</v>
      </c>
      <c r="AJ83" s="45">
        <v>0</v>
      </c>
      <c r="AK83" s="45">
        <v>-418.55084200167732</v>
      </c>
      <c r="AL83" s="45">
        <v>-398.44622090264363</v>
      </c>
      <c r="AM83" s="45">
        <v>143.33130328699843</v>
      </c>
      <c r="AN83" s="45">
        <v>24.66357153589102</v>
      </c>
      <c r="AO83" s="45">
        <v>0</v>
      </c>
      <c r="AP83" s="45">
        <v>0</v>
      </c>
      <c r="AQ83" s="45">
        <v>167.99487482288944</v>
      </c>
      <c r="AR83" s="45">
        <v>6.0723481419427285</v>
      </c>
      <c r="AS83" s="199">
        <v>27.665553900396556</v>
      </c>
      <c r="AT83" s="45">
        <v>143.33130328699843</v>
      </c>
      <c r="AU83" s="45">
        <v>29.194322655373931</v>
      </c>
      <c r="AV83" s="45">
        <v>0</v>
      </c>
      <c r="AW83" s="45">
        <v>0</v>
      </c>
      <c r="AX83" s="45">
        <v>172.52562594237236</v>
      </c>
      <c r="AY83" s="45">
        <v>14.032272957090957</v>
      </c>
      <c r="AZ83" s="199">
        <v>12.294916616141624</v>
      </c>
      <c r="BA83" s="45">
        <v>143.33130328699843</v>
      </c>
      <c r="BB83" s="45">
        <v>53.857894191264947</v>
      </c>
      <c r="BC83" s="45">
        <v>0</v>
      </c>
      <c r="BD83" s="45">
        <v>0</v>
      </c>
      <c r="BE83" s="45">
        <v>197.18919747826337</v>
      </c>
      <c r="BF83" s="45">
        <v>20.104621099033686</v>
      </c>
      <c r="BG83" s="45">
        <v>-8.3054194880662333</v>
      </c>
      <c r="BH83" s="199">
        <v>9.8081528871857788</v>
      </c>
      <c r="BI83" s="45">
        <v>1.4941780152284501</v>
      </c>
      <c r="BJ83" s="45">
        <v>3.452818129999728</v>
      </c>
      <c r="BK83" s="45">
        <v>0</v>
      </c>
      <c r="BL83" s="45">
        <v>-102.98972518630687</v>
      </c>
      <c r="BM83" s="45">
        <v>-98.042729041078687</v>
      </c>
      <c r="BN83" s="45">
        <v>143.33130328699843</v>
      </c>
      <c r="BO83" s="45">
        <v>0</v>
      </c>
      <c r="BP83" s="45">
        <v>53.857894191264947</v>
      </c>
      <c r="BQ83" s="45">
        <v>0</v>
      </c>
      <c r="BR83" s="45">
        <v>0</v>
      </c>
      <c r="BS83" s="45">
        <v>0</v>
      </c>
      <c r="BT83" s="45">
        <v>0</v>
      </c>
      <c r="BU83" s="45">
        <v>0</v>
      </c>
      <c r="BV83" s="45">
        <v>0</v>
      </c>
      <c r="BW83" s="45">
        <v>0</v>
      </c>
      <c r="BX83" s="45">
        <v>80.971947008270234</v>
      </c>
      <c r="BY83" s="45"/>
      <c r="BZ83" s="45">
        <v>0</v>
      </c>
      <c r="CA83" s="45">
        <v>-479.41816791091384</v>
      </c>
      <c r="CB83" s="45">
        <v>197.18919747826337</v>
      </c>
      <c r="CC83" s="45">
        <v>-398.44622090264363</v>
      </c>
      <c r="CD83" s="199">
        <v>8.3560713356697551</v>
      </c>
      <c r="CE83" s="45">
        <v>-111.29514467437311</v>
      </c>
      <c r="CF83" s="45">
        <v>2.8408558078566108</v>
      </c>
      <c r="CG83" s="45">
        <v>0</v>
      </c>
      <c r="CH83" s="45">
        <v>2.8408558078566108</v>
      </c>
      <c r="CI83" s="45">
        <v>0.14204241406255627</v>
      </c>
      <c r="CJ83" s="45">
        <v>0</v>
      </c>
      <c r="CK83" s="45">
        <v>0.14204241406255627</v>
      </c>
      <c r="CL83" s="45"/>
      <c r="CM83" s="45">
        <v>0</v>
      </c>
      <c r="CN83" s="45"/>
      <c r="CO83" s="45">
        <v>0</v>
      </c>
      <c r="CP83" s="45">
        <v>0</v>
      </c>
      <c r="CQ83" s="45">
        <v>0</v>
      </c>
      <c r="CR83" s="45">
        <v>0</v>
      </c>
      <c r="CS83" s="45">
        <v>0</v>
      </c>
      <c r="CT83" s="45">
        <v>0</v>
      </c>
      <c r="CU83" s="45">
        <v>0</v>
      </c>
      <c r="CV83" s="45">
        <v>9999</v>
      </c>
      <c r="CW83" s="199">
        <v>9999</v>
      </c>
      <c r="CX83" s="24"/>
      <c r="CY83" s="24"/>
      <c r="CZ83" s="24"/>
      <c r="DA83" s="24"/>
      <c r="DB83" s="24"/>
      <c r="DC83" s="24"/>
      <c r="DD83" s="24"/>
      <c r="DE83" s="24"/>
      <c r="DF83" s="24"/>
      <c r="DG83" s="24"/>
      <c r="DH83" s="24"/>
      <c r="DI83" s="24"/>
      <c r="DJ83" s="24"/>
      <c r="DK83" s="24"/>
      <c r="DL83" s="24"/>
      <c r="DM83" s="24"/>
      <c r="DN83" s="24"/>
      <c r="DO83" s="24"/>
      <c r="DP83" s="24"/>
      <c r="DQ83" s="24"/>
      <c r="DR83" s="24"/>
      <c r="DS83" s="24"/>
      <c r="DT83" s="24"/>
      <c r="DU83" s="24"/>
      <c r="DV83" s="24"/>
      <c r="DW83" s="24"/>
      <c r="DX83" s="24"/>
      <c r="DY83" s="24"/>
      <c r="DZ83" s="24"/>
      <c r="EA83" s="24"/>
    </row>
    <row r="84" spans="1:131">
      <c r="A84" s="24"/>
      <c r="B84" s="24"/>
      <c r="C84" s="45"/>
      <c r="D84" s="45"/>
      <c r="E84" s="45"/>
      <c r="F84" s="45"/>
      <c r="G84" s="45"/>
      <c r="H84" s="45"/>
      <c r="I84" s="45"/>
      <c r="J84" s="45"/>
      <c r="K84" s="45"/>
      <c r="L84" s="45"/>
      <c r="M84" s="45"/>
      <c r="N84" s="45"/>
      <c r="O84" s="45"/>
      <c r="P84" s="45"/>
      <c r="Q84" s="45"/>
      <c r="R84" s="45"/>
      <c r="S84" s="45"/>
      <c r="T84" s="45"/>
      <c r="U84" s="45"/>
      <c r="V84" s="45"/>
      <c r="W84" s="45"/>
      <c r="X84" s="45"/>
      <c r="Y84" s="45"/>
      <c r="Z84" s="45"/>
      <c r="AA84" s="45"/>
      <c r="AB84" s="45"/>
      <c r="AC84" s="45"/>
      <c r="AD84" s="45"/>
      <c r="AE84" s="45"/>
      <c r="AF84" s="45"/>
      <c r="AG84" s="45"/>
      <c r="AH84" s="45"/>
      <c r="AI84" s="45"/>
      <c r="AJ84" s="45"/>
      <c r="AK84" s="45"/>
      <c r="AL84" s="45"/>
      <c r="AM84" s="45"/>
      <c r="AN84" s="45"/>
      <c r="AO84" s="45"/>
      <c r="AP84" s="45"/>
      <c r="AQ84" s="45"/>
      <c r="AR84" s="45"/>
      <c r="AS84" s="45"/>
      <c r="AT84" s="45"/>
      <c r="AU84" s="45"/>
      <c r="AV84" s="45"/>
      <c r="AW84" s="45"/>
      <c r="AX84" s="45"/>
      <c r="AY84" s="45"/>
      <c r="AZ84" s="45"/>
      <c r="BA84" s="45"/>
      <c r="BB84" s="45"/>
      <c r="BC84" s="45"/>
      <c r="BD84" s="45"/>
      <c r="BE84" s="45"/>
      <c r="BF84" s="45"/>
      <c r="BG84" s="45"/>
      <c r="BH84" s="45"/>
      <c r="BI84" s="45"/>
      <c r="BJ84" s="45"/>
      <c r="BK84" s="45"/>
      <c r="BL84" s="45"/>
      <c r="BM84" s="45"/>
      <c r="BN84" s="45"/>
      <c r="BO84" s="45"/>
      <c r="BP84" s="45"/>
      <c r="BQ84" s="45"/>
      <c r="BR84" s="45"/>
      <c r="BS84" s="45"/>
      <c r="BT84" s="45"/>
      <c r="BU84" s="45"/>
      <c r="BV84" s="45"/>
      <c r="BW84" s="45"/>
      <c r="BX84" s="45"/>
      <c r="BY84" s="45"/>
      <c r="BZ84" s="45"/>
      <c r="CA84" s="45"/>
      <c r="CB84" s="45"/>
      <c r="CC84" s="45"/>
      <c r="CD84" s="45"/>
      <c r="CE84" s="45"/>
      <c r="CF84" s="45"/>
      <c r="CG84" s="45"/>
      <c r="CH84" s="45"/>
      <c r="CI84" s="45"/>
      <c r="CJ84" s="45"/>
      <c r="CK84" s="45"/>
      <c r="CL84" s="45"/>
      <c r="CM84" s="45"/>
      <c r="CN84" s="45"/>
      <c r="CO84" s="45"/>
      <c r="CP84" s="45"/>
      <c r="CQ84" s="45"/>
      <c r="CR84" s="45"/>
      <c r="CS84" s="45"/>
      <c r="CT84" s="45"/>
      <c r="CU84" s="45"/>
      <c r="CV84" s="45"/>
      <c r="CW84" s="45"/>
      <c r="CX84" s="24"/>
      <c r="CY84" s="24"/>
      <c r="CZ84" s="24"/>
      <c r="DA84" s="24"/>
      <c r="DB84" s="24"/>
      <c r="DC84" s="24"/>
      <c r="DD84" s="24"/>
      <c r="DE84" s="24"/>
      <c r="DF84" s="24"/>
      <c r="DG84" s="24"/>
      <c r="DH84" s="24"/>
      <c r="DI84" s="24"/>
      <c r="DJ84" s="24"/>
      <c r="DK84" s="24"/>
      <c r="DL84" s="24"/>
      <c r="DM84" s="24"/>
      <c r="DN84" s="24"/>
      <c r="DO84" s="24"/>
      <c r="DP84" s="24"/>
      <c r="DQ84" s="24"/>
      <c r="DR84" s="24"/>
      <c r="DS84" s="24"/>
      <c r="DT84" s="24"/>
      <c r="DU84" s="24"/>
      <c r="DV84" s="24"/>
      <c r="DW84" s="24"/>
      <c r="DX84" s="24"/>
      <c r="DY84" s="24"/>
      <c r="DZ84" s="24"/>
      <c r="EA84" s="24"/>
    </row>
    <row r="85" spans="1:131">
      <c r="A85" s="24"/>
      <c r="B85" s="24"/>
      <c r="C85" s="45"/>
      <c r="D85" s="45"/>
      <c r="E85" s="45"/>
      <c r="F85" s="45"/>
      <c r="G85" s="45"/>
      <c r="H85" s="45"/>
      <c r="I85" s="45"/>
      <c r="J85" s="45"/>
      <c r="K85" s="45"/>
      <c r="L85" s="45"/>
      <c r="M85" s="45"/>
      <c r="N85" s="45"/>
      <c r="O85" s="45"/>
      <c r="P85" s="45"/>
      <c r="Q85" s="45"/>
      <c r="R85" s="45"/>
      <c r="S85" s="45"/>
      <c r="T85" s="45"/>
      <c r="U85" s="45"/>
      <c r="V85" s="45"/>
      <c r="W85" s="45"/>
      <c r="X85" s="45"/>
      <c r="Y85" s="45"/>
      <c r="Z85" s="45"/>
      <c r="AA85" s="45"/>
      <c r="AB85" s="45"/>
      <c r="AC85" s="45"/>
      <c r="AD85" s="45"/>
      <c r="AE85" s="45"/>
      <c r="AF85" s="45"/>
      <c r="AG85" s="45"/>
      <c r="AH85" s="45"/>
      <c r="AI85" s="45"/>
      <c r="AJ85" s="45"/>
      <c r="AK85" s="45"/>
      <c r="AL85" s="45"/>
      <c r="AM85" s="45"/>
      <c r="AN85" s="45"/>
      <c r="AO85" s="45"/>
      <c r="AP85" s="45"/>
      <c r="AQ85" s="45"/>
      <c r="AR85" s="45"/>
      <c r="AS85" s="45"/>
      <c r="AT85" s="45"/>
      <c r="AU85" s="45"/>
      <c r="AV85" s="45"/>
      <c r="AW85" s="45"/>
      <c r="AX85" s="45"/>
      <c r="AY85" s="45"/>
      <c r="AZ85" s="45"/>
      <c r="BA85" s="45"/>
      <c r="BB85" s="45"/>
      <c r="BC85" s="45"/>
      <c r="BD85" s="45"/>
      <c r="BE85" s="45"/>
      <c r="BF85" s="45"/>
      <c r="BG85" s="45"/>
      <c r="BH85" s="45"/>
      <c r="BI85" s="45"/>
      <c r="BJ85" s="45"/>
      <c r="BK85" s="45"/>
      <c r="BL85" s="45"/>
      <c r="BM85" s="45"/>
      <c r="BN85" s="45"/>
      <c r="BO85" s="45"/>
      <c r="BP85" s="45"/>
      <c r="BQ85" s="45"/>
      <c r="BR85" s="45"/>
      <c r="BS85" s="45"/>
      <c r="BT85" s="45"/>
      <c r="BU85" s="45"/>
      <c r="BV85" s="45"/>
      <c r="BW85" s="45"/>
      <c r="BX85" s="45"/>
      <c r="BY85" s="45"/>
      <c r="BZ85" s="45"/>
      <c r="CA85" s="45"/>
      <c r="CB85" s="45"/>
      <c r="CC85" s="45"/>
      <c r="CD85" s="45"/>
      <c r="CE85" s="45"/>
      <c r="CF85" s="45"/>
      <c r="CG85" s="45"/>
      <c r="CH85" s="45"/>
      <c r="CI85" s="45"/>
      <c r="CJ85" s="45"/>
      <c r="CK85" s="45"/>
      <c r="CL85" s="45"/>
      <c r="CM85" s="45"/>
      <c r="CN85" s="45"/>
      <c r="CO85" s="45"/>
      <c r="CP85" s="45"/>
      <c r="CQ85" s="45"/>
      <c r="CR85" s="45"/>
      <c r="CS85" s="45"/>
      <c r="CT85" s="45"/>
      <c r="CU85" s="45"/>
      <c r="CV85" s="45"/>
      <c r="CW85" s="45"/>
      <c r="CX85" s="24"/>
      <c r="CY85" s="24"/>
      <c r="CZ85" s="24"/>
      <c r="DA85" s="24"/>
      <c r="DB85" s="24"/>
      <c r="DC85" s="24"/>
      <c r="DD85" s="24"/>
      <c r="DE85" s="24"/>
      <c r="DF85" s="24"/>
      <c r="DG85" s="24"/>
      <c r="DH85" s="24"/>
      <c r="DI85" s="24"/>
      <c r="DJ85" s="24"/>
      <c r="DK85" s="24"/>
      <c r="DL85" s="24"/>
      <c r="DM85" s="24"/>
      <c r="DN85" s="24"/>
      <c r="DO85" s="24"/>
      <c r="DP85" s="24"/>
      <c r="DQ85" s="24"/>
      <c r="DR85" s="24"/>
      <c r="DS85" s="24"/>
      <c r="DT85" s="24"/>
      <c r="DU85" s="24"/>
      <c r="DV85" s="24"/>
      <c r="DW85" s="24"/>
      <c r="DX85" s="24"/>
      <c r="DY85" s="24"/>
      <c r="DZ85" s="24"/>
      <c r="EA85" s="24"/>
    </row>
    <row r="86" spans="1:131" ht="13.5" thickBot="1">
      <c r="A86" s="187" t="s">
        <v>631</v>
      </c>
      <c r="B86" s="188"/>
      <c r="C86" s="45"/>
      <c r="D86" s="45"/>
      <c r="E86" s="45"/>
      <c r="F86" s="45"/>
      <c r="G86" s="45"/>
      <c r="H86" s="45"/>
      <c r="I86" s="45"/>
      <c r="J86" s="45"/>
      <c r="K86" s="45"/>
      <c r="L86" s="45"/>
      <c r="M86" s="45"/>
      <c r="N86" s="45"/>
      <c r="O86" s="45"/>
      <c r="P86" s="45"/>
      <c r="Q86" s="45"/>
      <c r="R86" s="45"/>
      <c r="S86" s="45"/>
      <c r="T86" s="45"/>
      <c r="U86" s="45"/>
      <c r="V86" s="45"/>
      <c r="W86" s="45"/>
      <c r="X86" s="45"/>
      <c r="Y86" s="45"/>
      <c r="Z86" s="45"/>
      <c r="AA86" s="45"/>
      <c r="AB86" s="45"/>
      <c r="AC86" s="45"/>
      <c r="AD86" s="45"/>
      <c r="AE86" s="45"/>
      <c r="AF86" s="45"/>
      <c r="AG86" s="45"/>
      <c r="AH86" s="45"/>
      <c r="AI86" s="45"/>
      <c r="AJ86" s="45"/>
      <c r="AK86" s="45"/>
      <c r="AL86" s="45"/>
      <c r="AM86" s="45"/>
      <c r="AN86" s="45"/>
      <c r="AO86" s="45"/>
      <c r="AP86" s="45"/>
      <c r="AQ86" s="45"/>
      <c r="AR86" s="45"/>
      <c r="AS86" s="45"/>
      <c r="AT86" s="45"/>
      <c r="AU86" s="45"/>
      <c r="AV86" s="45"/>
      <c r="AW86" s="45"/>
      <c r="AX86" s="45"/>
      <c r="AY86" s="45"/>
      <c r="AZ86" s="45"/>
      <c r="BA86" s="45"/>
      <c r="BB86" s="45"/>
      <c r="BC86" s="45"/>
      <c r="BD86" s="45"/>
      <c r="BE86" s="45"/>
      <c r="BF86" s="45"/>
      <c r="BG86" s="45"/>
      <c r="BH86" s="45"/>
      <c r="BI86" s="45"/>
      <c r="BJ86" s="45"/>
      <c r="BK86" s="45"/>
      <c r="BL86" s="45"/>
      <c r="BM86" s="45"/>
      <c r="BN86" s="45"/>
      <c r="BO86" s="45"/>
      <c r="BP86" s="45"/>
      <c r="BQ86" s="45"/>
      <c r="BR86" s="45"/>
      <c r="BS86" s="45"/>
      <c r="BT86" s="45"/>
      <c r="BU86" s="45"/>
      <c r="BV86" s="45"/>
      <c r="BW86" s="45"/>
      <c r="BX86" s="45"/>
      <c r="BY86" s="45"/>
      <c r="BZ86" s="45"/>
      <c r="CA86" s="45"/>
      <c r="CB86" s="45"/>
      <c r="CC86" s="45"/>
      <c r="CD86" s="45"/>
      <c r="CE86" s="45"/>
      <c r="CF86" s="45"/>
      <c r="CG86" s="45"/>
      <c r="CH86" s="45"/>
      <c r="CI86" s="45"/>
      <c r="CJ86" s="45"/>
      <c r="CK86" s="45"/>
      <c r="CL86" s="45"/>
      <c r="CM86" s="45"/>
      <c r="CN86" s="45"/>
      <c r="CO86" s="45"/>
      <c r="CP86" s="45"/>
      <c r="CQ86" s="45"/>
      <c r="CR86" s="45"/>
      <c r="CS86" s="45"/>
      <c r="CT86" s="45"/>
      <c r="CU86" s="45"/>
      <c r="CV86" s="45"/>
      <c r="CW86" s="45"/>
      <c r="CX86" s="24"/>
      <c r="CY86" s="24"/>
      <c r="CZ86" s="24"/>
      <c r="DA86" s="24"/>
      <c r="DB86" s="24"/>
      <c r="DC86" s="24"/>
      <c r="DD86" s="24"/>
      <c r="DE86" s="24"/>
      <c r="DF86" s="24"/>
      <c r="DG86" s="24"/>
      <c r="DH86" s="24"/>
      <c r="DI86" s="24"/>
      <c r="DJ86" s="24"/>
      <c r="DK86" s="24"/>
      <c r="DL86" s="24"/>
      <c r="DM86" s="24"/>
      <c r="DN86" s="24"/>
      <c r="DO86" s="24"/>
      <c r="DP86" s="24"/>
      <c r="DQ86" s="24"/>
      <c r="DR86" s="24"/>
      <c r="DS86" s="24"/>
      <c r="DT86" s="24"/>
      <c r="DU86" s="24"/>
      <c r="DV86" s="24"/>
      <c r="DW86" s="24"/>
      <c r="DX86" s="24"/>
      <c r="DY86" s="24"/>
      <c r="DZ86" s="24"/>
      <c r="EA86" s="24"/>
    </row>
    <row r="87" spans="1:131" ht="26.25" thickBot="1">
      <c r="A87" s="213" t="s">
        <v>510</v>
      </c>
      <c r="B87" s="214"/>
      <c r="C87" s="215" t="s">
        <v>511</v>
      </c>
      <c r="D87" s="216"/>
      <c r="E87" s="216"/>
      <c r="F87" s="216"/>
      <c r="G87" s="216"/>
      <c r="H87" s="216"/>
      <c r="I87" s="216"/>
      <c r="J87" s="216"/>
      <c r="K87" s="217"/>
      <c r="L87" s="215" t="s">
        <v>512</v>
      </c>
      <c r="M87" s="216"/>
      <c r="N87" s="216"/>
      <c r="O87" s="216"/>
      <c r="P87" s="216"/>
      <c r="Q87" s="217"/>
      <c r="R87" s="215" t="s">
        <v>513</v>
      </c>
      <c r="S87" s="216"/>
      <c r="T87" s="216"/>
      <c r="U87" s="217"/>
      <c r="V87" s="215" t="s">
        <v>514</v>
      </c>
      <c r="W87" s="216"/>
      <c r="X87" s="216"/>
      <c r="Y87" s="217"/>
      <c r="Z87" s="215" t="s">
        <v>515</v>
      </c>
      <c r="AA87" s="216"/>
      <c r="AB87" s="216"/>
      <c r="AC87" s="217"/>
      <c r="AD87" s="215" t="s">
        <v>516</v>
      </c>
      <c r="AE87" s="216"/>
      <c r="AF87" s="216"/>
      <c r="AG87" s="217"/>
      <c r="AH87" s="215" t="s">
        <v>517</v>
      </c>
      <c r="AI87" s="216"/>
      <c r="AJ87" s="216"/>
      <c r="AK87" s="216"/>
      <c r="AL87" s="217"/>
      <c r="AM87" s="215" t="s">
        <v>518</v>
      </c>
      <c r="AN87" s="216"/>
      <c r="AO87" s="216"/>
      <c r="AP87" s="216"/>
      <c r="AQ87" s="216"/>
      <c r="AR87" s="216"/>
      <c r="AS87" s="217"/>
      <c r="AT87" s="215" t="s">
        <v>519</v>
      </c>
      <c r="AU87" s="216"/>
      <c r="AV87" s="216"/>
      <c r="AW87" s="216"/>
      <c r="AX87" s="216"/>
      <c r="AY87" s="216"/>
      <c r="AZ87" s="217"/>
      <c r="BA87" s="215" t="s">
        <v>520</v>
      </c>
      <c r="BB87" s="216"/>
      <c r="BC87" s="216"/>
      <c r="BD87" s="216"/>
      <c r="BE87" s="216"/>
      <c r="BF87" s="217"/>
      <c r="BG87" s="215" t="s">
        <v>521</v>
      </c>
      <c r="BH87" s="217"/>
      <c r="BI87" s="215" t="s">
        <v>522</v>
      </c>
      <c r="BJ87" s="216"/>
      <c r="BK87" s="216"/>
      <c r="BL87" s="216"/>
      <c r="BM87" s="217"/>
      <c r="BN87" s="215" t="s">
        <v>523</v>
      </c>
      <c r="BO87" s="216"/>
      <c r="BP87" s="216"/>
      <c r="BQ87" s="216"/>
      <c r="BR87" s="216"/>
      <c r="BS87" s="216"/>
      <c r="BT87" s="216"/>
      <c r="BU87" s="216"/>
      <c r="BV87" s="216"/>
      <c r="BW87" s="216"/>
      <c r="BX87" s="216"/>
      <c r="BY87" s="216"/>
      <c r="BZ87" s="216"/>
      <c r="CA87" s="216"/>
      <c r="CB87" s="216"/>
      <c r="CC87" s="217"/>
      <c r="CD87" s="215" t="s">
        <v>524</v>
      </c>
      <c r="CE87" s="217"/>
      <c r="CF87" s="215" t="s">
        <v>525</v>
      </c>
      <c r="CG87" s="216"/>
      <c r="CH87" s="216"/>
      <c r="CI87" s="216"/>
      <c r="CJ87" s="216"/>
      <c r="CK87" s="217"/>
      <c r="CL87" s="218"/>
      <c r="CM87" s="215" t="s">
        <v>19</v>
      </c>
      <c r="CN87" s="216"/>
      <c r="CO87" s="216"/>
      <c r="CP87" s="217"/>
      <c r="CQ87" s="215" t="s">
        <v>526</v>
      </c>
      <c r="CR87" s="216"/>
      <c r="CS87" s="216"/>
      <c r="CT87" s="216"/>
      <c r="CU87" s="217"/>
      <c r="CV87" s="215" t="s">
        <v>527</v>
      </c>
      <c r="CW87" s="217"/>
      <c r="CX87" s="24"/>
      <c r="CY87" s="24"/>
      <c r="CZ87" s="24"/>
      <c r="DA87" s="24"/>
      <c r="DB87" s="24"/>
      <c r="DC87" s="24"/>
      <c r="DD87" s="24"/>
      <c r="DE87" s="24"/>
      <c r="DF87" s="24"/>
      <c r="DG87" s="24"/>
      <c r="DH87" s="24"/>
      <c r="DI87" s="24"/>
      <c r="DJ87" s="24"/>
      <c r="DK87" s="24"/>
      <c r="DL87" s="24"/>
      <c r="DM87" s="24"/>
      <c r="DN87" s="24"/>
      <c r="DO87" s="24"/>
      <c r="DP87" s="24"/>
      <c r="DQ87" s="24"/>
      <c r="DR87" s="24"/>
      <c r="DS87" s="24"/>
      <c r="DT87" s="24"/>
      <c r="DU87" s="24"/>
      <c r="DV87" s="24"/>
      <c r="DW87" s="24"/>
      <c r="DX87" s="24"/>
      <c r="DY87" s="24"/>
      <c r="DZ87" s="24"/>
      <c r="EA87" s="24"/>
    </row>
    <row r="88" spans="1:131" ht="127.5">
      <c r="A88" s="195" t="s">
        <v>387</v>
      </c>
      <c r="B88" s="196" t="s">
        <v>388</v>
      </c>
      <c r="C88" s="197" t="s">
        <v>11</v>
      </c>
      <c r="D88" s="197" t="s">
        <v>528</v>
      </c>
      <c r="E88" s="197" t="s">
        <v>529</v>
      </c>
      <c r="F88" s="197" t="s">
        <v>530</v>
      </c>
      <c r="G88" s="197" t="s">
        <v>531</v>
      </c>
      <c r="H88" s="197" t="s">
        <v>532</v>
      </c>
      <c r="I88" s="197" t="s">
        <v>533</v>
      </c>
      <c r="J88" s="197" t="s">
        <v>534</v>
      </c>
      <c r="K88" s="197" t="s">
        <v>535</v>
      </c>
      <c r="L88" s="197" t="s">
        <v>536</v>
      </c>
      <c r="M88" s="197" t="s">
        <v>537</v>
      </c>
      <c r="N88" s="197" t="s">
        <v>538</v>
      </c>
      <c r="O88" s="197" t="s">
        <v>539</v>
      </c>
      <c r="P88" s="197" t="s">
        <v>540</v>
      </c>
      <c r="Q88" s="197" t="s">
        <v>541</v>
      </c>
      <c r="R88" s="197" t="s">
        <v>542</v>
      </c>
      <c r="S88" s="197" t="s">
        <v>543</v>
      </c>
      <c r="T88" s="197" t="s">
        <v>544</v>
      </c>
      <c r="U88" s="197" t="s">
        <v>451</v>
      </c>
      <c r="V88" s="197" t="s">
        <v>542</v>
      </c>
      <c r="W88" s="197" t="s">
        <v>543</v>
      </c>
      <c r="X88" s="197" t="s">
        <v>544</v>
      </c>
      <c r="Y88" s="197" t="s">
        <v>451</v>
      </c>
      <c r="Z88" s="197" t="s">
        <v>542</v>
      </c>
      <c r="AA88" s="197" t="s">
        <v>543</v>
      </c>
      <c r="AB88" s="197" t="s">
        <v>544</v>
      </c>
      <c r="AC88" s="197" t="s">
        <v>451</v>
      </c>
      <c r="AD88" s="197" t="s">
        <v>542</v>
      </c>
      <c r="AE88" s="197" t="s">
        <v>543</v>
      </c>
      <c r="AF88" s="197" t="s">
        <v>544</v>
      </c>
      <c r="AG88" s="197" t="s">
        <v>451</v>
      </c>
      <c r="AH88" s="197" t="s">
        <v>542</v>
      </c>
      <c r="AI88" s="197" t="s">
        <v>543</v>
      </c>
      <c r="AJ88" s="197" t="s">
        <v>544</v>
      </c>
      <c r="AK88" s="197" t="s">
        <v>451</v>
      </c>
      <c r="AL88" s="197" t="s">
        <v>545</v>
      </c>
      <c r="AM88" s="197" t="s">
        <v>546</v>
      </c>
      <c r="AN88" s="197" t="s">
        <v>547</v>
      </c>
      <c r="AO88" s="197" t="s">
        <v>548</v>
      </c>
      <c r="AP88" s="197" t="s">
        <v>549</v>
      </c>
      <c r="AQ88" s="197" t="s">
        <v>550</v>
      </c>
      <c r="AR88" s="197" t="s">
        <v>551</v>
      </c>
      <c r="AS88" s="197" t="s">
        <v>552</v>
      </c>
      <c r="AT88" s="197" t="s">
        <v>553</v>
      </c>
      <c r="AU88" s="197" t="s">
        <v>554</v>
      </c>
      <c r="AV88" s="197" t="s">
        <v>555</v>
      </c>
      <c r="AW88" s="197" t="s">
        <v>556</v>
      </c>
      <c r="AX88" s="197" t="s">
        <v>557</v>
      </c>
      <c r="AY88" s="197" t="s">
        <v>558</v>
      </c>
      <c r="AZ88" s="197" t="s">
        <v>559</v>
      </c>
      <c r="BA88" s="197" t="s">
        <v>560</v>
      </c>
      <c r="BB88" s="197" t="s">
        <v>561</v>
      </c>
      <c r="BC88" s="197" t="s">
        <v>562</v>
      </c>
      <c r="BD88" s="197" t="s">
        <v>563</v>
      </c>
      <c r="BE88" s="197" t="s">
        <v>564</v>
      </c>
      <c r="BF88" s="197" t="s">
        <v>565</v>
      </c>
      <c r="BG88" s="197" t="s">
        <v>566</v>
      </c>
      <c r="BH88" s="197" t="s">
        <v>567</v>
      </c>
      <c r="BI88" s="197" t="s">
        <v>568</v>
      </c>
      <c r="BJ88" s="197" t="s">
        <v>569</v>
      </c>
      <c r="BK88" s="197" t="s">
        <v>570</v>
      </c>
      <c r="BL88" s="197" t="s">
        <v>571</v>
      </c>
      <c r="BM88" s="197" t="s">
        <v>572</v>
      </c>
      <c r="BN88" s="197" t="s">
        <v>573</v>
      </c>
      <c r="BO88" s="197" t="s">
        <v>574</v>
      </c>
      <c r="BP88" s="197" t="s">
        <v>575</v>
      </c>
      <c r="BQ88" s="197" t="s">
        <v>576</v>
      </c>
      <c r="BR88" s="197" t="s">
        <v>577</v>
      </c>
      <c r="BS88" s="197" t="s">
        <v>578</v>
      </c>
      <c r="BT88" s="197" t="s">
        <v>579</v>
      </c>
      <c r="BU88" s="197" t="s">
        <v>580</v>
      </c>
      <c r="BV88" s="197" t="s">
        <v>581</v>
      </c>
      <c r="BW88" s="197" t="s">
        <v>582</v>
      </c>
      <c r="BX88" s="197" t="s">
        <v>583</v>
      </c>
      <c r="BY88" s="197" t="s">
        <v>584</v>
      </c>
      <c r="BZ88" s="197" t="s">
        <v>585</v>
      </c>
      <c r="CA88" s="197" t="s">
        <v>586</v>
      </c>
      <c r="CB88" s="197" t="s">
        <v>587</v>
      </c>
      <c r="CC88" s="197" t="s">
        <v>588</v>
      </c>
      <c r="CD88" s="197" t="s">
        <v>398</v>
      </c>
      <c r="CE88" s="197" t="s">
        <v>397</v>
      </c>
      <c r="CF88" s="197" t="s">
        <v>589</v>
      </c>
      <c r="CG88" s="197" t="s">
        <v>590</v>
      </c>
      <c r="CH88" s="197" t="s">
        <v>591</v>
      </c>
      <c r="CI88" s="197" t="s">
        <v>592</v>
      </c>
      <c r="CJ88" s="197" t="s">
        <v>593</v>
      </c>
      <c r="CK88" s="197" t="s">
        <v>594</v>
      </c>
      <c r="CL88" s="197"/>
      <c r="CM88" s="197" t="s">
        <v>595</v>
      </c>
      <c r="CN88" s="197" t="s">
        <v>596</v>
      </c>
      <c r="CO88" s="197" t="s">
        <v>597</v>
      </c>
      <c r="CP88" s="197" t="s">
        <v>598</v>
      </c>
      <c r="CQ88" s="197" t="s">
        <v>599</v>
      </c>
      <c r="CR88" s="197" t="s">
        <v>600</v>
      </c>
      <c r="CS88" s="197" t="s">
        <v>601</v>
      </c>
      <c r="CT88" s="197" t="s">
        <v>602</v>
      </c>
      <c r="CU88" s="197" t="s">
        <v>603</v>
      </c>
      <c r="CV88" s="197" t="s">
        <v>604</v>
      </c>
      <c r="CW88" s="197" t="s">
        <v>605</v>
      </c>
      <c r="CX88" s="24"/>
      <c r="CY88" s="24"/>
      <c r="CZ88" s="24"/>
      <c r="DA88" s="24"/>
      <c r="DB88" s="24"/>
      <c r="DC88" s="24"/>
      <c r="DD88" s="24"/>
      <c r="DE88" s="24"/>
      <c r="DF88" s="24"/>
      <c r="DG88" s="24"/>
      <c r="DH88" s="24"/>
      <c r="DI88" s="24"/>
      <c r="DJ88" s="24"/>
      <c r="DK88" s="24"/>
      <c r="DL88" s="24"/>
      <c r="DM88" s="24"/>
      <c r="DN88" s="24"/>
      <c r="DO88" s="24"/>
      <c r="DP88" s="24"/>
      <c r="DQ88" s="24"/>
      <c r="DR88" s="24"/>
      <c r="DS88" s="24"/>
      <c r="DT88" s="24"/>
      <c r="DU88" s="24"/>
      <c r="DV88" s="24"/>
      <c r="DW88" s="24"/>
      <c r="DX88" s="24"/>
      <c r="DY88" s="24"/>
      <c r="DZ88" s="24"/>
      <c r="EA88" s="24"/>
    </row>
    <row r="89" spans="1:131">
      <c r="A89" s="24" t="s">
        <v>414</v>
      </c>
      <c r="B89" s="24"/>
      <c r="C89" s="45">
        <v>16.279069767441861</v>
      </c>
      <c r="D89" s="45">
        <v>647.87397959183659</v>
      </c>
      <c r="E89" s="45">
        <v>0</v>
      </c>
      <c r="F89" s="45">
        <v>6.6707622506870052</v>
      </c>
      <c r="G89" s="45">
        <v>0</v>
      </c>
      <c r="H89" s="45">
        <v>-54.45644007047715</v>
      </c>
      <c r="I89" s="45"/>
      <c r="J89" s="45"/>
      <c r="K89" s="45"/>
      <c r="L89" s="45">
        <v>694.58425772131352</v>
      </c>
      <c r="M89" s="45">
        <v>0.16212621155567028</v>
      </c>
      <c r="N89" s="45">
        <v>0.16095605726511986</v>
      </c>
      <c r="O89" s="45">
        <v>0</v>
      </c>
      <c r="P89" s="45">
        <v>0</v>
      </c>
      <c r="Q89" s="45">
        <v>0</v>
      </c>
      <c r="R89" s="45">
        <v>1.3302391041790051</v>
      </c>
      <c r="S89" s="45">
        <v>3.0739802415320749</v>
      </c>
      <c r="T89" s="45">
        <v>0</v>
      </c>
      <c r="U89" s="45">
        <v>3.9147177758155487</v>
      </c>
      <c r="V89" s="45">
        <v>0.4002457350412203</v>
      </c>
      <c r="W89" s="45">
        <v>0.93390671509618073</v>
      </c>
      <c r="X89" s="45">
        <v>0</v>
      </c>
      <c r="Y89" s="45">
        <v>0</v>
      </c>
      <c r="Z89" s="45">
        <v>0</v>
      </c>
      <c r="AA89" s="45">
        <v>0</v>
      </c>
      <c r="AB89" s="45">
        <v>0</v>
      </c>
      <c r="AC89" s="45">
        <v>0</v>
      </c>
      <c r="AD89" s="45">
        <v>0</v>
      </c>
      <c r="AE89" s="45">
        <v>0</v>
      </c>
      <c r="AF89" s="45">
        <v>0</v>
      </c>
      <c r="AG89" s="45">
        <v>-54.45644007047715</v>
      </c>
      <c r="AH89" s="45">
        <v>1.7304848392202254</v>
      </c>
      <c r="AI89" s="45">
        <v>4.0078869566282558</v>
      </c>
      <c r="AJ89" s="45">
        <v>0</v>
      </c>
      <c r="AK89" s="45">
        <v>-50.541722294661604</v>
      </c>
      <c r="AL89" s="45">
        <v>-44.803350498813117</v>
      </c>
      <c r="AM89" s="45">
        <v>332.92127629950102</v>
      </c>
      <c r="AN89" s="45">
        <v>57.287051226985589</v>
      </c>
      <c r="AO89" s="45">
        <v>0</v>
      </c>
      <c r="AP89" s="45">
        <v>0</v>
      </c>
      <c r="AQ89" s="45">
        <v>390.20832752648658</v>
      </c>
      <c r="AR89" s="45">
        <v>1.7304848392202254</v>
      </c>
      <c r="AS89" s="199">
        <v>225.49075188796138</v>
      </c>
      <c r="AT89" s="45">
        <v>332.92127629950102</v>
      </c>
      <c r="AU89" s="45">
        <v>67.810805708400849</v>
      </c>
      <c r="AV89" s="45">
        <v>0</v>
      </c>
      <c r="AW89" s="45">
        <v>0</v>
      </c>
      <c r="AX89" s="45">
        <v>400.73208200790185</v>
      </c>
      <c r="AY89" s="45">
        <v>4.0078869566282558</v>
      </c>
      <c r="AZ89" s="199">
        <v>99.985874438192397</v>
      </c>
      <c r="BA89" s="45">
        <v>332.92127629950102</v>
      </c>
      <c r="BB89" s="45">
        <v>125.09785693538643</v>
      </c>
      <c r="BC89" s="45">
        <v>0</v>
      </c>
      <c r="BD89" s="45">
        <v>0</v>
      </c>
      <c r="BE89" s="45">
        <v>458.01913323488742</v>
      </c>
      <c r="BF89" s="45">
        <v>5.7383717958484812</v>
      </c>
      <c r="BG89" s="45">
        <v>-12.644513228249723</v>
      </c>
      <c r="BH89" s="199">
        <v>79.816914889733852</v>
      </c>
      <c r="BI89" s="45">
        <v>0.18332132059069675</v>
      </c>
      <c r="BJ89" s="45">
        <v>0.42458108445399495</v>
      </c>
      <c r="BK89" s="45">
        <v>0</v>
      </c>
      <c r="BL89" s="45">
        <v>-5.3542077145042777</v>
      </c>
      <c r="BM89" s="45">
        <v>-4.7463053094595855</v>
      </c>
      <c r="BN89" s="45">
        <v>332.92127629950102</v>
      </c>
      <c r="BO89" s="45">
        <v>0</v>
      </c>
      <c r="BP89" s="45">
        <v>125.09785693538643</v>
      </c>
      <c r="BQ89" s="45">
        <v>0</v>
      </c>
      <c r="BR89" s="45">
        <v>0</v>
      </c>
      <c r="BS89" s="45">
        <v>0</v>
      </c>
      <c r="BT89" s="45">
        <v>0</v>
      </c>
      <c r="BU89" s="45">
        <v>0</v>
      </c>
      <c r="BV89" s="45">
        <v>0</v>
      </c>
      <c r="BW89" s="45">
        <v>0</v>
      </c>
      <c r="BX89" s="45">
        <v>8.3189371215266288</v>
      </c>
      <c r="BY89" s="45">
        <v>1.3341524501374011</v>
      </c>
      <c r="BZ89" s="45">
        <v>0</v>
      </c>
      <c r="CA89" s="45">
        <v>-54.45644007047715</v>
      </c>
      <c r="CB89" s="45">
        <v>458.01913323488742</v>
      </c>
      <c r="CC89" s="45">
        <v>-44.803350498813117</v>
      </c>
      <c r="CD89" s="199">
        <v>53.08927981044544</v>
      </c>
      <c r="CE89" s="45">
        <v>-17.998720942754002</v>
      </c>
      <c r="CF89" s="45">
        <v>6.598567930696162</v>
      </c>
      <c r="CG89" s="45">
        <v>0</v>
      </c>
      <c r="CH89" s="45">
        <v>6.598567930696162</v>
      </c>
      <c r="CI89" s="45">
        <v>0.32992752241762402</v>
      </c>
      <c r="CJ89" s="45">
        <v>0</v>
      </c>
      <c r="CK89" s="45">
        <v>0.32992752241762402</v>
      </c>
      <c r="CL89" s="45"/>
      <c r="CM89" s="45">
        <v>0</v>
      </c>
      <c r="CN89" s="45"/>
      <c r="CO89" s="45">
        <v>0</v>
      </c>
      <c r="CP89" s="45">
        <v>0</v>
      </c>
      <c r="CQ89" s="45">
        <v>0</v>
      </c>
      <c r="CR89" s="45">
        <v>0</v>
      </c>
      <c r="CS89" s="45">
        <v>0</v>
      </c>
      <c r="CT89" s="45">
        <v>0</v>
      </c>
      <c r="CU89" s="45">
        <v>0</v>
      </c>
      <c r="CV89" s="45">
        <v>9999</v>
      </c>
      <c r="CW89" s="199">
        <v>9999</v>
      </c>
      <c r="CX89" s="24"/>
      <c r="CY89" s="24"/>
      <c r="CZ89" s="24"/>
      <c r="DA89" s="24"/>
      <c r="DB89" s="24"/>
      <c r="DC89" s="24"/>
      <c r="DD89" s="24"/>
      <c r="DE89" s="24"/>
      <c r="DF89" s="24"/>
      <c r="DG89" s="24"/>
      <c r="DH89" s="24"/>
      <c r="DI89" s="24"/>
      <c r="DJ89" s="24"/>
      <c r="DK89" s="24"/>
      <c r="DL89" s="24"/>
      <c r="DM89" s="24"/>
      <c r="DN89" s="24"/>
      <c r="DO89" s="24"/>
      <c r="DP89" s="24"/>
      <c r="DQ89" s="24"/>
      <c r="DR89" s="24"/>
      <c r="DS89" s="24"/>
      <c r="DT89" s="24"/>
      <c r="DU89" s="24"/>
      <c r="DV89" s="24"/>
      <c r="DW89" s="24"/>
      <c r="DX89" s="24"/>
      <c r="DY89" s="24"/>
      <c r="DZ89" s="24"/>
      <c r="EA89" s="24"/>
    </row>
    <row r="90" spans="1:131">
      <c r="A90" s="24" t="s">
        <v>416</v>
      </c>
      <c r="B90" s="24"/>
      <c r="C90" s="45">
        <v>6.6762790697674417</v>
      </c>
      <c r="D90" s="45">
        <v>278.92666666666668</v>
      </c>
      <c r="E90" s="45">
        <v>0</v>
      </c>
      <c r="F90" s="45">
        <v>4.7789999869194872</v>
      </c>
      <c r="G90" s="45">
        <v>0</v>
      </c>
      <c r="H90" s="45">
        <v>-479.41816791091384</v>
      </c>
      <c r="I90" s="45"/>
      <c r="J90" s="45"/>
      <c r="K90" s="45"/>
      <c r="L90" s="45">
        <v>299.03666118432898</v>
      </c>
      <c r="M90" s="45">
        <v>6.9799567806392765E-2</v>
      </c>
      <c r="N90" s="45">
        <v>6.9295785827134165E-2</v>
      </c>
      <c r="O90" s="45">
        <v>0</v>
      </c>
      <c r="P90" s="45">
        <v>0</v>
      </c>
      <c r="Q90" s="45">
        <v>0</v>
      </c>
      <c r="R90" s="45">
        <v>0.9529964376734521</v>
      </c>
      <c r="S90" s="45">
        <v>2.2022298175234178</v>
      </c>
      <c r="T90" s="45">
        <v>0</v>
      </c>
      <c r="U90" s="45">
        <v>9.5525393811912522</v>
      </c>
      <c r="V90" s="45">
        <v>0.28673999921516924</v>
      </c>
      <c r="W90" s="45">
        <v>0.66905999816872819</v>
      </c>
      <c r="X90" s="45">
        <v>0</v>
      </c>
      <c r="Y90" s="45">
        <v>0</v>
      </c>
      <c r="Z90" s="45">
        <v>0</v>
      </c>
      <c r="AA90" s="45">
        <v>0</v>
      </c>
      <c r="AB90" s="45">
        <v>0</v>
      </c>
      <c r="AC90" s="45">
        <v>0</v>
      </c>
      <c r="AD90" s="45">
        <v>0</v>
      </c>
      <c r="AE90" s="45">
        <v>0</v>
      </c>
      <c r="AF90" s="45">
        <v>0</v>
      </c>
      <c r="AG90" s="45">
        <v>-479.41816791091384</v>
      </c>
      <c r="AH90" s="45">
        <v>1.2397364368886215</v>
      </c>
      <c r="AI90" s="45">
        <v>2.8712898156921458</v>
      </c>
      <c r="AJ90" s="45">
        <v>0</v>
      </c>
      <c r="AK90" s="45">
        <v>-469.86562852972258</v>
      </c>
      <c r="AL90" s="45">
        <v>-465.75460227714183</v>
      </c>
      <c r="AM90" s="45">
        <v>143.33130328699843</v>
      </c>
      <c r="AN90" s="45">
        <v>24.66357153589102</v>
      </c>
      <c r="AO90" s="45">
        <v>0</v>
      </c>
      <c r="AP90" s="45">
        <v>0</v>
      </c>
      <c r="AQ90" s="45">
        <v>167.99487482288944</v>
      </c>
      <c r="AR90" s="45">
        <v>1.2397364368886215</v>
      </c>
      <c r="AS90" s="199">
        <v>135.50854022207156</v>
      </c>
      <c r="AT90" s="45">
        <v>143.33130328699843</v>
      </c>
      <c r="AU90" s="45">
        <v>29.194322655373931</v>
      </c>
      <c r="AV90" s="45">
        <v>0</v>
      </c>
      <c r="AW90" s="45">
        <v>0</v>
      </c>
      <c r="AX90" s="45">
        <v>172.52562594237236</v>
      </c>
      <c r="AY90" s="45">
        <v>2.8712898156921458</v>
      </c>
      <c r="AZ90" s="199">
        <v>60.086454874560886</v>
      </c>
      <c r="BA90" s="45">
        <v>143.33130328699843</v>
      </c>
      <c r="BB90" s="45">
        <v>53.857894191264947</v>
      </c>
      <c r="BC90" s="45">
        <v>0</v>
      </c>
      <c r="BD90" s="45">
        <v>0</v>
      </c>
      <c r="BE90" s="45">
        <v>197.18919747826337</v>
      </c>
      <c r="BF90" s="45">
        <v>4.1110262525807668</v>
      </c>
      <c r="BG90" s="45">
        <v>-12.240845660188761</v>
      </c>
      <c r="BH90" s="199">
        <v>47.965930004575981</v>
      </c>
      <c r="BI90" s="45">
        <v>0.30505282065135286</v>
      </c>
      <c r="BJ90" s="45">
        <v>0.70651715245430269</v>
      </c>
      <c r="BK90" s="45">
        <v>0</v>
      </c>
      <c r="BL90" s="45">
        <v>-115.6163770340081</v>
      </c>
      <c r="BM90" s="45">
        <v>-114.60480706090244</v>
      </c>
      <c r="BN90" s="45">
        <v>143.33130328699843</v>
      </c>
      <c r="BO90" s="45">
        <v>0</v>
      </c>
      <c r="BP90" s="45">
        <v>53.857894191264947</v>
      </c>
      <c r="BQ90" s="45">
        <v>0</v>
      </c>
      <c r="BR90" s="45">
        <v>0</v>
      </c>
      <c r="BS90" s="45">
        <v>0</v>
      </c>
      <c r="BT90" s="45">
        <v>0</v>
      </c>
      <c r="BU90" s="45">
        <v>0</v>
      </c>
      <c r="BV90" s="45">
        <v>0</v>
      </c>
      <c r="BW90" s="45">
        <v>0</v>
      </c>
      <c r="BX90" s="45">
        <v>12.707765636388121</v>
      </c>
      <c r="BY90" s="45">
        <v>0.95579999738389754</v>
      </c>
      <c r="BZ90" s="45">
        <v>0</v>
      </c>
      <c r="CA90" s="45">
        <v>-479.41816791091384</v>
      </c>
      <c r="CB90" s="45">
        <v>197.18919747826337</v>
      </c>
      <c r="CC90" s="45">
        <v>-465.75460227714183</v>
      </c>
      <c r="CD90" s="199">
        <v>49.519092126056584</v>
      </c>
      <c r="CE90" s="45">
        <v>-127.85722269419686</v>
      </c>
      <c r="CF90" s="45">
        <v>2.8408558078566108</v>
      </c>
      <c r="CG90" s="45">
        <v>0</v>
      </c>
      <c r="CH90" s="45">
        <v>2.8408558078566108</v>
      </c>
      <c r="CI90" s="45">
        <v>0.14204241406255627</v>
      </c>
      <c r="CJ90" s="45">
        <v>0</v>
      </c>
      <c r="CK90" s="45">
        <v>0.14204241406255627</v>
      </c>
      <c r="CL90" s="45"/>
      <c r="CM90" s="45">
        <v>0</v>
      </c>
      <c r="CN90" s="45"/>
      <c r="CO90" s="45">
        <v>0</v>
      </c>
      <c r="CP90" s="45">
        <v>0</v>
      </c>
      <c r="CQ90" s="45">
        <v>0</v>
      </c>
      <c r="CR90" s="45">
        <v>0</v>
      </c>
      <c r="CS90" s="45">
        <v>0</v>
      </c>
      <c r="CT90" s="45">
        <v>0</v>
      </c>
      <c r="CU90" s="45">
        <v>0</v>
      </c>
      <c r="CV90" s="45">
        <v>9999</v>
      </c>
      <c r="CW90" s="199">
        <v>9999</v>
      </c>
      <c r="CX90" s="24"/>
      <c r="CY90" s="24"/>
      <c r="CZ90" s="24"/>
      <c r="DA90" s="24"/>
      <c r="DB90" s="24"/>
      <c r="DC90" s="24"/>
      <c r="DD90" s="24"/>
      <c r="DE90" s="24"/>
      <c r="DF90" s="24"/>
      <c r="DG90" s="24"/>
      <c r="DH90" s="24"/>
      <c r="DI90" s="24"/>
      <c r="DJ90" s="24"/>
      <c r="DK90" s="24"/>
      <c r="DL90" s="24"/>
      <c r="DM90" s="24"/>
      <c r="DN90" s="24"/>
      <c r="DO90" s="24"/>
      <c r="DP90" s="24"/>
      <c r="DQ90" s="24"/>
      <c r="DR90" s="24"/>
      <c r="DS90" s="24"/>
      <c r="DT90" s="24"/>
      <c r="DU90" s="24"/>
      <c r="DV90" s="24"/>
      <c r="DW90" s="24"/>
      <c r="DX90" s="24"/>
      <c r="DY90" s="24"/>
      <c r="DZ90" s="24"/>
      <c r="EA90" s="24"/>
    </row>
    <row r="91" spans="1:131">
      <c r="A91" s="24" t="s">
        <v>417</v>
      </c>
      <c r="B91" s="24"/>
      <c r="C91" s="45">
        <v>6.6762790697674417</v>
      </c>
      <c r="D91" s="45">
        <v>278.92666666666668</v>
      </c>
      <c r="E91" s="45">
        <v>0</v>
      </c>
      <c r="F91" s="45">
        <v>4.7789999869194872</v>
      </c>
      <c r="G91" s="45">
        <v>0</v>
      </c>
      <c r="H91" s="45">
        <v>-479.41816791091384</v>
      </c>
      <c r="I91" s="45"/>
      <c r="J91" s="45"/>
      <c r="K91" s="45"/>
      <c r="L91" s="45">
        <v>299.03666118432898</v>
      </c>
      <c r="M91" s="45">
        <v>6.9799567806392765E-2</v>
      </c>
      <c r="N91" s="45">
        <v>6.9295785827134165E-2</v>
      </c>
      <c r="O91" s="45">
        <v>0</v>
      </c>
      <c r="P91" s="45">
        <v>0</v>
      </c>
      <c r="Q91" s="45">
        <v>0</v>
      </c>
      <c r="R91" s="45">
        <v>0.9529964376734521</v>
      </c>
      <c r="S91" s="45">
        <v>2.2022298175234178</v>
      </c>
      <c r="T91" s="45">
        <v>0</v>
      </c>
      <c r="U91" s="45">
        <v>9.5525393811912522</v>
      </c>
      <c r="V91" s="45">
        <v>0.28673999921516924</v>
      </c>
      <c r="W91" s="45">
        <v>0.66905999816872819</v>
      </c>
      <c r="X91" s="45">
        <v>0</v>
      </c>
      <c r="Y91" s="45">
        <v>0</v>
      </c>
      <c r="Z91" s="45">
        <v>0</v>
      </c>
      <c r="AA91" s="45">
        <v>0</v>
      </c>
      <c r="AB91" s="45">
        <v>0</v>
      </c>
      <c r="AC91" s="45">
        <v>0</v>
      </c>
      <c r="AD91" s="45">
        <v>0</v>
      </c>
      <c r="AE91" s="45">
        <v>0</v>
      </c>
      <c r="AF91" s="45">
        <v>0</v>
      </c>
      <c r="AG91" s="45">
        <v>-479.41816791091384</v>
      </c>
      <c r="AH91" s="45">
        <v>1.2397364368886215</v>
      </c>
      <c r="AI91" s="45">
        <v>2.8712898156921458</v>
      </c>
      <c r="AJ91" s="45">
        <v>0</v>
      </c>
      <c r="AK91" s="45">
        <v>-469.86562852972258</v>
      </c>
      <c r="AL91" s="45">
        <v>-465.75460227714183</v>
      </c>
      <c r="AM91" s="45">
        <v>143.33130328699843</v>
      </c>
      <c r="AN91" s="45">
        <v>24.66357153589102</v>
      </c>
      <c r="AO91" s="45">
        <v>0</v>
      </c>
      <c r="AP91" s="45">
        <v>0</v>
      </c>
      <c r="AQ91" s="45">
        <v>167.99487482288944</v>
      </c>
      <c r="AR91" s="45">
        <v>1.2397364368886215</v>
      </c>
      <c r="AS91" s="199">
        <v>135.50854022207156</v>
      </c>
      <c r="AT91" s="45">
        <v>143.33130328699843</v>
      </c>
      <c r="AU91" s="45">
        <v>29.194322655373931</v>
      </c>
      <c r="AV91" s="45">
        <v>0</v>
      </c>
      <c r="AW91" s="45">
        <v>0</v>
      </c>
      <c r="AX91" s="45">
        <v>172.52562594237236</v>
      </c>
      <c r="AY91" s="45">
        <v>2.8712898156921458</v>
      </c>
      <c r="AZ91" s="199">
        <v>60.086454874560886</v>
      </c>
      <c r="BA91" s="45">
        <v>143.33130328699843</v>
      </c>
      <c r="BB91" s="45">
        <v>53.857894191264947</v>
      </c>
      <c r="BC91" s="45">
        <v>0</v>
      </c>
      <c r="BD91" s="45">
        <v>0</v>
      </c>
      <c r="BE91" s="45">
        <v>197.18919747826337</v>
      </c>
      <c r="BF91" s="45">
        <v>4.1110262525807668</v>
      </c>
      <c r="BG91" s="45">
        <v>-12.240845660188761</v>
      </c>
      <c r="BH91" s="199">
        <v>47.965930004575981</v>
      </c>
      <c r="BI91" s="45">
        <v>0.30505282065135286</v>
      </c>
      <c r="BJ91" s="45">
        <v>0.70651715245430269</v>
      </c>
      <c r="BK91" s="45">
        <v>0</v>
      </c>
      <c r="BL91" s="45">
        <v>-115.6163770340081</v>
      </c>
      <c r="BM91" s="45">
        <v>-114.60480706090244</v>
      </c>
      <c r="BN91" s="45">
        <v>143.33130328699843</v>
      </c>
      <c r="BO91" s="45">
        <v>0</v>
      </c>
      <c r="BP91" s="45">
        <v>53.857894191264947</v>
      </c>
      <c r="BQ91" s="45">
        <v>0</v>
      </c>
      <c r="BR91" s="45">
        <v>0</v>
      </c>
      <c r="BS91" s="45">
        <v>0</v>
      </c>
      <c r="BT91" s="45">
        <v>0</v>
      </c>
      <c r="BU91" s="45">
        <v>0</v>
      </c>
      <c r="BV91" s="45">
        <v>0</v>
      </c>
      <c r="BW91" s="45">
        <v>0</v>
      </c>
      <c r="BX91" s="45">
        <v>12.707765636388121</v>
      </c>
      <c r="BY91" s="45">
        <v>0.95579999738389754</v>
      </c>
      <c r="BZ91" s="45">
        <v>0</v>
      </c>
      <c r="CA91" s="45">
        <v>-479.41816791091384</v>
      </c>
      <c r="CB91" s="45">
        <v>197.18919747826337</v>
      </c>
      <c r="CC91" s="45">
        <v>-465.75460227714183</v>
      </c>
      <c r="CD91" s="199">
        <v>49.519092126056584</v>
      </c>
      <c r="CE91" s="45">
        <v>-127.85722269419686</v>
      </c>
      <c r="CF91" s="45">
        <v>2.8408558078566108</v>
      </c>
      <c r="CG91" s="45">
        <v>0</v>
      </c>
      <c r="CH91" s="45">
        <v>2.8408558078566108</v>
      </c>
      <c r="CI91" s="45">
        <v>0.14204241406255627</v>
      </c>
      <c r="CJ91" s="45">
        <v>0</v>
      </c>
      <c r="CK91" s="45">
        <v>0.14204241406255627</v>
      </c>
      <c r="CL91" s="45"/>
      <c r="CM91" s="45">
        <v>0</v>
      </c>
      <c r="CN91" s="45"/>
      <c r="CO91" s="45">
        <v>0</v>
      </c>
      <c r="CP91" s="45">
        <v>0</v>
      </c>
      <c r="CQ91" s="45">
        <v>0</v>
      </c>
      <c r="CR91" s="45">
        <v>0</v>
      </c>
      <c r="CS91" s="45">
        <v>0</v>
      </c>
      <c r="CT91" s="45">
        <v>0</v>
      </c>
      <c r="CU91" s="45">
        <v>0</v>
      </c>
      <c r="CV91" s="45">
        <v>9999</v>
      </c>
      <c r="CW91" s="199">
        <v>9999</v>
      </c>
      <c r="CX91" s="24"/>
      <c r="CY91" s="24"/>
      <c r="CZ91" s="24"/>
      <c r="DA91" s="24"/>
      <c r="DB91" s="24"/>
      <c r="DC91" s="24"/>
      <c r="DD91" s="24"/>
      <c r="DE91" s="24"/>
      <c r="DF91" s="24"/>
      <c r="DG91" s="24"/>
      <c r="DH91" s="24"/>
      <c r="DI91" s="24"/>
      <c r="DJ91" s="24"/>
      <c r="DK91" s="24"/>
      <c r="DL91" s="24"/>
      <c r="DM91" s="24"/>
      <c r="DN91" s="24"/>
      <c r="DO91" s="24"/>
      <c r="DP91" s="24"/>
      <c r="DQ91" s="24"/>
      <c r="DR91" s="24"/>
      <c r="DS91" s="24"/>
      <c r="DT91" s="24"/>
      <c r="DU91" s="24"/>
      <c r="DV91" s="24"/>
      <c r="DW91" s="24"/>
      <c r="DX91" s="24"/>
      <c r="DY91" s="24"/>
      <c r="DZ91" s="24"/>
      <c r="EA91" s="24"/>
    </row>
    <row r="92" spans="1:131">
      <c r="A92" s="24" t="s">
        <v>415</v>
      </c>
      <c r="B92" s="24"/>
      <c r="C92" s="45">
        <v>16.279069767441861</v>
      </c>
      <c r="D92" s="45">
        <v>649.36581632653053</v>
      </c>
      <c r="E92" s="45">
        <v>0</v>
      </c>
      <c r="F92" s="45">
        <v>7.3019593555087283</v>
      </c>
      <c r="G92" s="45">
        <v>0</v>
      </c>
      <c r="H92" s="45">
        <v>-57.917727227432479</v>
      </c>
      <c r="I92" s="45"/>
      <c r="J92" s="45"/>
      <c r="K92" s="45"/>
      <c r="L92" s="45">
        <v>696.18365257841458</v>
      </c>
      <c r="M92" s="45">
        <v>0.16249953390797076</v>
      </c>
      <c r="N92" s="45">
        <v>0.16132668514409546</v>
      </c>
      <c r="O92" s="45">
        <v>0</v>
      </c>
      <c r="P92" s="45">
        <v>0</v>
      </c>
      <c r="Q92" s="45">
        <v>0</v>
      </c>
      <c r="R92" s="45">
        <v>1.4561082387283526</v>
      </c>
      <c r="S92" s="45">
        <v>3.3648446668883225</v>
      </c>
      <c r="T92" s="45">
        <v>0</v>
      </c>
      <c r="U92" s="45">
        <v>4.2851339941471842</v>
      </c>
      <c r="V92" s="45">
        <v>0.43811756133052371</v>
      </c>
      <c r="W92" s="45">
        <v>1.0222743097712219</v>
      </c>
      <c r="X92" s="45">
        <v>0</v>
      </c>
      <c r="Y92" s="45">
        <v>0</v>
      </c>
      <c r="Z92" s="45">
        <v>0</v>
      </c>
      <c r="AA92" s="45">
        <v>0</v>
      </c>
      <c r="AB92" s="45">
        <v>0</v>
      </c>
      <c r="AC92" s="45">
        <v>0</v>
      </c>
      <c r="AD92" s="45">
        <v>0</v>
      </c>
      <c r="AE92" s="45">
        <v>0</v>
      </c>
      <c r="AF92" s="45">
        <v>0</v>
      </c>
      <c r="AG92" s="45">
        <v>-57.917727227432479</v>
      </c>
      <c r="AH92" s="45">
        <v>1.8942258000588763</v>
      </c>
      <c r="AI92" s="45">
        <v>4.3871189766595444</v>
      </c>
      <c r="AJ92" s="45">
        <v>0</v>
      </c>
      <c r="AK92" s="45">
        <v>-53.632593233285291</v>
      </c>
      <c r="AL92" s="45">
        <v>-47.351248456566871</v>
      </c>
      <c r="AM92" s="45">
        <v>333.6878824688946</v>
      </c>
      <c r="AN92" s="45">
        <v>57.41896411457607</v>
      </c>
      <c r="AO92" s="45">
        <v>0</v>
      </c>
      <c r="AP92" s="45">
        <v>0</v>
      </c>
      <c r="AQ92" s="45">
        <v>391.10684658347066</v>
      </c>
      <c r="AR92" s="45">
        <v>1.8942258000588763</v>
      </c>
      <c r="AS92" s="199">
        <v>206.47319161808178</v>
      </c>
      <c r="AT92" s="45">
        <v>333.6878824688946</v>
      </c>
      <c r="AU92" s="45">
        <v>67.966951277063316</v>
      </c>
      <c r="AV92" s="45">
        <v>0</v>
      </c>
      <c r="AW92" s="45">
        <v>0</v>
      </c>
      <c r="AX92" s="45">
        <v>401.65483374595794</v>
      </c>
      <c r="AY92" s="45">
        <v>4.3871189766595444</v>
      </c>
      <c r="AZ92" s="199">
        <v>91.553212001509792</v>
      </c>
      <c r="BA92" s="45">
        <v>333.6878824688946</v>
      </c>
      <c r="BB92" s="45">
        <v>125.38591539163939</v>
      </c>
      <c r="BC92" s="45">
        <v>0</v>
      </c>
      <c r="BD92" s="45">
        <v>0</v>
      </c>
      <c r="BE92" s="45">
        <v>459.073797860534</v>
      </c>
      <c r="BF92" s="45">
        <v>6.281344776718421</v>
      </c>
      <c r="BG92" s="45">
        <v>-12.588521355718758</v>
      </c>
      <c r="BH92" s="199">
        <v>73.085273007473589</v>
      </c>
      <c r="BI92" s="45">
        <v>0.20020643887538045</v>
      </c>
      <c r="BJ92" s="45">
        <v>0.46368783870028085</v>
      </c>
      <c r="BK92" s="45">
        <v>0</v>
      </c>
      <c r="BL92" s="45">
        <v>-5.6685905653666682</v>
      </c>
      <c r="BM92" s="45">
        <v>-5.0046962877910071</v>
      </c>
      <c r="BN92" s="45">
        <v>333.6878824688946</v>
      </c>
      <c r="BO92" s="45">
        <v>0</v>
      </c>
      <c r="BP92" s="45">
        <v>125.38591539163939</v>
      </c>
      <c r="BQ92" s="45">
        <v>0</v>
      </c>
      <c r="BR92" s="45">
        <v>0</v>
      </c>
      <c r="BS92" s="45">
        <v>0</v>
      </c>
      <c r="BT92" s="45">
        <v>0</v>
      </c>
      <c r="BU92" s="45">
        <v>0</v>
      </c>
      <c r="BV92" s="45">
        <v>0</v>
      </c>
      <c r="BW92" s="45">
        <v>0</v>
      </c>
      <c r="BX92" s="45">
        <v>9.1060868997638593</v>
      </c>
      <c r="BY92" s="45">
        <v>1.4603918711017458</v>
      </c>
      <c r="BZ92" s="45">
        <v>0</v>
      </c>
      <c r="CA92" s="45">
        <v>-57.917727227432479</v>
      </c>
      <c r="CB92" s="45">
        <v>459.073797860534</v>
      </c>
      <c r="CC92" s="45">
        <v>-47.351248456566871</v>
      </c>
      <c r="CD92" s="199">
        <v>48.92751277875464</v>
      </c>
      <c r="CE92" s="45">
        <v>-18.257111921085425</v>
      </c>
      <c r="CF92" s="45">
        <v>6.6137622220945982</v>
      </c>
      <c r="CG92" s="45">
        <v>0</v>
      </c>
      <c r="CH92" s="45">
        <v>6.6137622220945982</v>
      </c>
      <c r="CI92" s="45">
        <v>0.33068723497474706</v>
      </c>
      <c r="CJ92" s="45">
        <v>0</v>
      </c>
      <c r="CK92" s="45">
        <v>0.33068723497474706</v>
      </c>
      <c r="CL92" s="45"/>
      <c r="CM92" s="45">
        <v>0</v>
      </c>
      <c r="CN92" s="45"/>
      <c r="CO92" s="45">
        <v>0</v>
      </c>
      <c r="CP92" s="45">
        <v>0</v>
      </c>
      <c r="CQ92" s="45">
        <v>0</v>
      </c>
      <c r="CR92" s="45">
        <v>0</v>
      </c>
      <c r="CS92" s="45">
        <v>0</v>
      </c>
      <c r="CT92" s="45">
        <v>0</v>
      </c>
      <c r="CU92" s="45">
        <v>0</v>
      </c>
      <c r="CV92" s="45">
        <v>9999</v>
      </c>
      <c r="CW92" s="199">
        <v>9999</v>
      </c>
      <c r="CX92" s="24"/>
      <c r="CY92" s="24"/>
      <c r="CZ92" s="24"/>
      <c r="DA92" s="24"/>
      <c r="DB92" s="24"/>
      <c r="DC92" s="24"/>
      <c r="DD92" s="24"/>
      <c r="DE92" s="24"/>
      <c r="DF92" s="24"/>
      <c r="DG92" s="24"/>
      <c r="DH92" s="24"/>
      <c r="DI92" s="24"/>
      <c r="DJ92" s="24"/>
      <c r="DK92" s="24"/>
      <c r="DL92" s="24"/>
      <c r="DM92" s="24"/>
      <c r="DN92" s="24"/>
      <c r="DO92" s="24"/>
      <c r="DP92" s="24"/>
      <c r="DQ92" s="24"/>
      <c r="DR92" s="24"/>
      <c r="DS92" s="24"/>
      <c r="DT92" s="24"/>
      <c r="DU92" s="24"/>
      <c r="DV92" s="24"/>
      <c r="DW92" s="24"/>
      <c r="DX92" s="24"/>
      <c r="DY92" s="24"/>
      <c r="DZ92" s="24"/>
      <c r="EA92" s="24"/>
    </row>
    <row r="93" spans="1:131">
      <c r="A93" s="24" t="s">
        <v>418</v>
      </c>
      <c r="B93" s="24"/>
      <c r="C93" s="45">
        <v>16.279069767441861</v>
      </c>
      <c r="D93" s="45">
        <v>1606.9202380952379</v>
      </c>
      <c r="E93" s="45">
        <v>0</v>
      </c>
      <c r="F93" s="45">
        <v>51.863052062075326</v>
      </c>
      <c r="G93" s="45">
        <v>0</v>
      </c>
      <c r="H93" s="45">
        <v>-106.4505816687022</v>
      </c>
      <c r="I93" s="45"/>
      <c r="J93" s="45"/>
      <c r="K93" s="45"/>
      <c r="L93" s="45">
        <v>1722.7756260529418</v>
      </c>
      <c r="M93" s="45">
        <v>0.40212124376201641</v>
      </c>
      <c r="N93" s="45">
        <v>0.39921891295323159</v>
      </c>
      <c r="O93" s="45">
        <v>0</v>
      </c>
      <c r="P93" s="45">
        <v>0</v>
      </c>
      <c r="Q93" s="45">
        <v>0</v>
      </c>
      <c r="R93" s="45">
        <v>10.34218539387145</v>
      </c>
      <c r="S93" s="45">
        <v>23.899217407718282</v>
      </c>
      <c r="T93" s="45">
        <v>0</v>
      </c>
      <c r="U93" s="45">
        <v>30.435683987170137</v>
      </c>
      <c r="V93" s="45">
        <v>3.1117831237245195</v>
      </c>
      <c r="W93" s="45">
        <v>7.2608272886905452</v>
      </c>
      <c r="X93" s="45">
        <v>0</v>
      </c>
      <c r="Y93" s="45">
        <v>0</v>
      </c>
      <c r="Z93" s="45">
        <v>0</v>
      </c>
      <c r="AA93" s="45">
        <v>0</v>
      </c>
      <c r="AB93" s="45">
        <v>0</v>
      </c>
      <c r="AC93" s="45">
        <v>0</v>
      </c>
      <c r="AD93" s="45">
        <v>0</v>
      </c>
      <c r="AE93" s="45">
        <v>0</v>
      </c>
      <c r="AF93" s="45">
        <v>0</v>
      </c>
      <c r="AG93" s="45">
        <v>-106.4505816687022</v>
      </c>
      <c r="AH93" s="45">
        <v>13.453968517595969</v>
      </c>
      <c r="AI93" s="45">
        <v>31.160044696408828</v>
      </c>
      <c r="AJ93" s="45">
        <v>0</v>
      </c>
      <c r="AK93" s="45">
        <v>-76.014897681532062</v>
      </c>
      <c r="AL93" s="45">
        <v>-31.40088446752727</v>
      </c>
      <c r="AM93" s="45">
        <v>825.74382276504309</v>
      </c>
      <c r="AN93" s="45">
        <v>142.08893225722269</v>
      </c>
      <c r="AO93" s="45">
        <v>0</v>
      </c>
      <c r="AP93" s="45">
        <v>0</v>
      </c>
      <c r="AQ93" s="45">
        <v>967.83275502226581</v>
      </c>
      <c r="AR93" s="45">
        <v>13.453968517595969</v>
      </c>
      <c r="AS93" s="199">
        <v>71.936600249693726</v>
      </c>
      <c r="AT93" s="45">
        <v>825.74382276504309</v>
      </c>
      <c r="AU93" s="45">
        <v>168.19097461364754</v>
      </c>
      <c r="AV93" s="45">
        <v>0</v>
      </c>
      <c r="AW93" s="45">
        <v>0</v>
      </c>
      <c r="AX93" s="45">
        <v>993.93479737869063</v>
      </c>
      <c r="AY93" s="45">
        <v>31.160044696408828</v>
      </c>
      <c r="AZ93" s="199">
        <v>31.897733365358132</v>
      </c>
      <c r="BA93" s="45">
        <v>825.74382276504309</v>
      </c>
      <c r="BB93" s="45">
        <v>310.27990687087026</v>
      </c>
      <c r="BC93" s="45">
        <v>0</v>
      </c>
      <c r="BD93" s="45">
        <v>0</v>
      </c>
      <c r="BE93" s="45">
        <v>1136.0237296359132</v>
      </c>
      <c r="BF93" s="45">
        <v>44.614013214004792</v>
      </c>
      <c r="BG93" s="45">
        <v>-11.346899249253015</v>
      </c>
      <c r="BH93" s="199">
        <v>25.463383537962102</v>
      </c>
      <c r="BI93" s="45">
        <v>0.57463464041402512</v>
      </c>
      <c r="BJ93" s="45">
        <v>1.3308817436273681</v>
      </c>
      <c r="BK93" s="45">
        <v>0</v>
      </c>
      <c r="BL93" s="45">
        <v>-3.2466846743551931</v>
      </c>
      <c r="BM93" s="45">
        <v>-1.3411682903138002</v>
      </c>
      <c r="BN93" s="45">
        <v>825.74382276504309</v>
      </c>
      <c r="BO93" s="45">
        <v>0</v>
      </c>
      <c r="BP93" s="45">
        <v>310.27990687087026</v>
      </c>
      <c r="BQ93" s="45">
        <v>0</v>
      </c>
      <c r="BR93" s="45">
        <v>0</v>
      </c>
      <c r="BS93" s="45">
        <v>0</v>
      </c>
      <c r="BT93" s="45">
        <v>0</v>
      </c>
      <c r="BU93" s="45">
        <v>0</v>
      </c>
      <c r="BV93" s="45">
        <v>0</v>
      </c>
      <c r="BW93" s="45">
        <v>0</v>
      </c>
      <c r="BX93" s="45">
        <v>64.677086788759865</v>
      </c>
      <c r="BY93" s="45">
        <v>10.372610412415066</v>
      </c>
      <c r="BZ93" s="45">
        <v>0</v>
      </c>
      <c r="CA93" s="45">
        <v>-106.4505816687022</v>
      </c>
      <c r="CB93" s="45">
        <v>1136.0237296359132</v>
      </c>
      <c r="CC93" s="45">
        <v>-31.40088446752727</v>
      </c>
      <c r="CD93" s="199">
        <v>16.555354087226934</v>
      </c>
      <c r="CE93" s="45">
        <v>-14.593583923608213</v>
      </c>
      <c r="CF93" s="45">
        <v>16.366411808916986</v>
      </c>
      <c r="CG93" s="45">
        <v>0</v>
      </c>
      <c r="CH93" s="45">
        <v>16.366411808916986</v>
      </c>
      <c r="CI93" s="45">
        <v>0.81831842237514751</v>
      </c>
      <c r="CJ93" s="45">
        <v>0</v>
      </c>
      <c r="CK93" s="45">
        <v>0.81831842237514751</v>
      </c>
      <c r="CL93" s="45"/>
      <c r="CM93" s="45">
        <v>0</v>
      </c>
      <c r="CN93" s="45"/>
      <c r="CO93" s="45">
        <v>0</v>
      </c>
      <c r="CP93" s="45">
        <v>0</v>
      </c>
      <c r="CQ93" s="45">
        <v>0</v>
      </c>
      <c r="CR93" s="45">
        <v>0</v>
      </c>
      <c r="CS93" s="45">
        <v>0</v>
      </c>
      <c r="CT93" s="45">
        <v>0</v>
      </c>
      <c r="CU93" s="45">
        <v>0</v>
      </c>
      <c r="CV93" s="45">
        <v>9999</v>
      </c>
      <c r="CW93" s="199">
        <v>9999</v>
      </c>
      <c r="CX93" s="24"/>
      <c r="CY93" s="24"/>
      <c r="CZ93" s="24"/>
      <c r="DA93" s="24"/>
      <c r="DB93" s="24"/>
      <c r="DC93" s="24"/>
      <c r="DD93" s="24"/>
      <c r="DE93" s="24"/>
      <c r="DF93" s="24"/>
      <c r="DG93" s="24"/>
      <c r="DH93" s="24"/>
      <c r="DI93" s="24"/>
      <c r="DJ93" s="24"/>
      <c r="DK93" s="24"/>
      <c r="DL93" s="24"/>
      <c r="DM93" s="24"/>
      <c r="DN93" s="24"/>
      <c r="DO93" s="24"/>
      <c r="DP93" s="24"/>
      <c r="DQ93" s="24"/>
      <c r="DR93" s="24"/>
      <c r="DS93" s="24"/>
      <c r="DT93" s="24"/>
      <c r="DU93" s="24"/>
      <c r="DV93" s="24"/>
      <c r="DW93" s="24"/>
      <c r="DX93" s="24"/>
      <c r="DY93" s="24"/>
      <c r="DZ93" s="24"/>
      <c r="EA93" s="24"/>
    </row>
    <row r="94" spans="1:131">
      <c r="A94" s="24" t="s">
        <v>422</v>
      </c>
      <c r="B94" s="24"/>
      <c r="C94" s="45">
        <v>6.6762790697674417</v>
      </c>
      <c r="D94" s="45">
        <v>278.92666666666668</v>
      </c>
      <c r="E94" s="45">
        <v>0</v>
      </c>
      <c r="F94" s="45">
        <v>30.451059986919489</v>
      </c>
      <c r="G94" s="45">
        <v>0</v>
      </c>
      <c r="H94" s="45">
        <v>-479.41816791091384</v>
      </c>
      <c r="I94" s="45"/>
      <c r="J94" s="45"/>
      <c r="K94" s="45"/>
      <c r="L94" s="45">
        <v>299.03666118432898</v>
      </c>
      <c r="M94" s="45">
        <v>6.9799567806392765E-2</v>
      </c>
      <c r="N94" s="45">
        <v>6.9295785827134165E-2</v>
      </c>
      <c r="O94" s="45">
        <v>0</v>
      </c>
      <c r="P94" s="45">
        <v>0</v>
      </c>
      <c r="Q94" s="45">
        <v>0</v>
      </c>
      <c r="R94" s="45">
        <v>6.0723481419427285</v>
      </c>
      <c r="S94" s="45">
        <v>14.032272957090957</v>
      </c>
      <c r="T94" s="45">
        <v>0</v>
      </c>
      <c r="U94" s="45">
        <v>60.867325909236541</v>
      </c>
      <c r="V94" s="45">
        <v>1.8270635992151694</v>
      </c>
      <c r="W94" s="45">
        <v>4.2631483981687284</v>
      </c>
      <c r="X94" s="45">
        <v>0</v>
      </c>
      <c r="Y94" s="45">
        <v>0</v>
      </c>
      <c r="Z94" s="45">
        <v>0</v>
      </c>
      <c r="AA94" s="45">
        <v>0</v>
      </c>
      <c r="AB94" s="45">
        <v>0</v>
      </c>
      <c r="AC94" s="45">
        <v>0</v>
      </c>
      <c r="AD94" s="45">
        <v>0</v>
      </c>
      <c r="AE94" s="45">
        <v>0</v>
      </c>
      <c r="AF94" s="45">
        <v>0</v>
      </c>
      <c r="AG94" s="45">
        <v>-479.41816791091384</v>
      </c>
      <c r="AH94" s="45">
        <v>7.8994117411578983</v>
      </c>
      <c r="AI94" s="45">
        <v>18.295421355259684</v>
      </c>
      <c r="AJ94" s="45">
        <v>0</v>
      </c>
      <c r="AK94" s="45">
        <v>-418.55084200167732</v>
      </c>
      <c r="AL94" s="45">
        <v>-392.35600890525973</v>
      </c>
      <c r="AM94" s="45">
        <v>143.33130328699843</v>
      </c>
      <c r="AN94" s="45">
        <v>24.66357153589102</v>
      </c>
      <c r="AO94" s="45">
        <v>0</v>
      </c>
      <c r="AP94" s="45">
        <v>0</v>
      </c>
      <c r="AQ94" s="45">
        <v>167.99487482288944</v>
      </c>
      <c r="AR94" s="45">
        <v>7.8994117411578983</v>
      </c>
      <c r="AS94" s="199">
        <v>21.266757617860883</v>
      </c>
      <c r="AT94" s="45">
        <v>143.33130328699843</v>
      </c>
      <c r="AU94" s="45">
        <v>29.194322655373931</v>
      </c>
      <c r="AV94" s="45">
        <v>0</v>
      </c>
      <c r="AW94" s="45">
        <v>0</v>
      </c>
      <c r="AX94" s="45">
        <v>172.52562594237236</v>
      </c>
      <c r="AY94" s="45">
        <v>18.295421355259684</v>
      </c>
      <c r="AZ94" s="199">
        <v>9.4299892083531383</v>
      </c>
      <c r="BA94" s="45">
        <v>143.33130328699843</v>
      </c>
      <c r="BB94" s="45">
        <v>53.857894191264947</v>
      </c>
      <c r="BC94" s="45">
        <v>0</v>
      </c>
      <c r="BD94" s="45">
        <v>0</v>
      </c>
      <c r="BE94" s="45">
        <v>197.18919747826337</v>
      </c>
      <c r="BF94" s="45">
        <v>26.194833096417582</v>
      </c>
      <c r="BG94" s="45">
        <v>-6.8068458454061123</v>
      </c>
      <c r="BH94" s="199">
        <v>7.5277898031436994</v>
      </c>
      <c r="BI94" s="45">
        <v>1.9437501080264881</v>
      </c>
      <c r="BJ94" s="45">
        <v>4.5018196798618169</v>
      </c>
      <c r="BK94" s="45">
        <v>0</v>
      </c>
      <c r="BL94" s="45">
        <v>-102.98972518630687</v>
      </c>
      <c r="BM94" s="45">
        <v>-96.544155398418553</v>
      </c>
      <c r="BN94" s="45">
        <v>143.33130328699843</v>
      </c>
      <c r="BO94" s="45">
        <v>0</v>
      </c>
      <c r="BP94" s="45">
        <v>53.857894191264947</v>
      </c>
      <c r="BQ94" s="45">
        <v>0</v>
      </c>
      <c r="BR94" s="45">
        <v>0</v>
      </c>
      <c r="BS94" s="45">
        <v>0</v>
      </c>
      <c r="BT94" s="45">
        <v>0</v>
      </c>
      <c r="BU94" s="45">
        <v>0</v>
      </c>
      <c r="BV94" s="45">
        <v>0</v>
      </c>
      <c r="BW94" s="45">
        <v>0</v>
      </c>
      <c r="BX94" s="45">
        <v>80.971947008270234</v>
      </c>
      <c r="BY94" s="45">
        <v>6.0902119973838982</v>
      </c>
      <c r="BZ94" s="45">
        <v>0</v>
      </c>
      <c r="CA94" s="45">
        <v>-479.41816791091384</v>
      </c>
      <c r="CB94" s="45">
        <v>197.18919747826337</v>
      </c>
      <c r="CC94" s="45">
        <v>-392.35600890525973</v>
      </c>
      <c r="CD94" s="199">
        <v>7.7715436088052439</v>
      </c>
      <c r="CE94" s="45">
        <v>-109.79657103171299</v>
      </c>
      <c r="CF94" s="45">
        <v>2.8408558078566108</v>
      </c>
      <c r="CG94" s="45">
        <v>0</v>
      </c>
      <c r="CH94" s="45">
        <v>2.8408558078566108</v>
      </c>
      <c r="CI94" s="45">
        <v>0.14204241406255627</v>
      </c>
      <c r="CJ94" s="45">
        <v>0</v>
      </c>
      <c r="CK94" s="45">
        <v>0.14204241406255627</v>
      </c>
      <c r="CL94" s="45"/>
      <c r="CM94" s="45">
        <v>0</v>
      </c>
      <c r="CN94" s="45"/>
      <c r="CO94" s="45">
        <v>0</v>
      </c>
      <c r="CP94" s="45">
        <v>0</v>
      </c>
      <c r="CQ94" s="45">
        <v>0</v>
      </c>
      <c r="CR94" s="45">
        <v>0</v>
      </c>
      <c r="CS94" s="45">
        <v>0</v>
      </c>
      <c r="CT94" s="45">
        <v>0</v>
      </c>
      <c r="CU94" s="45">
        <v>0</v>
      </c>
      <c r="CV94" s="45">
        <v>9999</v>
      </c>
      <c r="CW94" s="199">
        <v>9999</v>
      </c>
      <c r="CX94" s="24"/>
      <c r="CY94" s="24"/>
      <c r="CZ94" s="24"/>
      <c r="DA94" s="24"/>
      <c r="DB94" s="24"/>
      <c r="DC94" s="24"/>
      <c r="DD94" s="24"/>
      <c r="DE94" s="24"/>
      <c r="DF94" s="24"/>
      <c r="DG94" s="24"/>
      <c r="DH94" s="24"/>
      <c r="DI94" s="24"/>
      <c r="DJ94" s="24"/>
      <c r="DK94" s="24"/>
      <c r="DL94" s="24"/>
      <c r="DM94" s="24"/>
      <c r="DN94" s="24"/>
      <c r="DO94" s="24"/>
      <c r="DP94" s="24"/>
      <c r="DQ94" s="24"/>
      <c r="DR94" s="24"/>
      <c r="DS94" s="24"/>
      <c r="DT94" s="24"/>
      <c r="DU94" s="24"/>
      <c r="DV94" s="24"/>
      <c r="DW94" s="24"/>
      <c r="DX94" s="24"/>
      <c r="DY94" s="24"/>
      <c r="DZ94" s="24"/>
      <c r="EA94" s="24"/>
    </row>
    <row r="95" spans="1:131">
      <c r="A95" s="24" t="s">
        <v>420</v>
      </c>
      <c r="B95" s="24"/>
      <c r="C95" s="45">
        <v>6.6762790697674417</v>
      </c>
      <c r="D95" s="45">
        <v>68.226666666666659</v>
      </c>
      <c r="E95" s="45">
        <v>0</v>
      </c>
      <c r="F95" s="45">
        <v>4.0008899869194874</v>
      </c>
      <c r="G95" s="45">
        <v>0</v>
      </c>
      <c r="H95" s="45">
        <v>-38.781804660785241</v>
      </c>
      <c r="I95" s="45"/>
      <c r="J95" s="45"/>
      <c r="K95" s="45"/>
      <c r="L95" s="45">
        <v>73.145658131418585</v>
      </c>
      <c r="M95" s="45">
        <v>1.7073275578542112E-2</v>
      </c>
      <c r="N95" s="45">
        <v>1.6950048331816986E-2</v>
      </c>
      <c r="O95" s="45">
        <v>0</v>
      </c>
      <c r="P95" s="45">
        <v>0</v>
      </c>
      <c r="Q95" s="45">
        <v>0</v>
      </c>
      <c r="R95" s="45">
        <v>0.79783090928932687</v>
      </c>
      <c r="S95" s="45">
        <v>1.843665881971347</v>
      </c>
      <c r="T95" s="45">
        <v>0</v>
      </c>
      <c r="U95" s="45">
        <v>7.9972084671416068</v>
      </c>
      <c r="V95" s="45">
        <v>0.24005339921516924</v>
      </c>
      <c r="W95" s="45">
        <v>0.56012459816872828</v>
      </c>
      <c r="X95" s="45">
        <v>0</v>
      </c>
      <c r="Y95" s="45">
        <v>0</v>
      </c>
      <c r="Z95" s="45">
        <v>0</v>
      </c>
      <c r="AA95" s="45">
        <v>0</v>
      </c>
      <c r="AB95" s="45">
        <v>0</v>
      </c>
      <c r="AC95" s="45">
        <v>0</v>
      </c>
      <c r="AD95" s="45">
        <v>0</v>
      </c>
      <c r="AE95" s="45">
        <v>0</v>
      </c>
      <c r="AF95" s="45">
        <v>0</v>
      </c>
      <c r="AG95" s="45">
        <v>-38.781804660785241</v>
      </c>
      <c r="AH95" s="45">
        <v>1.0378843085044962</v>
      </c>
      <c r="AI95" s="45">
        <v>2.4037904801400751</v>
      </c>
      <c r="AJ95" s="45">
        <v>0</v>
      </c>
      <c r="AK95" s="45">
        <v>-30.784596193643633</v>
      </c>
      <c r="AL95" s="45">
        <v>-27.342921404999064</v>
      </c>
      <c r="AM95" s="45">
        <v>35.059455480272995</v>
      </c>
      <c r="AN95" s="45">
        <v>6.0328160591388107</v>
      </c>
      <c r="AO95" s="45">
        <v>0</v>
      </c>
      <c r="AP95" s="45">
        <v>0</v>
      </c>
      <c r="AQ95" s="45">
        <v>41.092271539411804</v>
      </c>
      <c r="AR95" s="45">
        <v>1.0378843085044962</v>
      </c>
      <c r="AS95" s="199">
        <v>39.592343002682355</v>
      </c>
      <c r="AT95" s="45">
        <v>35.059455480272995</v>
      </c>
      <c r="AU95" s="45">
        <v>7.141057340163405</v>
      </c>
      <c r="AV95" s="45">
        <v>0</v>
      </c>
      <c r="AW95" s="45">
        <v>0</v>
      </c>
      <c r="AX95" s="45">
        <v>42.200512820436401</v>
      </c>
      <c r="AY95" s="45">
        <v>2.4037904801400751</v>
      </c>
      <c r="AZ95" s="199">
        <v>17.555819930685999</v>
      </c>
      <c r="BA95" s="45">
        <v>35.059455480272995</v>
      </c>
      <c r="BB95" s="45">
        <v>13.173873399302217</v>
      </c>
      <c r="BC95" s="45">
        <v>0</v>
      </c>
      <c r="BD95" s="45">
        <v>0</v>
      </c>
      <c r="BE95" s="45">
        <v>48.233328879575211</v>
      </c>
      <c r="BF95" s="45">
        <v>3.4416747886445713</v>
      </c>
      <c r="BG95" s="45">
        <v>-9.7902216838547336</v>
      </c>
      <c r="BH95" s="199">
        <v>14.014493478208863</v>
      </c>
      <c r="BI95" s="45">
        <v>1.0440721433002755</v>
      </c>
      <c r="BJ95" s="45">
        <v>2.4181218061394114</v>
      </c>
      <c r="BK95" s="45">
        <v>0</v>
      </c>
      <c r="BL95" s="45">
        <v>-30.968133023269203</v>
      </c>
      <c r="BM95" s="45">
        <v>-27.505939073829516</v>
      </c>
      <c r="BN95" s="45">
        <v>35.059455480272995</v>
      </c>
      <c r="BO95" s="45">
        <v>0</v>
      </c>
      <c r="BP95" s="45">
        <v>13.173873399302217</v>
      </c>
      <c r="BQ95" s="45">
        <v>0</v>
      </c>
      <c r="BR95" s="45">
        <v>0</v>
      </c>
      <c r="BS95" s="45">
        <v>0</v>
      </c>
      <c r="BT95" s="45">
        <v>0</v>
      </c>
      <c r="BU95" s="45">
        <v>0</v>
      </c>
      <c r="BV95" s="45">
        <v>0</v>
      </c>
      <c r="BW95" s="45">
        <v>0</v>
      </c>
      <c r="BX95" s="45">
        <v>10.638705258402281</v>
      </c>
      <c r="BY95" s="45">
        <v>0.8001779973838975</v>
      </c>
      <c r="BZ95" s="45">
        <v>0</v>
      </c>
      <c r="CA95" s="45">
        <v>-38.781804660785241</v>
      </c>
      <c r="CB95" s="45">
        <v>48.233328879575211</v>
      </c>
      <c r="CC95" s="45">
        <v>-27.342921404999061</v>
      </c>
      <c r="CD95" s="199">
        <v>7.6069605392943584</v>
      </c>
      <c r="CE95" s="45">
        <v>-40.758354707123935</v>
      </c>
      <c r="CF95" s="45">
        <v>0.69488559328866673</v>
      </c>
      <c r="CG95" s="45">
        <v>0</v>
      </c>
      <c r="CH95" s="45">
        <v>0.69488559328866673</v>
      </c>
      <c r="CI95" s="45">
        <v>3.4744187612423837E-2</v>
      </c>
      <c r="CJ95" s="45">
        <v>0</v>
      </c>
      <c r="CK95" s="45">
        <v>3.4744187612423837E-2</v>
      </c>
      <c r="CL95" s="45"/>
      <c r="CM95" s="45">
        <v>0</v>
      </c>
      <c r="CN95" s="45"/>
      <c r="CO95" s="45">
        <v>0</v>
      </c>
      <c r="CP95" s="45">
        <v>0</v>
      </c>
      <c r="CQ95" s="45">
        <v>0</v>
      </c>
      <c r="CR95" s="45">
        <v>0</v>
      </c>
      <c r="CS95" s="45">
        <v>0</v>
      </c>
      <c r="CT95" s="45">
        <v>0</v>
      </c>
      <c r="CU95" s="45">
        <v>0</v>
      </c>
      <c r="CV95" s="45">
        <v>9999</v>
      </c>
      <c r="CW95" s="199">
        <v>9999</v>
      </c>
      <c r="CX95" s="24"/>
      <c r="CY95" s="24"/>
      <c r="CZ95" s="24"/>
      <c r="DA95" s="24"/>
      <c r="DB95" s="24"/>
      <c r="DC95" s="24"/>
      <c r="DD95" s="24"/>
      <c r="DE95" s="24"/>
      <c r="DF95" s="24"/>
      <c r="DG95" s="24"/>
      <c r="DH95" s="24"/>
      <c r="DI95" s="24"/>
      <c r="DJ95" s="24"/>
      <c r="DK95" s="24"/>
      <c r="DL95" s="24"/>
      <c r="DM95" s="24"/>
      <c r="DN95" s="24"/>
      <c r="DO95" s="24"/>
      <c r="DP95" s="24"/>
      <c r="DQ95" s="24"/>
      <c r="DR95" s="24"/>
      <c r="DS95" s="24"/>
      <c r="DT95" s="24"/>
      <c r="DU95" s="24"/>
      <c r="DV95" s="24"/>
      <c r="DW95" s="24"/>
      <c r="DX95" s="24"/>
      <c r="DY95" s="24"/>
      <c r="DZ95" s="24"/>
      <c r="EA95" s="24"/>
    </row>
    <row r="96" spans="1:131">
      <c r="A96" s="24" t="s">
        <v>421</v>
      </c>
      <c r="B96" s="24"/>
      <c r="C96" s="45">
        <v>6.6762790697674417</v>
      </c>
      <c r="D96" s="45">
        <v>68.226666666666659</v>
      </c>
      <c r="E96" s="45">
        <v>0</v>
      </c>
      <c r="F96" s="45">
        <v>4.0008899869194874</v>
      </c>
      <c r="G96" s="45">
        <v>0</v>
      </c>
      <c r="H96" s="45">
        <v>-38.781804660785241</v>
      </c>
      <c r="I96" s="45"/>
      <c r="J96" s="45"/>
      <c r="K96" s="45"/>
      <c r="L96" s="45">
        <v>73.145658131418585</v>
      </c>
      <c r="M96" s="45">
        <v>1.7073275578542112E-2</v>
      </c>
      <c r="N96" s="45">
        <v>1.6950048331816986E-2</v>
      </c>
      <c r="O96" s="45">
        <v>0</v>
      </c>
      <c r="P96" s="45">
        <v>0</v>
      </c>
      <c r="Q96" s="45">
        <v>0</v>
      </c>
      <c r="R96" s="45">
        <v>0.79783090928932687</v>
      </c>
      <c r="S96" s="45">
        <v>1.843665881971347</v>
      </c>
      <c r="T96" s="45">
        <v>0</v>
      </c>
      <c r="U96" s="45">
        <v>7.9972084671416068</v>
      </c>
      <c r="V96" s="45">
        <v>0.24005339921516924</v>
      </c>
      <c r="W96" s="45">
        <v>0.56012459816872828</v>
      </c>
      <c r="X96" s="45">
        <v>0</v>
      </c>
      <c r="Y96" s="45">
        <v>0</v>
      </c>
      <c r="Z96" s="45">
        <v>0</v>
      </c>
      <c r="AA96" s="45">
        <v>0</v>
      </c>
      <c r="AB96" s="45">
        <v>0</v>
      </c>
      <c r="AC96" s="45">
        <v>0</v>
      </c>
      <c r="AD96" s="45">
        <v>0</v>
      </c>
      <c r="AE96" s="45">
        <v>0</v>
      </c>
      <c r="AF96" s="45">
        <v>0</v>
      </c>
      <c r="AG96" s="45">
        <v>-38.781804660785241</v>
      </c>
      <c r="AH96" s="45">
        <v>1.0378843085044962</v>
      </c>
      <c r="AI96" s="45">
        <v>2.4037904801400751</v>
      </c>
      <c r="AJ96" s="45">
        <v>0</v>
      </c>
      <c r="AK96" s="45">
        <v>-30.784596193643633</v>
      </c>
      <c r="AL96" s="45">
        <v>-27.342921404999064</v>
      </c>
      <c r="AM96" s="45">
        <v>35.059455480272995</v>
      </c>
      <c r="AN96" s="45">
        <v>6.0328160591388107</v>
      </c>
      <c r="AO96" s="45">
        <v>0</v>
      </c>
      <c r="AP96" s="45">
        <v>0</v>
      </c>
      <c r="AQ96" s="45">
        <v>41.092271539411804</v>
      </c>
      <c r="AR96" s="45">
        <v>1.0378843085044962</v>
      </c>
      <c r="AS96" s="199">
        <v>39.592343002682355</v>
      </c>
      <c r="AT96" s="45">
        <v>35.059455480272995</v>
      </c>
      <c r="AU96" s="45">
        <v>7.141057340163405</v>
      </c>
      <c r="AV96" s="45">
        <v>0</v>
      </c>
      <c r="AW96" s="45">
        <v>0</v>
      </c>
      <c r="AX96" s="45">
        <v>42.200512820436401</v>
      </c>
      <c r="AY96" s="45">
        <v>2.4037904801400751</v>
      </c>
      <c r="AZ96" s="199">
        <v>17.555819930685999</v>
      </c>
      <c r="BA96" s="45">
        <v>35.059455480272995</v>
      </c>
      <c r="BB96" s="45">
        <v>13.173873399302217</v>
      </c>
      <c r="BC96" s="45">
        <v>0</v>
      </c>
      <c r="BD96" s="45">
        <v>0</v>
      </c>
      <c r="BE96" s="45">
        <v>48.233328879575211</v>
      </c>
      <c r="BF96" s="45">
        <v>3.4416747886445713</v>
      </c>
      <c r="BG96" s="45">
        <v>-9.7902216838547336</v>
      </c>
      <c r="BH96" s="199">
        <v>14.014493478208863</v>
      </c>
      <c r="BI96" s="45">
        <v>1.0440721433002755</v>
      </c>
      <c r="BJ96" s="45">
        <v>2.4181218061394114</v>
      </c>
      <c r="BK96" s="45">
        <v>0</v>
      </c>
      <c r="BL96" s="45">
        <v>-30.968133023269203</v>
      </c>
      <c r="BM96" s="45">
        <v>-27.505939073829516</v>
      </c>
      <c r="BN96" s="45">
        <v>35.059455480272995</v>
      </c>
      <c r="BO96" s="45">
        <v>0</v>
      </c>
      <c r="BP96" s="45">
        <v>13.173873399302217</v>
      </c>
      <c r="BQ96" s="45">
        <v>0</v>
      </c>
      <c r="BR96" s="45">
        <v>0</v>
      </c>
      <c r="BS96" s="45">
        <v>0</v>
      </c>
      <c r="BT96" s="45">
        <v>0</v>
      </c>
      <c r="BU96" s="45">
        <v>0</v>
      </c>
      <c r="BV96" s="45">
        <v>0</v>
      </c>
      <c r="BW96" s="45">
        <v>0</v>
      </c>
      <c r="BX96" s="45">
        <v>10.638705258402281</v>
      </c>
      <c r="BY96" s="45">
        <v>0.8001779973838975</v>
      </c>
      <c r="BZ96" s="45">
        <v>0</v>
      </c>
      <c r="CA96" s="45">
        <v>-38.781804660785241</v>
      </c>
      <c r="CB96" s="45">
        <v>48.233328879575211</v>
      </c>
      <c r="CC96" s="45">
        <v>-27.342921404999061</v>
      </c>
      <c r="CD96" s="199">
        <v>7.6069605392943584</v>
      </c>
      <c r="CE96" s="45">
        <v>-40.758354707123935</v>
      </c>
      <c r="CF96" s="45">
        <v>0.69488559328866673</v>
      </c>
      <c r="CG96" s="45">
        <v>0</v>
      </c>
      <c r="CH96" s="45">
        <v>0.69488559328866673</v>
      </c>
      <c r="CI96" s="45">
        <v>3.4744187612423837E-2</v>
      </c>
      <c r="CJ96" s="45">
        <v>0</v>
      </c>
      <c r="CK96" s="45">
        <v>3.4744187612423837E-2</v>
      </c>
      <c r="CL96" s="45"/>
      <c r="CM96" s="45">
        <v>0</v>
      </c>
      <c r="CN96" s="45"/>
      <c r="CO96" s="45">
        <v>0</v>
      </c>
      <c r="CP96" s="45">
        <v>0</v>
      </c>
      <c r="CQ96" s="45">
        <v>0</v>
      </c>
      <c r="CR96" s="45">
        <v>0</v>
      </c>
      <c r="CS96" s="45">
        <v>0</v>
      </c>
      <c r="CT96" s="45">
        <v>0</v>
      </c>
      <c r="CU96" s="45">
        <v>0</v>
      </c>
      <c r="CV96" s="45">
        <v>9999</v>
      </c>
      <c r="CW96" s="199">
        <v>9999</v>
      </c>
      <c r="CX96" s="24"/>
      <c r="CY96" s="24"/>
      <c r="CZ96" s="24"/>
      <c r="DA96" s="24"/>
      <c r="DB96" s="24"/>
      <c r="DC96" s="24"/>
      <c r="DD96" s="24"/>
      <c r="DE96" s="24"/>
      <c r="DF96" s="24"/>
      <c r="DG96" s="24"/>
      <c r="DH96" s="24"/>
      <c r="DI96" s="24"/>
      <c r="DJ96" s="24"/>
      <c r="DK96" s="24"/>
      <c r="DL96" s="24"/>
      <c r="DM96" s="24"/>
      <c r="DN96" s="24"/>
      <c r="DO96" s="24"/>
      <c r="DP96" s="24"/>
      <c r="DQ96" s="24"/>
      <c r="DR96" s="24"/>
      <c r="DS96" s="24"/>
      <c r="DT96" s="24"/>
      <c r="DU96" s="24"/>
      <c r="DV96" s="24"/>
      <c r="DW96" s="24"/>
      <c r="DX96" s="24"/>
      <c r="DY96" s="24"/>
      <c r="DZ96" s="24"/>
      <c r="EA96" s="24"/>
    </row>
    <row r="97" spans="1:131">
      <c r="A97" s="24" t="s">
        <v>423</v>
      </c>
      <c r="B97" s="24"/>
      <c r="C97" s="45">
        <v>11.627906976744185</v>
      </c>
      <c r="D97" s="45">
        <v>1298.0734693877553</v>
      </c>
      <c r="E97" s="45">
        <v>0</v>
      </c>
      <c r="F97" s="45">
        <v>134.02315442591345</v>
      </c>
      <c r="G97" s="45">
        <v>0</v>
      </c>
      <c r="H97" s="45">
        <v>-59.569394411177889</v>
      </c>
      <c r="I97" s="45"/>
      <c r="J97" s="45"/>
      <c r="K97" s="45"/>
      <c r="L97" s="45">
        <v>1391.6616897786967</v>
      </c>
      <c r="M97" s="45">
        <v>0.32483436677816196</v>
      </c>
      <c r="N97" s="45">
        <v>0.32248985798864294</v>
      </c>
      <c r="O97" s="45">
        <v>0</v>
      </c>
      <c r="P97" s="45">
        <v>0</v>
      </c>
      <c r="Q97" s="45">
        <v>0</v>
      </c>
      <c r="R97" s="45">
        <v>26.726007341126671</v>
      </c>
      <c r="S97" s="45">
        <v>61.759737962574029</v>
      </c>
      <c r="T97" s="45">
        <v>0</v>
      </c>
      <c r="U97" s="45">
        <v>130.73887605793738</v>
      </c>
      <c r="V97" s="45">
        <v>8.0413892655548072</v>
      </c>
      <c r="W97" s="45">
        <v>18.763241619627884</v>
      </c>
      <c r="X97" s="45">
        <v>0</v>
      </c>
      <c r="Y97" s="45">
        <v>0</v>
      </c>
      <c r="Z97" s="45">
        <v>0</v>
      </c>
      <c r="AA97" s="45">
        <v>0</v>
      </c>
      <c r="AB97" s="45">
        <v>0</v>
      </c>
      <c r="AC97" s="45">
        <v>0</v>
      </c>
      <c r="AD97" s="45">
        <v>0</v>
      </c>
      <c r="AE97" s="45">
        <v>0</v>
      </c>
      <c r="AF97" s="45">
        <v>0</v>
      </c>
      <c r="AG97" s="45">
        <v>-59.569394411177889</v>
      </c>
      <c r="AH97" s="45">
        <v>34.76739660668148</v>
      </c>
      <c r="AI97" s="45">
        <v>80.522979582201913</v>
      </c>
      <c r="AJ97" s="45">
        <v>0</v>
      </c>
      <c r="AK97" s="45">
        <v>71.169481646759493</v>
      </c>
      <c r="AL97" s="45">
        <v>186.45985783564288</v>
      </c>
      <c r="AM97" s="45">
        <v>667.03755633364551</v>
      </c>
      <c r="AN97" s="45">
        <v>114.77973136697989</v>
      </c>
      <c r="AO97" s="45">
        <v>0</v>
      </c>
      <c r="AP97" s="45">
        <v>0</v>
      </c>
      <c r="AQ97" s="45">
        <v>781.81728770062546</v>
      </c>
      <c r="AR97" s="45">
        <v>34.76739660668148</v>
      </c>
      <c r="AS97" s="199">
        <v>22.487081691655291</v>
      </c>
      <c r="AT97" s="45">
        <v>667.03755633364551</v>
      </c>
      <c r="AU97" s="45">
        <v>135.86501480324617</v>
      </c>
      <c r="AV97" s="45">
        <v>0</v>
      </c>
      <c r="AW97" s="45">
        <v>0</v>
      </c>
      <c r="AX97" s="45">
        <v>802.90257113689165</v>
      </c>
      <c r="AY97" s="45">
        <v>80.522979582201913</v>
      </c>
      <c r="AZ97" s="199">
        <v>9.9710986267870059</v>
      </c>
      <c r="BA97" s="45">
        <v>667.03755633364551</v>
      </c>
      <c r="BB97" s="45">
        <v>250.64474617022606</v>
      </c>
      <c r="BC97" s="45">
        <v>0</v>
      </c>
      <c r="BD97" s="45">
        <v>0</v>
      </c>
      <c r="BE97" s="45">
        <v>917.6823025038716</v>
      </c>
      <c r="BF97" s="45">
        <v>115.29037618888339</v>
      </c>
      <c r="BG97" s="45">
        <v>-7.1566326291843261</v>
      </c>
      <c r="BH97" s="199">
        <v>7.9597476635899556</v>
      </c>
      <c r="BI97" s="45">
        <v>1.838267098590656</v>
      </c>
      <c r="BJ97" s="45">
        <v>4.2575159055194378</v>
      </c>
      <c r="BK97" s="45">
        <v>0</v>
      </c>
      <c r="BL97" s="45">
        <v>3.7629655741853081</v>
      </c>
      <c r="BM97" s="45">
        <v>9.8587485782954012</v>
      </c>
      <c r="BN97" s="45">
        <v>667.03755633364551</v>
      </c>
      <c r="BO97" s="45">
        <v>0</v>
      </c>
      <c r="BP97" s="45">
        <v>250.64474617022606</v>
      </c>
      <c r="BQ97" s="45">
        <v>0</v>
      </c>
      <c r="BR97" s="45">
        <v>0</v>
      </c>
      <c r="BS97" s="45">
        <v>0</v>
      </c>
      <c r="BT97" s="45">
        <v>0</v>
      </c>
      <c r="BU97" s="45">
        <v>0</v>
      </c>
      <c r="BV97" s="45">
        <v>0</v>
      </c>
      <c r="BW97" s="45">
        <v>0</v>
      </c>
      <c r="BX97" s="45">
        <v>219.22462136163807</v>
      </c>
      <c r="BY97" s="45">
        <v>26.804630885182689</v>
      </c>
      <c r="BZ97" s="45">
        <v>0</v>
      </c>
      <c r="CA97" s="45">
        <v>-59.569394411177889</v>
      </c>
      <c r="CB97" s="45">
        <v>917.6823025038716</v>
      </c>
      <c r="CC97" s="45">
        <v>186.45985783564288</v>
      </c>
      <c r="CD97" s="199">
        <v>3.9720955455112055</v>
      </c>
      <c r="CE97" s="45">
        <v>-3.3936670549990158</v>
      </c>
      <c r="CF97" s="45">
        <v>13.220821080336949</v>
      </c>
      <c r="CG97" s="45">
        <v>0</v>
      </c>
      <c r="CH97" s="45">
        <v>13.220821080336949</v>
      </c>
      <c r="CI97" s="45">
        <v>0.66103930264488109</v>
      </c>
      <c r="CJ97" s="45">
        <v>0</v>
      </c>
      <c r="CK97" s="45">
        <v>0.66103930264488109</v>
      </c>
      <c r="CL97" s="45"/>
      <c r="CM97" s="45">
        <v>0</v>
      </c>
      <c r="CN97" s="45"/>
      <c r="CO97" s="45">
        <v>0</v>
      </c>
      <c r="CP97" s="45">
        <v>0</v>
      </c>
      <c r="CQ97" s="45">
        <v>0</v>
      </c>
      <c r="CR97" s="45">
        <v>0</v>
      </c>
      <c r="CS97" s="45">
        <v>0</v>
      </c>
      <c r="CT97" s="45">
        <v>0</v>
      </c>
      <c r="CU97" s="45">
        <v>0</v>
      </c>
      <c r="CV97" s="45">
        <v>9999</v>
      </c>
      <c r="CW97" s="199">
        <v>9999</v>
      </c>
      <c r="CX97" s="24"/>
      <c r="CY97" s="24"/>
      <c r="CZ97" s="24"/>
      <c r="DA97" s="24"/>
      <c r="DB97" s="24"/>
      <c r="DC97" s="24"/>
      <c r="DD97" s="24"/>
      <c r="DE97" s="24"/>
      <c r="DF97" s="24"/>
      <c r="DG97" s="24"/>
      <c r="DH97" s="24"/>
      <c r="DI97" s="24"/>
      <c r="DJ97" s="24"/>
      <c r="DK97" s="24"/>
      <c r="DL97" s="24"/>
      <c r="DM97" s="24"/>
      <c r="DN97" s="24"/>
      <c r="DO97" s="24"/>
      <c r="DP97" s="24"/>
      <c r="DQ97" s="24"/>
      <c r="DR97" s="24"/>
      <c r="DS97" s="24"/>
      <c r="DT97" s="24"/>
      <c r="DU97" s="24"/>
      <c r="DV97" s="24"/>
      <c r="DW97" s="24"/>
      <c r="DX97" s="24"/>
      <c r="DY97" s="24"/>
      <c r="DZ97" s="24"/>
      <c r="EA97" s="24"/>
    </row>
    <row r="98" spans="1:131">
      <c r="A98" s="24" t="s">
        <v>413</v>
      </c>
      <c r="B98" s="24"/>
      <c r="C98" s="45">
        <v>11.627906976744185</v>
      </c>
      <c r="D98" s="45">
        <v>743.50510204081638</v>
      </c>
      <c r="E98" s="45">
        <v>0</v>
      </c>
      <c r="F98" s="45">
        <v>83.017365819435099</v>
      </c>
      <c r="G98" s="45">
        <v>0</v>
      </c>
      <c r="H98" s="45">
        <v>-31.892806128994682</v>
      </c>
      <c r="I98" s="45"/>
      <c r="J98" s="45"/>
      <c r="K98" s="45"/>
      <c r="L98" s="45">
        <v>797.11017216400808</v>
      </c>
      <c r="M98" s="45">
        <v>0.18605727234504985</v>
      </c>
      <c r="N98" s="45">
        <v>0.18471439438945222</v>
      </c>
      <c r="O98" s="45">
        <v>0</v>
      </c>
      <c r="P98" s="45">
        <v>0</v>
      </c>
      <c r="Q98" s="45">
        <v>0</v>
      </c>
      <c r="R98" s="45">
        <v>16.554771732056992</v>
      </c>
      <c r="S98" s="45">
        <v>38.255559506217139</v>
      </c>
      <c r="T98" s="45">
        <v>0</v>
      </c>
      <c r="U98" s="45">
        <v>80.982999892927637</v>
      </c>
      <c r="V98" s="45">
        <v>4.981041949166106</v>
      </c>
      <c r="W98" s="45">
        <v>11.622431214720914</v>
      </c>
      <c r="X98" s="45">
        <v>0</v>
      </c>
      <c r="Y98" s="45">
        <v>0</v>
      </c>
      <c r="Z98" s="45">
        <v>0</v>
      </c>
      <c r="AA98" s="45">
        <v>0</v>
      </c>
      <c r="AB98" s="45">
        <v>0</v>
      </c>
      <c r="AC98" s="45">
        <v>0</v>
      </c>
      <c r="AD98" s="45">
        <v>0</v>
      </c>
      <c r="AE98" s="45">
        <v>0</v>
      </c>
      <c r="AF98" s="45">
        <v>0</v>
      </c>
      <c r="AG98" s="45">
        <v>-31.892806128994682</v>
      </c>
      <c r="AH98" s="45">
        <v>21.535813681223097</v>
      </c>
      <c r="AI98" s="45">
        <v>49.877990720938051</v>
      </c>
      <c r="AJ98" s="45">
        <v>0</v>
      </c>
      <c r="AK98" s="45">
        <v>49.090193763932959</v>
      </c>
      <c r="AL98" s="45">
        <v>120.50399816609411</v>
      </c>
      <c r="AM98" s="45">
        <v>382.06298648166677</v>
      </c>
      <c r="AN98" s="45">
        <v>65.743055300617698</v>
      </c>
      <c r="AO98" s="45">
        <v>0</v>
      </c>
      <c r="AP98" s="45">
        <v>0</v>
      </c>
      <c r="AQ98" s="45">
        <v>447.80604178228447</v>
      </c>
      <c r="AR98" s="45">
        <v>21.535813681223097</v>
      </c>
      <c r="AS98" s="199">
        <v>20.793551077790156</v>
      </c>
      <c r="AT98" s="45">
        <v>382.06298648166677</v>
      </c>
      <c r="AU98" s="45">
        <v>77.820195911337436</v>
      </c>
      <c r="AV98" s="45">
        <v>0</v>
      </c>
      <c r="AW98" s="45">
        <v>0</v>
      </c>
      <c r="AX98" s="45">
        <v>459.88318239300418</v>
      </c>
      <c r="AY98" s="45">
        <v>49.877990720938051</v>
      </c>
      <c r="AZ98" s="199">
        <v>9.2201625555849009</v>
      </c>
      <c r="BA98" s="45">
        <v>382.06298648166677</v>
      </c>
      <c r="BB98" s="45">
        <v>143.56325121195513</v>
      </c>
      <c r="BC98" s="45">
        <v>0</v>
      </c>
      <c r="BD98" s="45">
        <v>0</v>
      </c>
      <c r="BE98" s="45">
        <v>525.62623769362187</v>
      </c>
      <c r="BF98" s="45">
        <v>71.413804402161148</v>
      </c>
      <c r="BG98" s="45">
        <v>-6.6601616274627427</v>
      </c>
      <c r="BH98" s="199">
        <v>7.3602889818556596</v>
      </c>
      <c r="BI98" s="45">
        <v>1.9879847488504783</v>
      </c>
      <c r="BJ98" s="45">
        <v>4.6042692569811958</v>
      </c>
      <c r="BK98" s="45">
        <v>0</v>
      </c>
      <c r="BL98" s="45">
        <v>4.5315472155065128</v>
      </c>
      <c r="BM98" s="45">
        <v>11.123801221338187</v>
      </c>
      <c r="BN98" s="45">
        <v>382.06298648166677</v>
      </c>
      <c r="BO98" s="45">
        <v>0</v>
      </c>
      <c r="BP98" s="45">
        <v>143.56325121195513</v>
      </c>
      <c r="BQ98" s="45">
        <v>0</v>
      </c>
      <c r="BR98" s="45">
        <v>0</v>
      </c>
      <c r="BS98" s="45">
        <v>0</v>
      </c>
      <c r="BT98" s="45">
        <v>0</v>
      </c>
      <c r="BU98" s="45">
        <v>0</v>
      </c>
      <c r="BV98" s="45">
        <v>0</v>
      </c>
      <c r="BW98" s="45">
        <v>0</v>
      </c>
      <c r="BX98" s="45">
        <v>135.79333113120177</v>
      </c>
      <c r="BY98" s="45">
        <v>16.603473163887021</v>
      </c>
      <c r="BZ98" s="45">
        <v>0</v>
      </c>
      <c r="CA98" s="45">
        <v>-31.892806128994682</v>
      </c>
      <c r="CB98" s="45">
        <v>525.62623769362187</v>
      </c>
      <c r="CC98" s="45">
        <v>120.50399816609411</v>
      </c>
      <c r="CD98" s="199">
        <v>3.6583381548019998</v>
      </c>
      <c r="CE98" s="45">
        <v>-2.1286144119562285</v>
      </c>
      <c r="CF98" s="45">
        <v>7.5725666984285294</v>
      </c>
      <c r="CG98" s="45">
        <v>0</v>
      </c>
      <c r="CH98" s="45">
        <v>7.5725666984285294</v>
      </c>
      <c r="CI98" s="45">
        <v>0.37862733177790386</v>
      </c>
      <c r="CJ98" s="45">
        <v>0</v>
      </c>
      <c r="CK98" s="45">
        <v>0.37862733177790386</v>
      </c>
      <c r="CL98" s="45"/>
      <c r="CM98" s="45">
        <v>0</v>
      </c>
      <c r="CN98" s="45"/>
      <c r="CO98" s="45">
        <v>0</v>
      </c>
      <c r="CP98" s="45">
        <v>0</v>
      </c>
      <c r="CQ98" s="45">
        <v>0</v>
      </c>
      <c r="CR98" s="45">
        <v>0</v>
      </c>
      <c r="CS98" s="45">
        <v>0</v>
      </c>
      <c r="CT98" s="45">
        <v>0</v>
      </c>
      <c r="CU98" s="45">
        <v>0</v>
      </c>
      <c r="CV98" s="45">
        <v>9999</v>
      </c>
      <c r="CW98" s="199">
        <v>9999</v>
      </c>
      <c r="CX98" s="24"/>
      <c r="CY98" s="24"/>
      <c r="CZ98" s="24"/>
      <c r="DA98" s="24"/>
      <c r="DB98" s="24"/>
      <c r="DC98" s="24"/>
      <c r="DD98" s="24"/>
      <c r="DE98" s="24"/>
      <c r="DF98" s="24"/>
      <c r="DG98" s="24"/>
      <c r="DH98" s="24"/>
      <c r="DI98" s="24"/>
      <c r="DJ98" s="24"/>
      <c r="DK98" s="24"/>
      <c r="DL98" s="24"/>
      <c r="DM98" s="24"/>
      <c r="DN98" s="24"/>
      <c r="DO98" s="24"/>
      <c r="DP98" s="24"/>
      <c r="DQ98" s="24"/>
      <c r="DR98" s="24"/>
      <c r="DS98" s="24"/>
      <c r="DT98" s="24"/>
      <c r="DU98" s="24"/>
      <c r="DV98" s="24"/>
      <c r="DW98" s="24"/>
      <c r="DX98" s="24"/>
      <c r="DY98" s="24"/>
      <c r="DZ98" s="24"/>
      <c r="EA98" s="24"/>
    </row>
    <row r="99" spans="1:131">
      <c r="A99" s="24" t="s">
        <v>425</v>
      </c>
      <c r="B99" s="24"/>
      <c r="C99" s="45">
        <v>16.279069767441861</v>
      </c>
      <c r="D99" s="45">
        <v>1606.9202380952379</v>
      </c>
      <c r="E99" s="45">
        <v>0</v>
      </c>
      <c r="F99" s="45">
        <v>332.28218672874203</v>
      </c>
      <c r="G99" s="45">
        <v>0</v>
      </c>
      <c r="H99" s="45">
        <v>-106.4505816687022</v>
      </c>
      <c r="I99" s="45"/>
      <c r="J99" s="45"/>
      <c r="K99" s="45"/>
      <c r="L99" s="45">
        <v>1722.7756260529418</v>
      </c>
      <c r="M99" s="45">
        <v>0.40212124376201641</v>
      </c>
      <c r="N99" s="45">
        <v>0.39921891295323159</v>
      </c>
      <c r="O99" s="45">
        <v>0</v>
      </c>
      <c r="P99" s="45">
        <v>0</v>
      </c>
      <c r="Q99" s="45">
        <v>0</v>
      </c>
      <c r="R99" s="45">
        <v>66.261506826024373</v>
      </c>
      <c r="S99" s="45">
        <v>153.120263956646</v>
      </c>
      <c r="T99" s="45">
        <v>0</v>
      </c>
      <c r="U99" s="45">
        <v>194.99885231854915</v>
      </c>
      <c r="V99" s="45">
        <v>19.936931203724523</v>
      </c>
      <c r="W99" s="45">
        <v>46.519506142023886</v>
      </c>
      <c r="X99" s="45">
        <v>0</v>
      </c>
      <c r="Y99" s="45">
        <v>0</v>
      </c>
      <c r="Z99" s="45">
        <v>0</v>
      </c>
      <c r="AA99" s="45">
        <v>0</v>
      </c>
      <c r="AB99" s="45">
        <v>0</v>
      </c>
      <c r="AC99" s="45">
        <v>0</v>
      </c>
      <c r="AD99" s="45">
        <v>0</v>
      </c>
      <c r="AE99" s="45">
        <v>0</v>
      </c>
      <c r="AF99" s="45">
        <v>0</v>
      </c>
      <c r="AG99" s="45">
        <v>-106.4505816687022</v>
      </c>
      <c r="AH99" s="45">
        <v>86.1984380297489</v>
      </c>
      <c r="AI99" s="45">
        <v>199.63977009866989</v>
      </c>
      <c r="AJ99" s="45">
        <v>0</v>
      </c>
      <c r="AK99" s="45">
        <v>88.548270649846955</v>
      </c>
      <c r="AL99" s="45">
        <v>374.38647877826571</v>
      </c>
      <c r="AM99" s="45">
        <v>825.74382276504309</v>
      </c>
      <c r="AN99" s="45">
        <v>142.08893225722269</v>
      </c>
      <c r="AO99" s="45">
        <v>0</v>
      </c>
      <c r="AP99" s="45">
        <v>0</v>
      </c>
      <c r="AQ99" s="45">
        <v>967.83275502226581</v>
      </c>
      <c r="AR99" s="45">
        <v>86.1984380297489</v>
      </c>
      <c r="AS99" s="199">
        <v>11.227961632996717</v>
      </c>
      <c r="AT99" s="45">
        <v>825.74382276504309</v>
      </c>
      <c r="AU99" s="45">
        <v>168.19097461364754</v>
      </c>
      <c r="AV99" s="45">
        <v>0</v>
      </c>
      <c r="AW99" s="45">
        <v>0</v>
      </c>
      <c r="AX99" s="45">
        <v>993.93479737869063</v>
      </c>
      <c r="AY99" s="45">
        <v>199.63977009866989</v>
      </c>
      <c r="AZ99" s="199">
        <v>4.9786412641501672</v>
      </c>
      <c r="BA99" s="45">
        <v>825.74382276504309</v>
      </c>
      <c r="BB99" s="45">
        <v>310.27990687087026</v>
      </c>
      <c r="BC99" s="45">
        <v>0</v>
      </c>
      <c r="BD99" s="45">
        <v>0</v>
      </c>
      <c r="BE99" s="45">
        <v>1136.0237296359132</v>
      </c>
      <c r="BF99" s="45">
        <v>285.83820812841878</v>
      </c>
      <c r="BG99" s="45">
        <v>-1.0439333754652007</v>
      </c>
      <c r="BH99" s="199">
        <v>3.974359261045783</v>
      </c>
      <c r="BI99" s="45">
        <v>3.6816355246181409</v>
      </c>
      <c r="BJ99" s="45">
        <v>8.5268467332110731</v>
      </c>
      <c r="BK99" s="45">
        <v>0</v>
      </c>
      <c r="BL99" s="45">
        <v>3.7819996083394005</v>
      </c>
      <c r="BM99" s="45">
        <v>15.990481866168613</v>
      </c>
      <c r="BN99" s="45">
        <v>825.74382276504309</v>
      </c>
      <c r="BO99" s="45">
        <v>0</v>
      </c>
      <c r="BP99" s="45">
        <v>310.27990687087026</v>
      </c>
      <c r="BQ99" s="45">
        <v>0</v>
      </c>
      <c r="BR99" s="45">
        <v>0</v>
      </c>
      <c r="BS99" s="45">
        <v>0</v>
      </c>
      <c r="BT99" s="45">
        <v>0</v>
      </c>
      <c r="BU99" s="45">
        <v>0</v>
      </c>
      <c r="BV99" s="45">
        <v>0</v>
      </c>
      <c r="BW99" s="45">
        <v>0</v>
      </c>
      <c r="BX99" s="45">
        <v>414.3806231012195</v>
      </c>
      <c r="BY99" s="45">
        <v>66.456437345748412</v>
      </c>
      <c r="BZ99" s="45">
        <v>0</v>
      </c>
      <c r="CA99" s="45">
        <v>-106.4505816687022</v>
      </c>
      <c r="CB99" s="45">
        <v>1136.0237296359132</v>
      </c>
      <c r="CC99" s="45">
        <v>374.38647877826577</v>
      </c>
      <c r="CD99" s="199">
        <v>2.5839820045269768</v>
      </c>
      <c r="CE99" s="45">
        <v>2.7380662328742038</v>
      </c>
      <c r="CF99" s="45">
        <v>16.366411808916986</v>
      </c>
      <c r="CG99" s="45">
        <v>0</v>
      </c>
      <c r="CH99" s="45">
        <v>16.366411808916986</v>
      </c>
      <c r="CI99" s="45">
        <v>0.81831842237514751</v>
      </c>
      <c r="CJ99" s="45">
        <v>0</v>
      </c>
      <c r="CK99" s="45">
        <v>0.81831842237514751</v>
      </c>
      <c r="CL99" s="45"/>
      <c r="CM99" s="45">
        <v>0</v>
      </c>
      <c r="CN99" s="45"/>
      <c r="CO99" s="45">
        <v>0</v>
      </c>
      <c r="CP99" s="45">
        <v>0</v>
      </c>
      <c r="CQ99" s="45">
        <v>0</v>
      </c>
      <c r="CR99" s="45">
        <v>0</v>
      </c>
      <c r="CS99" s="45">
        <v>0</v>
      </c>
      <c r="CT99" s="45">
        <v>0</v>
      </c>
      <c r="CU99" s="45">
        <v>0</v>
      </c>
      <c r="CV99" s="45">
        <v>9999</v>
      </c>
      <c r="CW99" s="199">
        <v>9999</v>
      </c>
      <c r="CX99" s="24"/>
      <c r="CY99" s="24"/>
      <c r="CZ99" s="24"/>
      <c r="DA99" s="24"/>
      <c r="DB99" s="24"/>
      <c r="DC99" s="24"/>
      <c r="DD99" s="24"/>
      <c r="DE99" s="24"/>
      <c r="DF99" s="24"/>
      <c r="DG99" s="24"/>
      <c r="DH99" s="24"/>
      <c r="DI99" s="24"/>
      <c r="DJ99" s="24"/>
      <c r="DK99" s="24"/>
      <c r="DL99" s="24"/>
      <c r="DM99" s="24"/>
      <c r="DN99" s="24"/>
      <c r="DO99" s="24"/>
      <c r="DP99" s="24"/>
      <c r="DQ99" s="24"/>
      <c r="DR99" s="24"/>
      <c r="DS99" s="24"/>
      <c r="DT99" s="24"/>
      <c r="DU99" s="24"/>
      <c r="DV99" s="24"/>
      <c r="DW99" s="24"/>
      <c r="DX99" s="24"/>
      <c r="DY99" s="24"/>
      <c r="DZ99" s="24"/>
      <c r="EA99" s="24"/>
    </row>
    <row r="100" spans="1:131">
      <c r="A100" s="24" t="s">
        <v>424</v>
      </c>
      <c r="B100" s="24"/>
      <c r="C100" s="45">
        <v>11.627906976744185</v>
      </c>
      <c r="D100" s="45">
        <v>3159.841836734694</v>
      </c>
      <c r="E100" s="45">
        <v>0</v>
      </c>
      <c r="F100" s="45">
        <v>532.0694632777404</v>
      </c>
      <c r="G100" s="45">
        <v>0</v>
      </c>
      <c r="H100" s="45">
        <v>-63.7013755264041</v>
      </c>
      <c r="I100" s="45"/>
      <c r="J100" s="45"/>
      <c r="K100" s="45"/>
      <c r="L100" s="45">
        <v>3387.6594304155228</v>
      </c>
      <c r="M100" s="45">
        <v>0.7907296823799802</v>
      </c>
      <c r="N100" s="45">
        <v>0.7850225501302095</v>
      </c>
      <c r="O100" s="45">
        <v>0</v>
      </c>
      <c r="P100" s="45">
        <v>0</v>
      </c>
      <c r="Q100" s="45">
        <v>0</v>
      </c>
      <c r="R100" s="45">
        <v>106.10175862866241</v>
      </c>
      <c r="S100" s="45">
        <v>245.18502620445005</v>
      </c>
      <c r="T100" s="45">
        <v>0</v>
      </c>
      <c r="U100" s="45">
        <v>519.03093843485806</v>
      </c>
      <c r="V100" s="45">
        <v>31.924167796664424</v>
      </c>
      <c r="W100" s="45">
        <v>74.489724858883662</v>
      </c>
      <c r="X100" s="45">
        <v>0</v>
      </c>
      <c r="Y100" s="45">
        <v>0</v>
      </c>
      <c r="Z100" s="45">
        <v>0</v>
      </c>
      <c r="AA100" s="45">
        <v>0</v>
      </c>
      <c r="AB100" s="45">
        <v>0</v>
      </c>
      <c r="AC100" s="45">
        <v>0</v>
      </c>
      <c r="AD100" s="45">
        <v>0</v>
      </c>
      <c r="AE100" s="45">
        <v>0</v>
      </c>
      <c r="AF100" s="45">
        <v>0</v>
      </c>
      <c r="AG100" s="45">
        <v>-63.7013755264041</v>
      </c>
      <c r="AH100" s="45">
        <v>138.02592642532684</v>
      </c>
      <c r="AI100" s="45">
        <v>319.6747510633337</v>
      </c>
      <c r="AJ100" s="45">
        <v>0</v>
      </c>
      <c r="AK100" s="45">
        <v>455.32956290845397</v>
      </c>
      <c r="AL100" s="45">
        <v>913.03024039711443</v>
      </c>
      <c r="AM100" s="45">
        <v>1623.7395084967363</v>
      </c>
      <c r="AN100" s="45">
        <v>279.40313528911093</v>
      </c>
      <c r="AO100" s="45">
        <v>0</v>
      </c>
      <c r="AP100" s="45">
        <v>0</v>
      </c>
      <c r="AQ100" s="45">
        <v>1903.1426437858472</v>
      </c>
      <c r="AR100" s="45">
        <v>138.02592642532684</v>
      </c>
      <c r="AS100" s="199">
        <v>13.788298278986471</v>
      </c>
      <c r="AT100" s="45">
        <v>1623.7395084967363</v>
      </c>
      <c r="AU100" s="45">
        <v>330.73009197727737</v>
      </c>
      <c r="AV100" s="45">
        <v>0</v>
      </c>
      <c r="AW100" s="45">
        <v>0</v>
      </c>
      <c r="AX100" s="45">
        <v>1954.4696004740138</v>
      </c>
      <c r="AY100" s="45">
        <v>319.6747510633337</v>
      </c>
      <c r="AZ100" s="199">
        <v>6.1139317195770513</v>
      </c>
      <c r="BA100" s="45">
        <v>1623.7395084967363</v>
      </c>
      <c r="BB100" s="45">
        <v>610.1332272663883</v>
      </c>
      <c r="BC100" s="45">
        <v>0</v>
      </c>
      <c r="BD100" s="45">
        <v>0</v>
      </c>
      <c r="BE100" s="45">
        <v>2233.8727357631246</v>
      </c>
      <c r="BF100" s="45">
        <v>457.70067748866052</v>
      </c>
      <c r="BG100" s="45">
        <v>-3.3109154122748703</v>
      </c>
      <c r="BH100" s="199">
        <v>4.8806410950057391</v>
      </c>
      <c r="BI100" s="45">
        <v>2.9979959513995063</v>
      </c>
      <c r="BJ100" s="45">
        <v>6.9435042696200471</v>
      </c>
      <c r="BK100" s="45">
        <v>0</v>
      </c>
      <c r="BL100" s="45">
        <v>9.8899983612178044</v>
      </c>
      <c r="BM100" s="45">
        <v>19.831498582237355</v>
      </c>
      <c r="BN100" s="45">
        <v>1623.7395084967363</v>
      </c>
      <c r="BO100" s="45">
        <v>0</v>
      </c>
      <c r="BP100" s="45">
        <v>610.1332272663883</v>
      </c>
      <c r="BQ100" s="45">
        <v>0</v>
      </c>
      <c r="BR100" s="45">
        <v>0</v>
      </c>
      <c r="BS100" s="45">
        <v>0</v>
      </c>
      <c r="BT100" s="45">
        <v>0</v>
      </c>
      <c r="BU100" s="45">
        <v>0</v>
      </c>
      <c r="BV100" s="45">
        <v>0</v>
      </c>
      <c r="BW100" s="45">
        <v>0</v>
      </c>
      <c r="BX100" s="45">
        <v>870.31772326797045</v>
      </c>
      <c r="BY100" s="45">
        <v>106.41389265554808</v>
      </c>
      <c r="BZ100" s="45">
        <v>0</v>
      </c>
      <c r="CA100" s="45">
        <v>-63.7013755264041</v>
      </c>
      <c r="CB100" s="45">
        <v>2233.8727357631246</v>
      </c>
      <c r="CC100" s="45">
        <v>913.03024039711443</v>
      </c>
      <c r="CD100" s="199">
        <v>2.3523085296231838</v>
      </c>
      <c r="CE100" s="45">
        <v>6.5790829489429381</v>
      </c>
      <c r="CF100" s="45">
        <v>32.182849854666841</v>
      </c>
      <c r="CG100" s="45">
        <v>0</v>
      </c>
      <c r="CH100" s="45">
        <v>32.182849854666841</v>
      </c>
      <c r="CI100" s="45">
        <v>1.6091382294473737</v>
      </c>
      <c r="CJ100" s="45">
        <v>0</v>
      </c>
      <c r="CK100" s="45">
        <v>1.6091382294473737</v>
      </c>
      <c r="CL100" s="45"/>
      <c r="CM100" s="45">
        <v>0</v>
      </c>
      <c r="CN100" s="45"/>
      <c r="CO100" s="45">
        <v>0</v>
      </c>
      <c r="CP100" s="45">
        <v>0</v>
      </c>
      <c r="CQ100" s="45">
        <v>0</v>
      </c>
      <c r="CR100" s="45">
        <v>0</v>
      </c>
      <c r="CS100" s="45">
        <v>0</v>
      </c>
      <c r="CT100" s="45">
        <v>0</v>
      </c>
      <c r="CU100" s="45">
        <v>0</v>
      </c>
      <c r="CV100" s="45">
        <v>9999</v>
      </c>
      <c r="CW100" s="199">
        <v>9999</v>
      </c>
      <c r="CX100" s="24"/>
      <c r="CY100" s="24"/>
      <c r="CZ100" s="24"/>
      <c r="DA100" s="24"/>
      <c r="DB100" s="24"/>
      <c r="DC100" s="24"/>
      <c r="DD100" s="24"/>
      <c r="DE100" s="24"/>
      <c r="DF100" s="24"/>
      <c r="DG100" s="24"/>
      <c r="DH100" s="24"/>
      <c r="DI100" s="24"/>
      <c r="DJ100" s="24"/>
      <c r="DK100" s="24"/>
      <c r="DL100" s="24"/>
      <c r="DM100" s="24"/>
      <c r="DN100" s="24"/>
      <c r="DO100" s="24"/>
      <c r="DP100" s="24"/>
      <c r="DQ100" s="24"/>
      <c r="DR100" s="24"/>
      <c r="DS100" s="24"/>
      <c r="DT100" s="24"/>
      <c r="DU100" s="24"/>
      <c r="DV100" s="24"/>
      <c r="DW100" s="24"/>
      <c r="DX100" s="24"/>
      <c r="DY100" s="24"/>
      <c r="DZ100" s="24"/>
      <c r="EA100" s="24"/>
    </row>
    <row r="101" spans="1:131">
      <c r="A101" s="24" t="s">
        <v>426</v>
      </c>
      <c r="B101" s="24"/>
      <c r="C101" s="45">
        <v>16.279069767441861</v>
      </c>
      <c r="D101" s="45">
        <v>1606.9202380952379</v>
      </c>
      <c r="E101" s="45">
        <v>0</v>
      </c>
      <c r="F101" s="45">
        <v>371.54658006207535</v>
      </c>
      <c r="G101" s="45">
        <v>0</v>
      </c>
      <c r="H101" s="45">
        <v>-106.4505816687022</v>
      </c>
      <c r="I101" s="45"/>
      <c r="J101" s="45"/>
      <c r="K101" s="45"/>
      <c r="L101" s="45">
        <v>1722.7756260529418</v>
      </c>
      <c r="M101" s="45">
        <v>0.40212124376201641</v>
      </c>
      <c r="N101" s="45">
        <v>0.39921891295323159</v>
      </c>
      <c r="O101" s="45">
        <v>0</v>
      </c>
      <c r="P101" s="45">
        <v>0</v>
      </c>
      <c r="Q101" s="45">
        <v>0</v>
      </c>
      <c r="R101" s="45">
        <v>74.091351370174664</v>
      </c>
      <c r="S101" s="45">
        <v>171.21384378554487</v>
      </c>
      <c r="T101" s="45">
        <v>0</v>
      </c>
      <c r="U101" s="45">
        <v>218.04104941121025</v>
      </c>
      <c r="V101" s="45">
        <v>22.292794803724522</v>
      </c>
      <c r="W101" s="45">
        <v>52.016521208690548</v>
      </c>
      <c r="X101" s="45">
        <v>0</v>
      </c>
      <c r="Y101" s="45">
        <v>0</v>
      </c>
      <c r="Z101" s="45">
        <v>0</v>
      </c>
      <c r="AA101" s="45">
        <v>0</v>
      </c>
      <c r="AB101" s="45">
        <v>0</v>
      </c>
      <c r="AC101" s="45">
        <v>0</v>
      </c>
      <c r="AD101" s="45">
        <v>0</v>
      </c>
      <c r="AE101" s="45">
        <v>0</v>
      </c>
      <c r="AF101" s="45">
        <v>0</v>
      </c>
      <c r="AG101" s="45">
        <v>-106.4505816687022</v>
      </c>
      <c r="AH101" s="45">
        <v>96.384146173899182</v>
      </c>
      <c r="AI101" s="45">
        <v>223.2303649942354</v>
      </c>
      <c r="AJ101" s="45">
        <v>0</v>
      </c>
      <c r="AK101" s="45">
        <v>111.59046774250805</v>
      </c>
      <c r="AL101" s="45">
        <v>431.20497891064264</v>
      </c>
      <c r="AM101" s="45">
        <v>825.74382276504309</v>
      </c>
      <c r="AN101" s="45">
        <v>142.08893225722269</v>
      </c>
      <c r="AO101" s="45">
        <v>0</v>
      </c>
      <c r="AP101" s="45">
        <v>0</v>
      </c>
      <c r="AQ101" s="45">
        <v>967.83275502226581</v>
      </c>
      <c r="AR101" s="45">
        <v>96.384146173899182</v>
      </c>
      <c r="AS101" s="199">
        <v>10.041410267577334</v>
      </c>
      <c r="AT101" s="45">
        <v>825.74382276504309</v>
      </c>
      <c r="AU101" s="45">
        <v>168.19097461364754</v>
      </c>
      <c r="AV101" s="45">
        <v>0</v>
      </c>
      <c r="AW101" s="45">
        <v>0</v>
      </c>
      <c r="AX101" s="45">
        <v>993.93479737869063</v>
      </c>
      <c r="AY101" s="45">
        <v>223.2303649942354</v>
      </c>
      <c r="AZ101" s="199">
        <v>4.4525071551281004</v>
      </c>
      <c r="BA101" s="45">
        <v>825.74382276504309</v>
      </c>
      <c r="BB101" s="45">
        <v>310.27990687087026</v>
      </c>
      <c r="BC101" s="45">
        <v>0</v>
      </c>
      <c r="BD101" s="45">
        <v>0</v>
      </c>
      <c r="BE101" s="45">
        <v>1136.0237296359132</v>
      </c>
      <c r="BF101" s="45">
        <v>319.61451116813458</v>
      </c>
      <c r="BG101" s="45">
        <v>0.39869180433642498</v>
      </c>
      <c r="BH101" s="199">
        <v>3.5543559192101357</v>
      </c>
      <c r="BI101" s="45">
        <v>4.1166789639662404</v>
      </c>
      <c r="BJ101" s="45">
        <v>9.5344284736645939</v>
      </c>
      <c r="BK101" s="45">
        <v>0</v>
      </c>
      <c r="BL101" s="45">
        <v>4.7661586409232202</v>
      </c>
      <c r="BM101" s="45">
        <v>18.417266078554054</v>
      </c>
      <c r="BN101" s="45">
        <v>825.74382276504309</v>
      </c>
      <c r="BO101" s="45">
        <v>0</v>
      </c>
      <c r="BP101" s="45">
        <v>310.27990687087026</v>
      </c>
      <c r="BQ101" s="45">
        <v>0</v>
      </c>
      <c r="BR101" s="45">
        <v>0</v>
      </c>
      <c r="BS101" s="45">
        <v>0</v>
      </c>
      <c r="BT101" s="45">
        <v>0</v>
      </c>
      <c r="BU101" s="45">
        <v>0</v>
      </c>
      <c r="BV101" s="45">
        <v>0</v>
      </c>
      <c r="BW101" s="45">
        <v>0</v>
      </c>
      <c r="BX101" s="45">
        <v>463.34624456692978</v>
      </c>
      <c r="BY101" s="45">
        <v>74.309316012415067</v>
      </c>
      <c r="BZ101" s="45">
        <v>0</v>
      </c>
      <c r="CA101" s="45">
        <v>-106.4505816687022</v>
      </c>
      <c r="CB101" s="45">
        <v>1136.0237296359132</v>
      </c>
      <c r="CC101" s="45">
        <v>431.20497891064264</v>
      </c>
      <c r="CD101" s="199">
        <v>2.3109113015883271</v>
      </c>
      <c r="CE101" s="45">
        <v>5.1648504452596447</v>
      </c>
      <c r="CF101" s="45">
        <v>16.366411808916986</v>
      </c>
      <c r="CG101" s="45">
        <v>0</v>
      </c>
      <c r="CH101" s="45">
        <v>16.366411808916986</v>
      </c>
      <c r="CI101" s="45">
        <v>0.81831842237514751</v>
      </c>
      <c r="CJ101" s="45">
        <v>0</v>
      </c>
      <c r="CK101" s="45">
        <v>0.81831842237514751</v>
      </c>
      <c r="CL101" s="45"/>
      <c r="CM101" s="45">
        <v>0</v>
      </c>
      <c r="CN101" s="45"/>
      <c r="CO101" s="45">
        <v>0</v>
      </c>
      <c r="CP101" s="45">
        <v>0</v>
      </c>
      <c r="CQ101" s="45">
        <v>0</v>
      </c>
      <c r="CR101" s="45">
        <v>0</v>
      </c>
      <c r="CS101" s="45">
        <v>0</v>
      </c>
      <c r="CT101" s="45">
        <v>0</v>
      </c>
      <c r="CU101" s="45">
        <v>0</v>
      </c>
      <c r="CV101" s="45">
        <v>9999</v>
      </c>
      <c r="CW101" s="199">
        <v>9999</v>
      </c>
      <c r="CX101" s="24"/>
      <c r="CY101" s="24"/>
      <c r="CZ101" s="24"/>
      <c r="DA101" s="24"/>
      <c r="DB101" s="24"/>
      <c r="DC101" s="24"/>
      <c r="DD101" s="24"/>
      <c r="DE101" s="24"/>
      <c r="DF101" s="24"/>
      <c r="DG101" s="24"/>
      <c r="DH101" s="24"/>
      <c r="DI101" s="24"/>
      <c r="DJ101" s="24"/>
      <c r="DK101" s="24"/>
      <c r="DL101" s="24"/>
      <c r="DM101" s="24"/>
      <c r="DN101" s="24"/>
      <c r="DO101" s="24"/>
      <c r="DP101" s="24"/>
      <c r="DQ101" s="24"/>
      <c r="DR101" s="24"/>
      <c r="DS101" s="24"/>
      <c r="DT101" s="24"/>
      <c r="DU101" s="24"/>
      <c r="DV101" s="24"/>
      <c r="DW101" s="24"/>
      <c r="DX101" s="24"/>
      <c r="DY101" s="24"/>
      <c r="DZ101" s="24"/>
      <c r="EA101" s="24"/>
    </row>
    <row r="102" spans="1:131">
      <c r="A102" s="24" t="s">
        <v>428</v>
      </c>
      <c r="B102" s="24"/>
      <c r="C102" s="45">
        <v>13.953488372093023</v>
      </c>
      <c r="D102" s="45">
        <v>640.16615646258492</v>
      </c>
      <c r="E102" s="45">
        <v>0</v>
      </c>
      <c r="F102" s="45">
        <v>154.26033291735365</v>
      </c>
      <c r="G102" s="45">
        <v>0</v>
      </c>
      <c r="H102" s="45">
        <v>-54.45644007047715</v>
      </c>
      <c r="I102" s="45"/>
      <c r="J102" s="45"/>
      <c r="K102" s="45"/>
      <c r="L102" s="45">
        <v>686.32071762629175</v>
      </c>
      <c r="M102" s="45">
        <v>0.16019737940211778</v>
      </c>
      <c r="N102" s="45">
        <v>0.15904114655707932</v>
      </c>
      <c r="O102" s="45">
        <v>0</v>
      </c>
      <c r="P102" s="45">
        <v>0</v>
      </c>
      <c r="Q102" s="45">
        <v>0</v>
      </c>
      <c r="R102" s="45">
        <v>30.761571070712684</v>
      </c>
      <c r="S102" s="45">
        <v>71.085311935868958</v>
      </c>
      <c r="T102" s="45">
        <v>0</v>
      </c>
      <c r="U102" s="45">
        <v>115.38708219658041</v>
      </c>
      <c r="V102" s="45">
        <v>9.2556199750412187</v>
      </c>
      <c r="W102" s="45">
        <v>21.59644660842951</v>
      </c>
      <c r="X102" s="45">
        <v>0</v>
      </c>
      <c r="Y102" s="45">
        <v>0</v>
      </c>
      <c r="Z102" s="45">
        <v>0</v>
      </c>
      <c r="AA102" s="45">
        <v>0</v>
      </c>
      <c r="AB102" s="45">
        <v>0</v>
      </c>
      <c r="AC102" s="45">
        <v>0</v>
      </c>
      <c r="AD102" s="45">
        <v>0</v>
      </c>
      <c r="AE102" s="45">
        <v>0</v>
      </c>
      <c r="AF102" s="45">
        <v>0</v>
      </c>
      <c r="AG102" s="45">
        <v>-54.45644007047715</v>
      </c>
      <c r="AH102" s="45">
        <v>40.017191045753904</v>
      </c>
      <c r="AI102" s="45">
        <v>92.681758544298475</v>
      </c>
      <c r="AJ102" s="45">
        <v>0</v>
      </c>
      <c r="AK102" s="45">
        <v>60.930642126103258</v>
      </c>
      <c r="AL102" s="45">
        <v>193.6295917161556</v>
      </c>
      <c r="AM102" s="45">
        <v>328.96047775763333</v>
      </c>
      <c r="AN102" s="45">
        <v>56.605501307768009</v>
      </c>
      <c r="AO102" s="45">
        <v>0</v>
      </c>
      <c r="AP102" s="45">
        <v>0</v>
      </c>
      <c r="AQ102" s="45">
        <v>385.56597906540134</v>
      </c>
      <c r="AR102" s="45">
        <v>40.017191045753904</v>
      </c>
      <c r="AS102" s="199">
        <v>9.6350085798016671</v>
      </c>
      <c r="AT102" s="45">
        <v>328.96047775763333</v>
      </c>
      <c r="AU102" s="45">
        <v>67.004053603644792</v>
      </c>
      <c r="AV102" s="45">
        <v>0</v>
      </c>
      <c r="AW102" s="45">
        <v>0</v>
      </c>
      <c r="AX102" s="45">
        <v>395.96453136127809</v>
      </c>
      <c r="AY102" s="45">
        <v>92.681758544298475</v>
      </c>
      <c r="AZ102" s="199">
        <v>4.2723027441481012</v>
      </c>
      <c r="BA102" s="45">
        <v>328.96047775763333</v>
      </c>
      <c r="BB102" s="45">
        <v>123.6095549114128</v>
      </c>
      <c r="BC102" s="45">
        <v>0</v>
      </c>
      <c r="BD102" s="45">
        <v>0</v>
      </c>
      <c r="BE102" s="45">
        <v>452.5700326690461</v>
      </c>
      <c r="BF102" s="45">
        <v>132.69894959005237</v>
      </c>
      <c r="BG102" s="45">
        <v>0.97449130225179015</v>
      </c>
      <c r="BH102" s="199">
        <v>3.4105019976960884</v>
      </c>
      <c r="BI102" s="45">
        <v>4.2903192119358886</v>
      </c>
      <c r="BJ102" s="45">
        <v>9.9365877236103177</v>
      </c>
      <c r="BK102" s="45">
        <v>0</v>
      </c>
      <c r="BL102" s="45">
        <v>6.5324901043235162</v>
      </c>
      <c r="BM102" s="45">
        <v>20.759397039869722</v>
      </c>
      <c r="BN102" s="45">
        <v>328.96047775763333</v>
      </c>
      <c r="BO102" s="45">
        <v>0</v>
      </c>
      <c r="BP102" s="45">
        <v>123.6095549114128</v>
      </c>
      <c r="BQ102" s="45">
        <v>0</v>
      </c>
      <c r="BR102" s="45">
        <v>0</v>
      </c>
      <c r="BS102" s="45">
        <v>0</v>
      </c>
      <c r="BT102" s="45">
        <v>0</v>
      </c>
      <c r="BU102" s="45">
        <v>0</v>
      </c>
      <c r="BV102" s="45">
        <v>0</v>
      </c>
      <c r="BW102" s="45">
        <v>0</v>
      </c>
      <c r="BX102" s="45">
        <v>217.23396520316203</v>
      </c>
      <c r="BY102" s="45">
        <v>30.85206658347073</v>
      </c>
      <c r="BZ102" s="45">
        <v>0</v>
      </c>
      <c r="CA102" s="45">
        <v>-54.45644007047715</v>
      </c>
      <c r="CB102" s="45">
        <v>452.5700326690461</v>
      </c>
      <c r="CC102" s="45">
        <v>193.6295917161556</v>
      </c>
      <c r="CD102" s="199">
        <v>2.0437526010154135</v>
      </c>
      <c r="CE102" s="45">
        <v>7.5069814065752984</v>
      </c>
      <c r="CF102" s="45">
        <v>6.5200640918042199</v>
      </c>
      <c r="CG102" s="45">
        <v>0</v>
      </c>
      <c r="CH102" s="45">
        <v>6.5200640918042199</v>
      </c>
      <c r="CI102" s="45">
        <v>0.32600234087248869</v>
      </c>
      <c r="CJ102" s="45">
        <v>0</v>
      </c>
      <c r="CK102" s="45">
        <v>0.32600234087248869</v>
      </c>
      <c r="CL102" s="45"/>
      <c r="CM102" s="45">
        <v>0</v>
      </c>
      <c r="CN102" s="45"/>
      <c r="CO102" s="45">
        <v>0</v>
      </c>
      <c r="CP102" s="45">
        <v>0</v>
      </c>
      <c r="CQ102" s="45">
        <v>0</v>
      </c>
      <c r="CR102" s="45">
        <v>0</v>
      </c>
      <c r="CS102" s="45">
        <v>0</v>
      </c>
      <c r="CT102" s="45">
        <v>0</v>
      </c>
      <c r="CU102" s="45">
        <v>0</v>
      </c>
      <c r="CV102" s="45">
        <v>9999</v>
      </c>
      <c r="CW102" s="199">
        <v>9999</v>
      </c>
      <c r="CX102" s="24"/>
      <c r="CY102" s="24"/>
      <c r="CZ102" s="24"/>
      <c r="DA102" s="24"/>
      <c r="DB102" s="24"/>
      <c r="DC102" s="24"/>
      <c r="DD102" s="24"/>
      <c r="DE102" s="24"/>
      <c r="DF102" s="24"/>
      <c r="DG102" s="24"/>
      <c r="DH102" s="24"/>
      <c r="DI102" s="24"/>
      <c r="DJ102" s="24"/>
      <c r="DK102" s="24"/>
      <c r="DL102" s="24"/>
      <c r="DM102" s="24"/>
      <c r="DN102" s="24"/>
      <c r="DO102" s="24"/>
      <c r="DP102" s="24"/>
      <c r="DQ102" s="24"/>
      <c r="DR102" s="24"/>
      <c r="DS102" s="24"/>
      <c r="DT102" s="24"/>
      <c r="DU102" s="24"/>
      <c r="DV102" s="24"/>
      <c r="DW102" s="24"/>
      <c r="DX102" s="24"/>
      <c r="DY102" s="24"/>
      <c r="DZ102" s="24"/>
      <c r="EA102" s="24"/>
    </row>
    <row r="103" spans="1:131">
      <c r="A103" s="24" t="s">
        <v>430</v>
      </c>
      <c r="B103" s="24"/>
      <c r="C103" s="45">
        <v>16.279069767441861</v>
      </c>
      <c r="D103" s="45">
        <v>649.36581632653053</v>
      </c>
      <c r="E103" s="45">
        <v>0</v>
      </c>
      <c r="F103" s="45">
        <v>186.95819668884204</v>
      </c>
      <c r="G103" s="45">
        <v>0</v>
      </c>
      <c r="H103" s="45">
        <v>-57.917727227432479</v>
      </c>
      <c r="I103" s="45"/>
      <c r="J103" s="45"/>
      <c r="K103" s="45"/>
      <c r="L103" s="45">
        <v>696.18365257841458</v>
      </c>
      <c r="M103" s="45">
        <v>0.16249953390797076</v>
      </c>
      <c r="N103" s="45">
        <v>0.16132668514409546</v>
      </c>
      <c r="O103" s="45">
        <v>0</v>
      </c>
      <c r="P103" s="45">
        <v>0</v>
      </c>
      <c r="Q103" s="45">
        <v>0</v>
      </c>
      <c r="R103" s="45">
        <v>37.281961901231682</v>
      </c>
      <c r="S103" s="45">
        <v>86.152943399351443</v>
      </c>
      <c r="T103" s="45">
        <v>0</v>
      </c>
      <c r="U103" s="45">
        <v>109.71588379376797</v>
      </c>
      <c r="V103" s="45">
        <v>11.217491801330523</v>
      </c>
      <c r="W103" s="45">
        <v>26.174147536437886</v>
      </c>
      <c r="X103" s="45">
        <v>0</v>
      </c>
      <c r="Y103" s="45">
        <v>0</v>
      </c>
      <c r="Z103" s="45">
        <v>0</v>
      </c>
      <c r="AA103" s="45">
        <v>0</v>
      </c>
      <c r="AB103" s="45">
        <v>0</v>
      </c>
      <c r="AC103" s="45">
        <v>0</v>
      </c>
      <c r="AD103" s="45">
        <v>0</v>
      </c>
      <c r="AE103" s="45">
        <v>0</v>
      </c>
      <c r="AF103" s="45">
        <v>0</v>
      </c>
      <c r="AG103" s="45">
        <v>-57.917727227432479</v>
      </c>
      <c r="AH103" s="45">
        <v>48.499453702562207</v>
      </c>
      <c r="AI103" s="45">
        <v>112.32709093578933</v>
      </c>
      <c r="AJ103" s="45">
        <v>0</v>
      </c>
      <c r="AK103" s="45">
        <v>51.798156566335493</v>
      </c>
      <c r="AL103" s="45">
        <v>212.62470120468703</v>
      </c>
      <c r="AM103" s="45">
        <v>333.6878824688946</v>
      </c>
      <c r="AN103" s="45">
        <v>57.41896411457607</v>
      </c>
      <c r="AO103" s="45">
        <v>0</v>
      </c>
      <c r="AP103" s="45">
        <v>0</v>
      </c>
      <c r="AQ103" s="45">
        <v>391.10684658347066</v>
      </c>
      <c r="AR103" s="45">
        <v>48.499453702562207</v>
      </c>
      <c r="AS103" s="199">
        <v>8.0641495259318479</v>
      </c>
      <c r="AT103" s="45">
        <v>333.6878824688946</v>
      </c>
      <c r="AU103" s="45">
        <v>67.966951277063316</v>
      </c>
      <c r="AV103" s="45">
        <v>0</v>
      </c>
      <c r="AW103" s="45">
        <v>0</v>
      </c>
      <c r="AX103" s="45">
        <v>401.65483374595794</v>
      </c>
      <c r="AY103" s="45">
        <v>112.32709093578933</v>
      </c>
      <c r="AZ103" s="199">
        <v>3.5757610243423819</v>
      </c>
      <c r="BA103" s="45">
        <v>333.6878824688946</v>
      </c>
      <c r="BB103" s="45">
        <v>125.38591539163939</v>
      </c>
      <c r="BC103" s="45">
        <v>0</v>
      </c>
      <c r="BD103" s="45">
        <v>0</v>
      </c>
      <c r="BE103" s="45">
        <v>459.073797860534</v>
      </c>
      <c r="BF103" s="45">
        <v>160.82654463835155</v>
      </c>
      <c r="BG103" s="45">
        <v>3.7458270142695529</v>
      </c>
      <c r="BH103" s="199">
        <v>2.8544653427258972</v>
      </c>
      <c r="BI103" s="45">
        <v>5.1260535638832296</v>
      </c>
      <c r="BJ103" s="45">
        <v>11.872189083680739</v>
      </c>
      <c r="BK103" s="45">
        <v>0</v>
      </c>
      <c r="BL103" s="45">
        <v>5.474703420327768</v>
      </c>
      <c r="BM103" s="45">
        <v>22.472946067891741</v>
      </c>
      <c r="BN103" s="45">
        <v>333.6878824688946</v>
      </c>
      <c r="BO103" s="45">
        <v>0</v>
      </c>
      <c r="BP103" s="45">
        <v>125.38591539163939</v>
      </c>
      <c r="BQ103" s="45">
        <v>0</v>
      </c>
      <c r="BR103" s="45">
        <v>0</v>
      </c>
      <c r="BS103" s="45">
        <v>0</v>
      </c>
      <c r="BT103" s="45">
        <v>0</v>
      </c>
      <c r="BU103" s="45">
        <v>0</v>
      </c>
      <c r="BV103" s="45">
        <v>0</v>
      </c>
      <c r="BW103" s="45">
        <v>0</v>
      </c>
      <c r="BX103" s="45">
        <v>233.1507890943511</v>
      </c>
      <c r="BY103" s="45">
        <v>37.39163933776841</v>
      </c>
      <c r="BZ103" s="45">
        <v>0</v>
      </c>
      <c r="CA103" s="45">
        <v>-57.917727227432479</v>
      </c>
      <c r="CB103" s="45">
        <v>459.073797860534</v>
      </c>
      <c r="CC103" s="45">
        <v>212.62470120468703</v>
      </c>
      <c r="CD103" s="199">
        <v>1.9109443501490648</v>
      </c>
      <c r="CE103" s="45">
        <v>9.22053043459732</v>
      </c>
      <c r="CF103" s="45">
        <v>6.6137622220945982</v>
      </c>
      <c r="CG103" s="45">
        <v>0</v>
      </c>
      <c r="CH103" s="45">
        <v>6.6137622220945982</v>
      </c>
      <c r="CI103" s="45">
        <v>0.33068723497474706</v>
      </c>
      <c r="CJ103" s="45">
        <v>0</v>
      </c>
      <c r="CK103" s="45">
        <v>0.33068723497474706</v>
      </c>
      <c r="CL103" s="45"/>
      <c r="CM103" s="45">
        <v>0</v>
      </c>
      <c r="CN103" s="45"/>
      <c r="CO103" s="45">
        <v>0</v>
      </c>
      <c r="CP103" s="45">
        <v>0</v>
      </c>
      <c r="CQ103" s="45">
        <v>0</v>
      </c>
      <c r="CR103" s="45">
        <v>0</v>
      </c>
      <c r="CS103" s="45">
        <v>0</v>
      </c>
      <c r="CT103" s="45">
        <v>0</v>
      </c>
      <c r="CU103" s="45">
        <v>0</v>
      </c>
      <c r="CV103" s="45">
        <v>9999</v>
      </c>
      <c r="CW103" s="199">
        <v>9999</v>
      </c>
      <c r="CX103" s="24"/>
      <c r="CY103" s="24"/>
      <c r="CZ103" s="24"/>
      <c r="DA103" s="24"/>
      <c r="DB103" s="24"/>
      <c r="DC103" s="24"/>
      <c r="DD103" s="24"/>
      <c r="DE103" s="24"/>
      <c r="DF103" s="24"/>
      <c r="DG103" s="24"/>
      <c r="DH103" s="24"/>
      <c r="DI103" s="24"/>
      <c r="DJ103" s="24"/>
      <c r="DK103" s="24"/>
      <c r="DL103" s="24"/>
      <c r="DM103" s="24"/>
      <c r="DN103" s="24"/>
      <c r="DO103" s="24"/>
      <c r="DP103" s="24"/>
      <c r="DQ103" s="24"/>
      <c r="DR103" s="24"/>
      <c r="DS103" s="24"/>
      <c r="DT103" s="24"/>
      <c r="DU103" s="24"/>
      <c r="DV103" s="24"/>
      <c r="DW103" s="24"/>
      <c r="DX103" s="24"/>
      <c r="DY103" s="24"/>
      <c r="DZ103" s="24"/>
      <c r="EA103" s="24"/>
    </row>
    <row r="104" spans="1:131">
      <c r="A104" s="24" t="s">
        <v>429</v>
      </c>
      <c r="B104" s="24"/>
      <c r="C104" s="45">
        <v>11.627906976744185</v>
      </c>
      <c r="D104" s="45">
        <v>1298.0734693877553</v>
      </c>
      <c r="E104" s="45">
        <v>0</v>
      </c>
      <c r="F104" s="45">
        <v>338.08982109258011</v>
      </c>
      <c r="G104" s="45">
        <v>0</v>
      </c>
      <c r="H104" s="45">
        <v>-59.569394411177889</v>
      </c>
      <c r="I104" s="45"/>
      <c r="J104" s="45"/>
      <c r="K104" s="45"/>
      <c r="L104" s="45">
        <v>1391.6616897786967</v>
      </c>
      <c r="M104" s="45">
        <v>0.32483436677816196</v>
      </c>
      <c r="N104" s="45">
        <v>0.32248985798864294</v>
      </c>
      <c r="O104" s="45">
        <v>0</v>
      </c>
      <c r="P104" s="45">
        <v>0</v>
      </c>
      <c r="Q104" s="45">
        <v>0</v>
      </c>
      <c r="R104" s="45">
        <v>67.419626699469944</v>
      </c>
      <c r="S104" s="45">
        <v>155.79650283514036</v>
      </c>
      <c r="T104" s="45">
        <v>0</v>
      </c>
      <c r="U104" s="45">
        <v>329.80482667796895</v>
      </c>
      <c r="V104" s="45">
        <v>20.285389265554809</v>
      </c>
      <c r="W104" s="45">
        <v>47.332574952961217</v>
      </c>
      <c r="X104" s="45">
        <v>0</v>
      </c>
      <c r="Y104" s="45">
        <v>0</v>
      </c>
      <c r="Z104" s="45">
        <v>0</v>
      </c>
      <c r="AA104" s="45">
        <v>0</v>
      </c>
      <c r="AB104" s="45">
        <v>0</v>
      </c>
      <c r="AC104" s="45">
        <v>0</v>
      </c>
      <c r="AD104" s="45">
        <v>0</v>
      </c>
      <c r="AE104" s="45">
        <v>0</v>
      </c>
      <c r="AF104" s="45">
        <v>0</v>
      </c>
      <c r="AG104" s="45">
        <v>-59.569394411177889</v>
      </c>
      <c r="AH104" s="45">
        <v>87.705015965024756</v>
      </c>
      <c r="AI104" s="45">
        <v>203.12907778810157</v>
      </c>
      <c r="AJ104" s="45">
        <v>0</v>
      </c>
      <c r="AK104" s="45">
        <v>270.23543226679107</v>
      </c>
      <c r="AL104" s="45">
        <v>561.06952601991736</v>
      </c>
      <c r="AM104" s="45">
        <v>667.03755633364551</v>
      </c>
      <c r="AN104" s="45">
        <v>114.77973136697989</v>
      </c>
      <c r="AO104" s="45">
        <v>0</v>
      </c>
      <c r="AP104" s="45">
        <v>0</v>
      </c>
      <c r="AQ104" s="45">
        <v>781.81728770062546</v>
      </c>
      <c r="AR104" s="45">
        <v>87.705015965024756</v>
      </c>
      <c r="AS104" s="199">
        <v>8.9141684668571362</v>
      </c>
      <c r="AT104" s="45">
        <v>667.03755633364551</v>
      </c>
      <c r="AU104" s="45">
        <v>135.86501480324617</v>
      </c>
      <c r="AV104" s="45">
        <v>0</v>
      </c>
      <c r="AW104" s="45">
        <v>0</v>
      </c>
      <c r="AX104" s="45">
        <v>802.90257113689165</v>
      </c>
      <c r="AY104" s="45">
        <v>203.12907778810157</v>
      </c>
      <c r="AZ104" s="199">
        <v>3.9526717685119244</v>
      </c>
      <c r="BA104" s="45">
        <v>667.03755633364551</v>
      </c>
      <c r="BB104" s="45">
        <v>250.64474617022606</v>
      </c>
      <c r="BC104" s="45">
        <v>0</v>
      </c>
      <c r="BD104" s="45">
        <v>0</v>
      </c>
      <c r="BE104" s="45">
        <v>917.6823025038716</v>
      </c>
      <c r="BF104" s="45">
        <v>290.83409375312635</v>
      </c>
      <c r="BG104" s="45">
        <v>2.1249435559196197</v>
      </c>
      <c r="BH104" s="199">
        <v>3.1553463717456847</v>
      </c>
      <c r="BI104" s="45">
        <v>4.6372538920239279</v>
      </c>
      <c r="BJ104" s="45">
        <v>10.740105297190107</v>
      </c>
      <c r="BK104" s="45">
        <v>0</v>
      </c>
      <c r="BL104" s="45">
        <v>14.288239917106681</v>
      </c>
      <c r="BM104" s="45">
        <v>29.665599106320713</v>
      </c>
      <c r="BN104" s="45">
        <v>667.03755633364551</v>
      </c>
      <c r="BO104" s="45">
        <v>0</v>
      </c>
      <c r="BP104" s="45">
        <v>250.64474617022606</v>
      </c>
      <c r="BQ104" s="45">
        <v>0</v>
      </c>
      <c r="BR104" s="45">
        <v>0</v>
      </c>
      <c r="BS104" s="45">
        <v>0</v>
      </c>
      <c r="BT104" s="45">
        <v>0</v>
      </c>
      <c r="BU104" s="45">
        <v>0</v>
      </c>
      <c r="BV104" s="45">
        <v>0</v>
      </c>
      <c r="BW104" s="45">
        <v>0</v>
      </c>
      <c r="BX104" s="45">
        <v>553.02095621257922</v>
      </c>
      <c r="BY104" s="45">
        <v>67.617964218516022</v>
      </c>
      <c r="BZ104" s="45">
        <v>0</v>
      </c>
      <c r="CA104" s="45">
        <v>-59.569394411177889</v>
      </c>
      <c r="CB104" s="45">
        <v>917.6823025038716</v>
      </c>
      <c r="CC104" s="45">
        <v>561.06952601991736</v>
      </c>
      <c r="CD104" s="199">
        <v>1.5745897731264602</v>
      </c>
      <c r="CE104" s="45">
        <v>16.413183473026297</v>
      </c>
      <c r="CF104" s="45">
        <v>13.220821080336949</v>
      </c>
      <c r="CG104" s="45">
        <v>0</v>
      </c>
      <c r="CH104" s="45">
        <v>13.220821080336949</v>
      </c>
      <c r="CI104" s="45">
        <v>0.66103930264488109</v>
      </c>
      <c r="CJ104" s="45">
        <v>0</v>
      </c>
      <c r="CK104" s="45">
        <v>0.66103930264488109</v>
      </c>
      <c r="CL104" s="45"/>
      <c r="CM104" s="45">
        <v>0</v>
      </c>
      <c r="CN104" s="45"/>
      <c r="CO104" s="45">
        <v>0</v>
      </c>
      <c r="CP104" s="45">
        <v>0</v>
      </c>
      <c r="CQ104" s="45">
        <v>0</v>
      </c>
      <c r="CR104" s="45">
        <v>0</v>
      </c>
      <c r="CS104" s="45">
        <v>0</v>
      </c>
      <c r="CT104" s="45">
        <v>0</v>
      </c>
      <c r="CU104" s="45">
        <v>0</v>
      </c>
      <c r="CV104" s="45">
        <v>9999</v>
      </c>
      <c r="CW104" s="199">
        <v>9999</v>
      </c>
      <c r="CX104" s="24"/>
      <c r="CY104" s="24"/>
      <c r="CZ104" s="24"/>
      <c r="DA104" s="24"/>
      <c r="DB104" s="24"/>
      <c r="DC104" s="24"/>
      <c r="DD104" s="24"/>
      <c r="DE104" s="24"/>
      <c r="DF104" s="24"/>
      <c r="DG104" s="24"/>
      <c r="DH104" s="24"/>
      <c r="DI104" s="24"/>
      <c r="DJ104" s="24"/>
      <c r="DK104" s="24"/>
      <c r="DL104" s="24"/>
      <c r="DM104" s="24"/>
      <c r="DN104" s="24"/>
      <c r="DO104" s="24"/>
      <c r="DP104" s="24"/>
      <c r="DQ104" s="24"/>
      <c r="DR104" s="24"/>
      <c r="DS104" s="24"/>
      <c r="DT104" s="24"/>
      <c r="DU104" s="24"/>
      <c r="DV104" s="24"/>
      <c r="DW104" s="24"/>
      <c r="DX104" s="24"/>
      <c r="DY104" s="24"/>
      <c r="DZ104" s="24"/>
      <c r="EA104" s="24"/>
    </row>
    <row r="105" spans="1:131">
      <c r="A105" s="24" t="s">
        <v>435</v>
      </c>
      <c r="B105" s="24"/>
      <c r="C105" s="45">
        <v>16.279069767441861</v>
      </c>
      <c r="D105" s="45">
        <v>649.36581632653053</v>
      </c>
      <c r="E105" s="45">
        <v>0</v>
      </c>
      <c r="F105" s="45">
        <v>228.79070335550873</v>
      </c>
      <c r="G105" s="45">
        <v>0</v>
      </c>
      <c r="H105" s="45">
        <v>-57.917727227432479</v>
      </c>
      <c r="I105" s="45"/>
      <c r="J105" s="45"/>
      <c r="K105" s="45"/>
      <c r="L105" s="45">
        <v>696.18365257841458</v>
      </c>
      <c r="M105" s="45">
        <v>0.16249953390797076</v>
      </c>
      <c r="N105" s="45">
        <v>0.16132668514409546</v>
      </c>
      <c r="O105" s="45">
        <v>0</v>
      </c>
      <c r="P105" s="45">
        <v>0</v>
      </c>
      <c r="Q105" s="45">
        <v>0</v>
      </c>
      <c r="R105" s="45">
        <v>45.623922550196198</v>
      </c>
      <c r="S105" s="45">
        <v>105.4299456540561</v>
      </c>
      <c r="T105" s="45">
        <v>0</v>
      </c>
      <c r="U105" s="45">
        <v>134.26517086183236</v>
      </c>
      <c r="V105" s="45">
        <v>13.727442201330524</v>
      </c>
      <c r="W105" s="45">
        <v>32.030698469771224</v>
      </c>
      <c r="X105" s="45">
        <v>0</v>
      </c>
      <c r="Y105" s="45">
        <v>0</v>
      </c>
      <c r="Z105" s="45">
        <v>0</v>
      </c>
      <c r="AA105" s="45">
        <v>0</v>
      </c>
      <c r="AB105" s="45">
        <v>0</v>
      </c>
      <c r="AC105" s="45">
        <v>0</v>
      </c>
      <c r="AD105" s="45">
        <v>0</v>
      </c>
      <c r="AE105" s="45">
        <v>0</v>
      </c>
      <c r="AF105" s="45">
        <v>0</v>
      </c>
      <c r="AG105" s="45">
        <v>-57.917727227432479</v>
      </c>
      <c r="AH105" s="45">
        <v>59.351364751526724</v>
      </c>
      <c r="AI105" s="45">
        <v>137.46064412382731</v>
      </c>
      <c r="AJ105" s="45">
        <v>0</v>
      </c>
      <c r="AK105" s="45">
        <v>76.34744363439988</v>
      </c>
      <c r="AL105" s="45">
        <v>273.15945250975392</v>
      </c>
      <c r="AM105" s="45">
        <v>333.6878824688946</v>
      </c>
      <c r="AN105" s="45">
        <v>57.41896411457607</v>
      </c>
      <c r="AO105" s="45">
        <v>0</v>
      </c>
      <c r="AP105" s="45">
        <v>0</v>
      </c>
      <c r="AQ105" s="45">
        <v>391.10684658347066</v>
      </c>
      <c r="AR105" s="45">
        <v>59.351364751526724</v>
      </c>
      <c r="AS105" s="199">
        <v>6.5896858180234181</v>
      </c>
      <c r="AT105" s="45">
        <v>333.6878824688946</v>
      </c>
      <c r="AU105" s="45">
        <v>67.966951277063316</v>
      </c>
      <c r="AV105" s="45">
        <v>0</v>
      </c>
      <c r="AW105" s="45">
        <v>0</v>
      </c>
      <c r="AX105" s="45">
        <v>401.65483374595794</v>
      </c>
      <c r="AY105" s="45">
        <v>137.46064412382731</v>
      </c>
      <c r="AZ105" s="199">
        <v>2.9219624009919465</v>
      </c>
      <c r="BA105" s="45">
        <v>333.6878824688946</v>
      </c>
      <c r="BB105" s="45">
        <v>125.38591539163939</v>
      </c>
      <c r="BC105" s="45">
        <v>0</v>
      </c>
      <c r="BD105" s="45">
        <v>0</v>
      </c>
      <c r="BE105" s="45">
        <v>459.073797860534</v>
      </c>
      <c r="BF105" s="45">
        <v>196.81200887535405</v>
      </c>
      <c r="BG105" s="45">
        <v>7.5492392821964849</v>
      </c>
      <c r="BH105" s="199">
        <v>2.3325497284633525</v>
      </c>
      <c r="BI105" s="45">
        <v>6.2730247782115587</v>
      </c>
      <c r="BJ105" s="45">
        <v>14.52863013727934</v>
      </c>
      <c r="BK105" s="45">
        <v>0</v>
      </c>
      <c r="BL105" s="45">
        <v>8.0693916252259577</v>
      </c>
      <c r="BM105" s="45">
        <v>28.871046540716858</v>
      </c>
      <c r="BN105" s="45">
        <v>333.6878824688946</v>
      </c>
      <c r="BO105" s="45">
        <v>0</v>
      </c>
      <c r="BP105" s="45">
        <v>125.38591539163939</v>
      </c>
      <c r="BQ105" s="45">
        <v>0</v>
      </c>
      <c r="BR105" s="45">
        <v>0</v>
      </c>
      <c r="BS105" s="45">
        <v>0</v>
      </c>
      <c r="BT105" s="45">
        <v>0</v>
      </c>
      <c r="BU105" s="45">
        <v>0</v>
      </c>
      <c r="BV105" s="45">
        <v>0</v>
      </c>
      <c r="BW105" s="45">
        <v>0</v>
      </c>
      <c r="BX105" s="45">
        <v>285.31903906608466</v>
      </c>
      <c r="BY105" s="45">
        <v>45.758140671101749</v>
      </c>
      <c r="BZ105" s="45">
        <v>0</v>
      </c>
      <c r="CA105" s="45">
        <v>-57.917727227432479</v>
      </c>
      <c r="CB105" s="45">
        <v>459.073797860534</v>
      </c>
      <c r="CC105" s="45">
        <v>273.15945250975392</v>
      </c>
      <c r="CD105" s="199">
        <v>1.561543823402028</v>
      </c>
      <c r="CE105" s="45">
        <v>15.618630907422439</v>
      </c>
      <c r="CF105" s="45">
        <v>6.6137622220945982</v>
      </c>
      <c r="CG105" s="45">
        <v>0</v>
      </c>
      <c r="CH105" s="45">
        <v>6.6137622220945982</v>
      </c>
      <c r="CI105" s="45">
        <v>0.33068723497474706</v>
      </c>
      <c r="CJ105" s="45">
        <v>0</v>
      </c>
      <c r="CK105" s="45">
        <v>0.33068723497474706</v>
      </c>
      <c r="CL105" s="45"/>
      <c r="CM105" s="45">
        <v>0</v>
      </c>
      <c r="CN105" s="45"/>
      <c r="CO105" s="45">
        <v>0</v>
      </c>
      <c r="CP105" s="45">
        <v>0</v>
      </c>
      <c r="CQ105" s="45">
        <v>0</v>
      </c>
      <c r="CR105" s="45">
        <v>0</v>
      </c>
      <c r="CS105" s="45">
        <v>0</v>
      </c>
      <c r="CT105" s="45">
        <v>0</v>
      </c>
      <c r="CU105" s="45">
        <v>0</v>
      </c>
      <c r="CV105" s="45">
        <v>9999</v>
      </c>
      <c r="CW105" s="199">
        <v>9999</v>
      </c>
      <c r="CX105" s="24"/>
      <c r="CY105" s="24"/>
      <c r="CZ105" s="24"/>
      <c r="DA105" s="24"/>
      <c r="DB105" s="24"/>
      <c r="DC105" s="24"/>
      <c r="DD105" s="24"/>
      <c r="DE105" s="24"/>
      <c r="DF105" s="24"/>
      <c r="DG105" s="24"/>
      <c r="DH105" s="24"/>
      <c r="DI105" s="24"/>
      <c r="DJ105" s="24"/>
      <c r="DK105" s="24"/>
      <c r="DL105" s="24"/>
      <c r="DM105" s="24"/>
      <c r="DN105" s="24"/>
      <c r="DO105" s="24"/>
      <c r="DP105" s="24"/>
      <c r="DQ105" s="24"/>
      <c r="DR105" s="24"/>
      <c r="DS105" s="24"/>
      <c r="DT105" s="24"/>
      <c r="DU105" s="24"/>
      <c r="DV105" s="24"/>
      <c r="DW105" s="24"/>
      <c r="DX105" s="24"/>
      <c r="DY105" s="24"/>
      <c r="DZ105" s="24"/>
      <c r="EA105" s="24"/>
    </row>
    <row r="106" spans="1:131">
      <c r="A106" s="24" t="s">
        <v>419</v>
      </c>
      <c r="B106" s="24"/>
      <c r="C106" s="45">
        <v>13.953488372093023</v>
      </c>
      <c r="D106" s="45">
        <v>640.16615646258492</v>
      </c>
      <c r="E106" s="45">
        <v>0</v>
      </c>
      <c r="F106" s="45">
        <v>210.259506250687</v>
      </c>
      <c r="G106" s="45">
        <v>0</v>
      </c>
      <c r="H106" s="45">
        <v>-54.45644007047715</v>
      </c>
      <c r="I106" s="45"/>
      <c r="J106" s="45"/>
      <c r="K106" s="45"/>
      <c r="L106" s="45">
        <v>686.32071762629175</v>
      </c>
      <c r="M106" s="45">
        <v>0.16019737940211778</v>
      </c>
      <c r="N106" s="45">
        <v>0.15904114655707932</v>
      </c>
      <c r="O106" s="45">
        <v>0</v>
      </c>
      <c r="P106" s="45">
        <v>0</v>
      </c>
      <c r="Q106" s="45">
        <v>0</v>
      </c>
      <c r="R106" s="45">
        <v>41.928554298457968</v>
      </c>
      <c r="S106" s="45">
        <v>96.890511686627306</v>
      </c>
      <c r="T106" s="45">
        <v>0</v>
      </c>
      <c r="U106" s="45">
        <v>157.27459205833949</v>
      </c>
      <c r="V106" s="45">
        <v>12.615570375041219</v>
      </c>
      <c r="W106" s="45">
        <v>29.436330875096179</v>
      </c>
      <c r="X106" s="45">
        <v>0</v>
      </c>
      <c r="Y106" s="45">
        <v>0</v>
      </c>
      <c r="Z106" s="45">
        <v>0</v>
      </c>
      <c r="AA106" s="45">
        <v>0</v>
      </c>
      <c r="AB106" s="45">
        <v>0</v>
      </c>
      <c r="AC106" s="45">
        <v>0</v>
      </c>
      <c r="AD106" s="45">
        <v>0</v>
      </c>
      <c r="AE106" s="45">
        <v>0</v>
      </c>
      <c r="AF106" s="45">
        <v>0</v>
      </c>
      <c r="AG106" s="45">
        <v>-54.45644007047715</v>
      </c>
      <c r="AH106" s="45">
        <v>54.544124673499184</v>
      </c>
      <c r="AI106" s="45">
        <v>126.32684256172348</v>
      </c>
      <c r="AJ106" s="45">
        <v>0</v>
      </c>
      <c r="AK106" s="45">
        <v>102.81815198786234</v>
      </c>
      <c r="AL106" s="45">
        <v>283.68911922308502</v>
      </c>
      <c r="AM106" s="45">
        <v>328.96047775763333</v>
      </c>
      <c r="AN106" s="45">
        <v>56.605501307768009</v>
      </c>
      <c r="AO106" s="45">
        <v>0</v>
      </c>
      <c r="AP106" s="45">
        <v>0</v>
      </c>
      <c r="AQ106" s="45">
        <v>385.56597906540134</v>
      </c>
      <c r="AR106" s="45">
        <v>54.544124673499184</v>
      </c>
      <c r="AS106" s="199">
        <v>7.0688819625101154</v>
      </c>
      <c r="AT106" s="45">
        <v>328.96047775763333</v>
      </c>
      <c r="AU106" s="45">
        <v>67.004053603644792</v>
      </c>
      <c r="AV106" s="45">
        <v>0</v>
      </c>
      <c r="AW106" s="45">
        <v>0</v>
      </c>
      <c r="AX106" s="45">
        <v>395.96453136127809</v>
      </c>
      <c r="AY106" s="45">
        <v>126.32684256172348</v>
      </c>
      <c r="AZ106" s="199">
        <v>3.1344449313518563</v>
      </c>
      <c r="BA106" s="45">
        <v>328.96047775763333</v>
      </c>
      <c r="BB106" s="45">
        <v>123.6095549114128</v>
      </c>
      <c r="BC106" s="45">
        <v>0</v>
      </c>
      <c r="BD106" s="45">
        <v>0</v>
      </c>
      <c r="BE106" s="45">
        <v>452.5700326690461</v>
      </c>
      <c r="BF106" s="45">
        <v>180.87096723522268</v>
      </c>
      <c r="BG106" s="45">
        <v>6.1391049940145992</v>
      </c>
      <c r="BH106" s="199">
        <v>2.5021706887898643</v>
      </c>
      <c r="BI106" s="45">
        <v>5.8477794135370758</v>
      </c>
      <c r="BJ106" s="45">
        <v>13.54374121377194</v>
      </c>
      <c r="BK106" s="45">
        <v>0</v>
      </c>
      <c r="BL106" s="45">
        <v>11.023329756076823</v>
      </c>
      <c r="BM106" s="45">
        <v>30.414850383385836</v>
      </c>
      <c r="BN106" s="45">
        <v>328.96047775763333</v>
      </c>
      <c r="BO106" s="45">
        <v>0</v>
      </c>
      <c r="BP106" s="45">
        <v>123.6095549114128</v>
      </c>
      <c r="BQ106" s="45">
        <v>0</v>
      </c>
      <c r="BR106" s="45">
        <v>0</v>
      </c>
      <c r="BS106" s="45">
        <v>0</v>
      </c>
      <c r="BT106" s="45">
        <v>0</v>
      </c>
      <c r="BU106" s="45">
        <v>0</v>
      </c>
      <c r="BV106" s="45">
        <v>0</v>
      </c>
      <c r="BW106" s="45">
        <v>0</v>
      </c>
      <c r="BX106" s="45">
        <v>296.09365804342474</v>
      </c>
      <c r="BY106" s="45">
        <v>42.051901250137405</v>
      </c>
      <c r="BZ106" s="45">
        <v>0</v>
      </c>
      <c r="CA106" s="45">
        <v>-54.45644007047715</v>
      </c>
      <c r="CB106" s="45">
        <v>452.5700326690461</v>
      </c>
      <c r="CC106" s="45">
        <v>283.68911922308496</v>
      </c>
      <c r="CD106" s="199">
        <v>1.4994325928714816</v>
      </c>
      <c r="CE106" s="45">
        <v>17.162434750091414</v>
      </c>
      <c r="CF106" s="45">
        <v>6.5200640918042199</v>
      </c>
      <c r="CG106" s="45">
        <v>0</v>
      </c>
      <c r="CH106" s="45">
        <v>6.5200640918042199</v>
      </c>
      <c r="CI106" s="45">
        <v>0.32600234087248869</v>
      </c>
      <c r="CJ106" s="45">
        <v>0</v>
      </c>
      <c r="CK106" s="45">
        <v>0.32600234087248869</v>
      </c>
      <c r="CL106" s="45"/>
      <c r="CM106" s="45">
        <v>0</v>
      </c>
      <c r="CN106" s="45"/>
      <c r="CO106" s="45">
        <v>0</v>
      </c>
      <c r="CP106" s="45">
        <v>0</v>
      </c>
      <c r="CQ106" s="45">
        <v>0</v>
      </c>
      <c r="CR106" s="45">
        <v>0</v>
      </c>
      <c r="CS106" s="45">
        <v>0</v>
      </c>
      <c r="CT106" s="45">
        <v>0</v>
      </c>
      <c r="CU106" s="45">
        <v>0</v>
      </c>
      <c r="CV106" s="45">
        <v>9999</v>
      </c>
      <c r="CW106" s="199">
        <v>9999</v>
      </c>
      <c r="CX106" s="24"/>
      <c r="CY106" s="24"/>
      <c r="CZ106" s="24"/>
      <c r="DA106" s="24"/>
      <c r="DB106" s="24"/>
      <c r="DC106" s="24"/>
      <c r="DD106" s="24"/>
      <c r="DE106" s="24"/>
      <c r="DF106" s="24"/>
      <c r="DG106" s="24"/>
      <c r="DH106" s="24"/>
      <c r="DI106" s="24"/>
      <c r="DJ106" s="24"/>
      <c r="DK106" s="24"/>
      <c r="DL106" s="24"/>
      <c r="DM106" s="24"/>
      <c r="DN106" s="24"/>
      <c r="DO106" s="24"/>
      <c r="DP106" s="24"/>
      <c r="DQ106" s="24"/>
      <c r="DR106" s="24"/>
      <c r="DS106" s="24"/>
      <c r="DT106" s="24"/>
      <c r="DU106" s="24"/>
      <c r="DV106" s="24"/>
      <c r="DW106" s="24"/>
      <c r="DX106" s="24"/>
      <c r="DY106" s="24"/>
      <c r="DZ106" s="24"/>
      <c r="EA106" s="24"/>
    </row>
    <row r="107" spans="1:131">
      <c r="A107" s="24" t="s">
        <v>432</v>
      </c>
      <c r="B107" s="24"/>
      <c r="C107" s="45">
        <v>11.627906976744185</v>
      </c>
      <c r="D107" s="45">
        <v>1298.0734693877553</v>
      </c>
      <c r="E107" s="45">
        <v>0</v>
      </c>
      <c r="F107" s="45">
        <v>366.92315442591342</v>
      </c>
      <c r="G107" s="45">
        <v>0</v>
      </c>
      <c r="H107" s="45">
        <v>-59.569394411177889</v>
      </c>
      <c r="I107" s="45"/>
      <c r="J107" s="45"/>
      <c r="K107" s="45"/>
      <c r="L107" s="45">
        <v>1391.6616897786967</v>
      </c>
      <c r="M107" s="45">
        <v>0.32483436677816196</v>
      </c>
      <c r="N107" s="45">
        <v>0.32248985798864294</v>
      </c>
      <c r="O107" s="45">
        <v>0</v>
      </c>
      <c r="P107" s="45">
        <v>0</v>
      </c>
      <c r="Q107" s="45">
        <v>0</v>
      </c>
      <c r="R107" s="45">
        <v>73.169378536282579</v>
      </c>
      <c r="S107" s="45">
        <v>169.08330479769668</v>
      </c>
      <c r="T107" s="45">
        <v>0</v>
      </c>
      <c r="U107" s="45">
        <v>357.93159036407275</v>
      </c>
      <c r="V107" s="45">
        <v>22.015389265554806</v>
      </c>
      <c r="W107" s="45">
        <v>51.369241619627878</v>
      </c>
      <c r="X107" s="45">
        <v>0</v>
      </c>
      <c r="Y107" s="45">
        <v>0</v>
      </c>
      <c r="Z107" s="45">
        <v>0</v>
      </c>
      <c r="AA107" s="45">
        <v>0</v>
      </c>
      <c r="AB107" s="45">
        <v>0</v>
      </c>
      <c r="AC107" s="45">
        <v>0</v>
      </c>
      <c r="AD107" s="45">
        <v>0</v>
      </c>
      <c r="AE107" s="45">
        <v>0</v>
      </c>
      <c r="AF107" s="45">
        <v>0</v>
      </c>
      <c r="AG107" s="45">
        <v>-59.569394411177889</v>
      </c>
      <c r="AH107" s="45">
        <v>95.184767801837381</v>
      </c>
      <c r="AI107" s="45">
        <v>220.45254641732456</v>
      </c>
      <c r="AJ107" s="45">
        <v>0</v>
      </c>
      <c r="AK107" s="45">
        <v>298.36219595289487</v>
      </c>
      <c r="AL107" s="45">
        <v>613.99951017205683</v>
      </c>
      <c r="AM107" s="45">
        <v>667.03755633364551</v>
      </c>
      <c r="AN107" s="45">
        <v>114.77973136697989</v>
      </c>
      <c r="AO107" s="45">
        <v>0</v>
      </c>
      <c r="AP107" s="45">
        <v>0</v>
      </c>
      <c r="AQ107" s="45">
        <v>781.81728770062546</v>
      </c>
      <c r="AR107" s="45">
        <v>95.184767801837381</v>
      </c>
      <c r="AS107" s="199">
        <v>8.2136806734484029</v>
      </c>
      <c r="AT107" s="45">
        <v>667.03755633364551</v>
      </c>
      <c r="AU107" s="45">
        <v>135.86501480324617</v>
      </c>
      <c r="AV107" s="45">
        <v>0</v>
      </c>
      <c r="AW107" s="45">
        <v>0</v>
      </c>
      <c r="AX107" s="45">
        <v>802.90257113689165</v>
      </c>
      <c r="AY107" s="45">
        <v>220.45254641732456</v>
      </c>
      <c r="AZ107" s="199">
        <v>3.6420653069571189</v>
      </c>
      <c r="BA107" s="45">
        <v>667.03755633364551</v>
      </c>
      <c r="BB107" s="45">
        <v>250.64474617022606</v>
      </c>
      <c r="BC107" s="45">
        <v>0</v>
      </c>
      <c r="BD107" s="45">
        <v>0</v>
      </c>
      <c r="BE107" s="45">
        <v>917.6823025038716</v>
      </c>
      <c r="BF107" s="45">
        <v>315.63731421916196</v>
      </c>
      <c r="BG107" s="45">
        <v>3.4363717493392349</v>
      </c>
      <c r="BH107" s="199">
        <v>2.9073948521393174</v>
      </c>
      <c r="BI107" s="45">
        <v>5.0327330779631279</v>
      </c>
      <c r="BJ107" s="45">
        <v>11.656054304670525</v>
      </c>
      <c r="BK107" s="45">
        <v>0</v>
      </c>
      <c r="BL107" s="45">
        <v>15.775394818548531</v>
      </c>
      <c r="BM107" s="45">
        <v>32.464182201182183</v>
      </c>
      <c r="BN107" s="45">
        <v>667.03755633364551</v>
      </c>
      <c r="BO107" s="45">
        <v>0</v>
      </c>
      <c r="BP107" s="45">
        <v>250.64474617022606</v>
      </c>
      <c r="BQ107" s="45">
        <v>0</v>
      </c>
      <c r="BR107" s="45">
        <v>0</v>
      </c>
      <c r="BS107" s="45">
        <v>0</v>
      </c>
      <c r="BT107" s="45">
        <v>0</v>
      </c>
      <c r="BU107" s="45">
        <v>0</v>
      </c>
      <c r="BV107" s="45">
        <v>0</v>
      </c>
      <c r="BW107" s="45">
        <v>0</v>
      </c>
      <c r="BX107" s="45">
        <v>600.18427369805204</v>
      </c>
      <c r="BY107" s="45">
        <v>73.384630885182688</v>
      </c>
      <c r="BZ107" s="45">
        <v>0</v>
      </c>
      <c r="CA107" s="45">
        <v>-59.569394411177889</v>
      </c>
      <c r="CB107" s="45">
        <v>917.6823025038716</v>
      </c>
      <c r="CC107" s="45">
        <v>613.99951017205683</v>
      </c>
      <c r="CD107" s="199">
        <v>1.4508563121982538</v>
      </c>
      <c r="CE107" s="45">
        <v>19.211766567887768</v>
      </c>
      <c r="CF107" s="45">
        <v>13.220821080336949</v>
      </c>
      <c r="CG107" s="45">
        <v>0</v>
      </c>
      <c r="CH107" s="45">
        <v>13.220821080336949</v>
      </c>
      <c r="CI107" s="45">
        <v>0.66103930264488109</v>
      </c>
      <c r="CJ107" s="45">
        <v>0</v>
      </c>
      <c r="CK107" s="45">
        <v>0.66103930264488109</v>
      </c>
      <c r="CL107" s="45"/>
      <c r="CM107" s="45">
        <v>0</v>
      </c>
      <c r="CN107" s="45"/>
      <c r="CO107" s="45">
        <v>0</v>
      </c>
      <c r="CP107" s="45">
        <v>0</v>
      </c>
      <c r="CQ107" s="45">
        <v>0</v>
      </c>
      <c r="CR107" s="45">
        <v>0</v>
      </c>
      <c r="CS107" s="45">
        <v>0</v>
      </c>
      <c r="CT107" s="45">
        <v>0</v>
      </c>
      <c r="CU107" s="45">
        <v>0</v>
      </c>
      <c r="CV107" s="45">
        <v>9999</v>
      </c>
      <c r="CW107" s="199">
        <v>9999</v>
      </c>
      <c r="CX107" s="24"/>
      <c r="CY107" s="24"/>
      <c r="CZ107" s="24"/>
      <c r="DA107" s="24"/>
      <c r="DB107" s="24"/>
      <c r="DC107" s="24"/>
      <c r="DD107" s="24"/>
      <c r="DE107" s="24"/>
      <c r="DF107" s="24"/>
      <c r="DG107" s="24"/>
      <c r="DH107" s="24"/>
      <c r="DI107" s="24"/>
      <c r="DJ107" s="24"/>
      <c r="DK107" s="24"/>
      <c r="DL107" s="24"/>
      <c r="DM107" s="24"/>
      <c r="DN107" s="24"/>
      <c r="DO107" s="24"/>
      <c r="DP107" s="24"/>
      <c r="DQ107" s="24"/>
      <c r="DR107" s="24"/>
      <c r="DS107" s="24"/>
      <c r="DT107" s="24"/>
      <c r="DU107" s="24"/>
      <c r="DV107" s="24"/>
      <c r="DW107" s="24"/>
      <c r="DX107" s="24"/>
      <c r="DY107" s="24"/>
      <c r="DZ107" s="24"/>
      <c r="EA107" s="24"/>
    </row>
    <row r="108" spans="1:131">
      <c r="A108" s="24" t="s">
        <v>433</v>
      </c>
      <c r="B108" s="24"/>
      <c r="C108" s="45">
        <v>11.627906976744185</v>
      </c>
      <c r="D108" s="45">
        <v>3159.841836734694</v>
      </c>
      <c r="E108" s="45">
        <v>0</v>
      </c>
      <c r="F108" s="45">
        <v>984.136129944407</v>
      </c>
      <c r="G108" s="45">
        <v>0</v>
      </c>
      <c r="H108" s="45">
        <v>-63.7013755264041</v>
      </c>
      <c r="I108" s="45"/>
      <c r="J108" s="45"/>
      <c r="K108" s="45"/>
      <c r="L108" s="45">
        <v>3387.6594304155228</v>
      </c>
      <c r="M108" s="45">
        <v>0.7907296823799802</v>
      </c>
      <c r="N108" s="45">
        <v>0.7850225501302095</v>
      </c>
      <c r="O108" s="45">
        <v>0</v>
      </c>
      <c r="P108" s="45">
        <v>0</v>
      </c>
      <c r="Q108" s="45">
        <v>0</v>
      </c>
      <c r="R108" s="45">
        <v>196.24989089554438</v>
      </c>
      <c r="S108" s="45">
        <v>453.50364841969747</v>
      </c>
      <c r="T108" s="45">
        <v>0</v>
      </c>
      <c r="U108" s="45">
        <v>960.01957324519276</v>
      </c>
      <c r="V108" s="45">
        <v>59.048167796664423</v>
      </c>
      <c r="W108" s="45">
        <v>137.77905819221698</v>
      </c>
      <c r="X108" s="45">
        <v>0</v>
      </c>
      <c r="Y108" s="45">
        <v>0</v>
      </c>
      <c r="Z108" s="45">
        <v>0</v>
      </c>
      <c r="AA108" s="45">
        <v>0</v>
      </c>
      <c r="AB108" s="45">
        <v>0</v>
      </c>
      <c r="AC108" s="45">
        <v>0</v>
      </c>
      <c r="AD108" s="45">
        <v>0</v>
      </c>
      <c r="AE108" s="45">
        <v>0</v>
      </c>
      <c r="AF108" s="45">
        <v>0</v>
      </c>
      <c r="AG108" s="45">
        <v>-63.7013755264041</v>
      </c>
      <c r="AH108" s="45">
        <v>255.2980586922088</v>
      </c>
      <c r="AI108" s="45">
        <v>591.28270661191448</v>
      </c>
      <c r="AJ108" s="45">
        <v>0</v>
      </c>
      <c r="AK108" s="45">
        <v>896.31819771878861</v>
      </c>
      <c r="AL108" s="45">
        <v>1742.8989630229119</v>
      </c>
      <c r="AM108" s="45">
        <v>1623.7395084967363</v>
      </c>
      <c r="AN108" s="45">
        <v>279.40313528911093</v>
      </c>
      <c r="AO108" s="45">
        <v>0</v>
      </c>
      <c r="AP108" s="45">
        <v>0</v>
      </c>
      <c r="AQ108" s="45">
        <v>1903.1426437858472</v>
      </c>
      <c r="AR108" s="45">
        <v>255.2980586922088</v>
      </c>
      <c r="AS108" s="199">
        <v>7.4545911298146796</v>
      </c>
      <c r="AT108" s="45">
        <v>1623.7395084967363</v>
      </c>
      <c r="AU108" s="45">
        <v>330.73009197727737</v>
      </c>
      <c r="AV108" s="45">
        <v>0</v>
      </c>
      <c r="AW108" s="45">
        <v>0</v>
      </c>
      <c r="AX108" s="45">
        <v>1954.4696004740138</v>
      </c>
      <c r="AY108" s="45">
        <v>591.28270661191448</v>
      </c>
      <c r="AZ108" s="199">
        <v>3.3054739782146552</v>
      </c>
      <c r="BA108" s="45">
        <v>1623.7395084967363</v>
      </c>
      <c r="BB108" s="45">
        <v>610.1332272663883</v>
      </c>
      <c r="BC108" s="45">
        <v>0</v>
      </c>
      <c r="BD108" s="45">
        <v>0</v>
      </c>
      <c r="BE108" s="45">
        <v>2233.8727357631246</v>
      </c>
      <c r="BF108" s="45">
        <v>846.58076530412325</v>
      </c>
      <c r="BG108" s="45">
        <v>5.1357652878281117</v>
      </c>
      <c r="BH108" s="199">
        <v>2.6387000831050473</v>
      </c>
      <c r="BI108" s="45">
        <v>5.5452085429288802</v>
      </c>
      <c r="BJ108" s="45">
        <v>12.842972378193648</v>
      </c>
      <c r="BK108" s="45">
        <v>0</v>
      </c>
      <c r="BL108" s="45">
        <v>19.468504197147375</v>
      </c>
      <c r="BM108" s="45">
        <v>37.856685118269908</v>
      </c>
      <c r="BN108" s="45">
        <v>1623.7395084967363</v>
      </c>
      <c r="BO108" s="45">
        <v>0</v>
      </c>
      <c r="BP108" s="45">
        <v>610.1332272663883</v>
      </c>
      <c r="BQ108" s="45">
        <v>0</v>
      </c>
      <c r="BR108" s="45">
        <v>0</v>
      </c>
      <c r="BS108" s="45">
        <v>0</v>
      </c>
      <c r="BT108" s="45">
        <v>0</v>
      </c>
      <c r="BU108" s="45">
        <v>0</v>
      </c>
      <c r="BV108" s="45">
        <v>0</v>
      </c>
      <c r="BW108" s="45">
        <v>0</v>
      </c>
      <c r="BX108" s="45">
        <v>1609.7731125604346</v>
      </c>
      <c r="BY108" s="45">
        <v>196.82722598888142</v>
      </c>
      <c r="BZ108" s="45">
        <v>0</v>
      </c>
      <c r="CA108" s="45">
        <v>-63.7013755264041</v>
      </c>
      <c r="CB108" s="45">
        <v>2233.8727357631246</v>
      </c>
      <c r="CC108" s="45">
        <v>1742.8989630229121</v>
      </c>
      <c r="CD108" s="199">
        <v>1.2717666781433574</v>
      </c>
      <c r="CE108" s="45">
        <v>24.604269484975486</v>
      </c>
      <c r="CF108" s="45">
        <v>32.182849854666841</v>
      </c>
      <c r="CG108" s="45">
        <v>0</v>
      </c>
      <c r="CH108" s="45">
        <v>32.182849854666841</v>
      </c>
      <c r="CI108" s="45">
        <v>1.6091382294473737</v>
      </c>
      <c r="CJ108" s="45">
        <v>0</v>
      </c>
      <c r="CK108" s="45">
        <v>1.6091382294473737</v>
      </c>
      <c r="CL108" s="45"/>
      <c r="CM108" s="45">
        <v>0</v>
      </c>
      <c r="CN108" s="45"/>
      <c r="CO108" s="45">
        <v>0</v>
      </c>
      <c r="CP108" s="45">
        <v>0</v>
      </c>
      <c r="CQ108" s="45">
        <v>0</v>
      </c>
      <c r="CR108" s="45">
        <v>0</v>
      </c>
      <c r="CS108" s="45">
        <v>0</v>
      </c>
      <c r="CT108" s="45">
        <v>0</v>
      </c>
      <c r="CU108" s="45">
        <v>0</v>
      </c>
      <c r="CV108" s="45">
        <v>9999</v>
      </c>
      <c r="CW108" s="199">
        <v>9999</v>
      </c>
      <c r="CX108" s="24"/>
      <c r="CY108" s="24"/>
      <c r="CZ108" s="24"/>
      <c r="DA108" s="24"/>
      <c r="DB108" s="24"/>
      <c r="DC108" s="24"/>
      <c r="DD108" s="24"/>
      <c r="DE108" s="24"/>
      <c r="DF108" s="24"/>
      <c r="DG108" s="24"/>
      <c r="DH108" s="24"/>
      <c r="DI108" s="24"/>
      <c r="DJ108" s="24"/>
      <c r="DK108" s="24"/>
      <c r="DL108" s="24"/>
      <c r="DM108" s="24"/>
      <c r="DN108" s="24"/>
      <c r="DO108" s="24"/>
      <c r="DP108" s="24"/>
      <c r="DQ108" s="24"/>
      <c r="DR108" s="24"/>
      <c r="DS108" s="24"/>
      <c r="DT108" s="24"/>
      <c r="DU108" s="24"/>
      <c r="DV108" s="24"/>
      <c r="DW108" s="24"/>
      <c r="DX108" s="24"/>
      <c r="DY108" s="24"/>
      <c r="DZ108" s="24"/>
      <c r="EA108" s="24"/>
    </row>
    <row r="109" spans="1:131">
      <c r="A109" s="24" t="s">
        <v>434</v>
      </c>
      <c r="B109" s="24"/>
      <c r="C109" s="45">
        <v>11.627906976744185</v>
      </c>
      <c r="D109" s="45">
        <v>3159.841836734694</v>
      </c>
      <c r="E109" s="45">
        <v>0</v>
      </c>
      <c r="F109" s="45">
        <v>1014.9694632777404</v>
      </c>
      <c r="G109" s="45">
        <v>0</v>
      </c>
      <c r="H109" s="45">
        <v>-63.7013755264041</v>
      </c>
      <c r="I109" s="45"/>
      <c r="J109" s="45"/>
      <c r="K109" s="45"/>
      <c r="L109" s="45">
        <v>3387.6594304155228</v>
      </c>
      <c r="M109" s="45">
        <v>0.7907296823799802</v>
      </c>
      <c r="N109" s="45">
        <v>0.7850225501302095</v>
      </c>
      <c r="O109" s="45">
        <v>0</v>
      </c>
      <c r="P109" s="45">
        <v>0</v>
      </c>
      <c r="Q109" s="45">
        <v>0</v>
      </c>
      <c r="R109" s="45">
        <v>202.39846944936139</v>
      </c>
      <c r="S109" s="45">
        <v>467.71207826404958</v>
      </c>
      <c r="T109" s="45">
        <v>0</v>
      </c>
      <c r="U109" s="45">
        <v>990.09732631992802</v>
      </c>
      <c r="V109" s="45">
        <v>60.898167796664424</v>
      </c>
      <c r="W109" s="45">
        <v>142.09572485888364</v>
      </c>
      <c r="X109" s="45">
        <v>0</v>
      </c>
      <c r="Y109" s="45">
        <v>0</v>
      </c>
      <c r="Z109" s="45">
        <v>0</v>
      </c>
      <c r="AA109" s="45">
        <v>0</v>
      </c>
      <c r="AB109" s="45">
        <v>0</v>
      </c>
      <c r="AC109" s="45">
        <v>0</v>
      </c>
      <c r="AD109" s="45">
        <v>0</v>
      </c>
      <c r="AE109" s="45">
        <v>0</v>
      </c>
      <c r="AF109" s="45">
        <v>0</v>
      </c>
      <c r="AG109" s="45">
        <v>-63.7013755264041</v>
      </c>
      <c r="AH109" s="45">
        <v>263.2966372460258</v>
      </c>
      <c r="AI109" s="45">
        <v>609.80780312293325</v>
      </c>
      <c r="AJ109" s="45">
        <v>0</v>
      </c>
      <c r="AK109" s="45">
        <v>926.39595079352387</v>
      </c>
      <c r="AL109" s="45">
        <v>1799.5003911624831</v>
      </c>
      <c r="AM109" s="45">
        <v>1623.7395084967363</v>
      </c>
      <c r="AN109" s="45">
        <v>279.40313528911093</v>
      </c>
      <c r="AO109" s="45">
        <v>0</v>
      </c>
      <c r="AP109" s="45">
        <v>0</v>
      </c>
      <c r="AQ109" s="45">
        <v>1903.1426437858472</v>
      </c>
      <c r="AR109" s="45">
        <v>263.2966372460258</v>
      </c>
      <c r="AS109" s="199">
        <v>7.2281312199499927</v>
      </c>
      <c r="AT109" s="45">
        <v>1623.7395084967363</v>
      </c>
      <c r="AU109" s="45">
        <v>330.73009197727737</v>
      </c>
      <c r="AV109" s="45">
        <v>0</v>
      </c>
      <c r="AW109" s="45">
        <v>0</v>
      </c>
      <c r="AX109" s="45">
        <v>1954.4696004740138</v>
      </c>
      <c r="AY109" s="45">
        <v>609.80780312293325</v>
      </c>
      <c r="AZ109" s="199">
        <v>3.2050583650534321</v>
      </c>
      <c r="BA109" s="45">
        <v>1623.7395084967363</v>
      </c>
      <c r="BB109" s="45">
        <v>610.1332272663883</v>
      </c>
      <c r="BC109" s="45">
        <v>0</v>
      </c>
      <c r="BD109" s="45">
        <v>0</v>
      </c>
      <c r="BE109" s="45">
        <v>2233.8727357631246</v>
      </c>
      <c r="BF109" s="45">
        <v>873.10444036895899</v>
      </c>
      <c r="BG109" s="45">
        <v>5.7118735054652721</v>
      </c>
      <c r="BH109" s="199">
        <v>2.55854011556639</v>
      </c>
      <c r="BI109" s="45">
        <v>5.7189418895713127</v>
      </c>
      <c r="BJ109" s="45">
        <v>13.245347249188383</v>
      </c>
      <c r="BK109" s="45">
        <v>0</v>
      </c>
      <c r="BL109" s="45">
        <v>20.121808864470399</v>
      </c>
      <c r="BM109" s="45">
        <v>39.086098003230099</v>
      </c>
      <c r="BN109" s="45">
        <v>1623.7395084967363</v>
      </c>
      <c r="BO109" s="45">
        <v>0</v>
      </c>
      <c r="BP109" s="45">
        <v>610.1332272663883</v>
      </c>
      <c r="BQ109" s="45">
        <v>0</v>
      </c>
      <c r="BR109" s="45">
        <v>0</v>
      </c>
      <c r="BS109" s="45">
        <v>0</v>
      </c>
      <c r="BT109" s="45">
        <v>0</v>
      </c>
      <c r="BU109" s="45">
        <v>0</v>
      </c>
      <c r="BV109" s="45">
        <v>0</v>
      </c>
      <c r="BW109" s="45">
        <v>0</v>
      </c>
      <c r="BX109" s="45">
        <v>1660.2078740333391</v>
      </c>
      <c r="BY109" s="45">
        <v>202.99389265554808</v>
      </c>
      <c r="BZ109" s="45">
        <v>0</v>
      </c>
      <c r="CA109" s="45">
        <v>-63.7013755264041</v>
      </c>
      <c r="CB109" s="45">
        <v>2233.8727357631246</v>
      </c>
      <c r="CC109" s="45">
        <v>1799.5003911624831</v>
      </c>
      <c r="CD109" s="199">
        <v>1.2331322094936441</v>
      </c>
      <c r="CE109" s="45">
        <v>25.833682369935676</v>
      </c>
      <c r="CF109" s="45">
        <v>32.182849854666841</v>
      </c>
      <c r="CG109" s="45">
        <v>0</v>
      </c>
      <c r="CH109" s="45">
        <v>32.182849854666841</v>
      </c>
      <c r="CI109" s="45">
        <v>1.6091382294473737</v>
      </c>
      <c r="CJ109" s="45">
        <v>0</v>
      </c>
      <c r="CK109" s="45">
        <v>1.6091382294473737</v>
      </c>
      <c r="CL109" s="45"/>
      <c r="CM109" s="45">
        <v>0</v>
      </c>
      <c r="CN109" s="45"/>
      <c r="CO109" s="45">
        <v>0</v>
      </c>
      <c r="CP109" s="45">
        <v>0</v>
      </c>
      <c r="CQ109" s="45">
        <v>0</v>
      </c>
      <c r="CR109" s="45">
        <v>0</v>
      </c>
      <c r="CS109" s="45">
        <v>0</v>
      </c>
      <c r="CT109" s="45">
        <v>0</v>
      </c>
      <c r="CU109" s="45">
        <v>0</v>
      </c>
      <c r="CV109" s="45">
        <v>9999</v>
      </c>
      <c r="CW109" s="199">
        <v>9999</v>
      </c>
      <c r="CX109" s="24"/>
      <c r="CY109" s="24"/>
      <c r="CZ109" s="24"/>
      <c r="DA109" s="24"/>
      <c r="DB109" s="24"/>
      <c r="DC109" s="24"/>
      <c r="DD109" s="24"/>
      <c r="DE109" s="24"/>
      <c r="DF109" s="24"/>
      <c r="DG109" s="24"/>
      <c r="DH109" s="24"/>
      <c r="DI109" s="24"/>
      <c r="DJ109" s="24"/>
      <c r="DK109" s="24"/>
      <c r="DL109" s="24"/>
      <c r="DM109" s="24"/>
      <c r="DN109" s="24"/>
      <c r="DO109" s="24"/>
      <c r="DP109" s="24"/>
      <c r="DQ109" s="24"/>
      <c r="DR109" s="24"/>
      <c r="DS109" s="24"/>
      <c r="DT109" s="24"/>
      <c r="DU109" s="24"/>
      <c r="DV109" s="24"/>
      <c r="DW109" s="24"/>
      <c r="DX109" s="24"/>
      <c r="DY109" s="24"/>
      <c r="DZ109" s="24"/>
      <c r="EA109" s="24"/>
    </row>
    <row r="110" spans="1:131">
      <c r="A110" s="24" t="s">
        <v>427</v>
      </c>
      <c r="B110" s="24"/>
      <c r="C110" s="45">
        <v>11.627906976744185</v>
      </c>
      <c r="D110" s="45">
        <v>743.50510204081638</v>
      </c>
      <c r="E110" s="45">
        <v>0</v>
      </c>
      <c r="F110" s="45">
        <v>260.08403248610176</v>
      </c>
      <c r="G110" s="45">
        <v>0</v>
      </c>
      <c r="H110" s="45">
        <v>-31.892806128994682</v>
      </c>
      <c r="I110" s="45"/>
      <c r="J110" s="45"/>
      <c r="K110" s="45"/>
      <c r="L110" s="45">
        <v>797.11017216400808</v>
      </c>
      <c r="M110" s="45">
        <v>0.18605727234504985</v>
      </c>
      <c r="N110" s="45">
        <v>0.18471439438945222</v>
      </c>
      <c r="O110" s="45">
        <v>0</v>
      </c>
      <c r="P110" s="45">
        <v>0</v>
      </c>
      <c r="Q110" s="45">
        <v>0</v>
      </c>
      <c r="R110" s="45">
        <v>51.864230410841614</v>
      </c>
      <c r="S110" s="45">
        <v>119.85034797453999</v>
      </c>
      <c r="T110" s="45">
        <v>0</v>
      </c>
      <c r="U110" s="45">
        <v>253.71059376643433</v>
      </c>
      <c r="V110" s="45">
        <v>15.605041949166106</v>
      </c>
      <c r="W110" s="45">
        <v>36.411764548054244</v>
      </c>
      <c r="X110" s="45">
        <v>0</v>
      </c>
      <c r="Y110" s="45">
        <v>0</v>
      </c>
      <c r="Z110" s="45">
        <v>0</v>
      </c>
      <c r="AA110" s="45">
        <v>0</v>
      </c>
      <c r="AB110" s="45">
        <v>0</v>
      </c>
      <c r="AC110" s="45">
        <v>0</v>
      </c>
      <c r="AD110" s="45">
        <v>0</v>
      </c>
      <c r="AE110" s="45">
        <v>0</v>
      </c>
      <c r="AF110" s="45">
        <v>0</v>
      </c>
      <c r="AG110" s="45">
        <v>-31.892806128994682</v>
      </c>
      <c r="AH110" s="45">
        <v>67.469272360007722</v>
      </c>
      <c r="AI110" s="45">
        <v>156.26211252259424</v>
      </c>
      <c r="AJ110" s="45">
        <v>0</v>
      </c>
      <c r="AK110" s="45">
        <v>221.81778763743964</v>
      </c>
      <c r="AL110" s="45">
        <v>445.54917252004157</v>
      </c>
      <c r="AM110" s="45">
        <v>382.06298648166677</v>
      </c>
      <c r="AN110" s="45">
        <v>65.743055300617698</v>
      </c>
      <c r="AO110" s="45">
        <v>0</v>
      </c>
      <c r="AP110" s="45">
        <v>0</v>
      </c>
      <c r="AQ110" s="45">
        <v>447.80604178228447</v>
      </c>
      <c r="AR110" s="45">
        <v>67.469272360007722</v>
      </c>
      <c r="AS110" s="199">
        <v>6.6371849898253918</v>
      </c>
      <c r="AT110" s="45">
        <v>382.06298648166677</v>
      </c>
      <c r="AU110" s="45">
        <v>77.820195911337436</v>
      </c>
      <c r="AV110" s="45">
        <v>0</v>
      </c>
      <c r="AW110" s="45">
        <v>0</v>
      </c>
      <c r="AX110" s="45">
        <v>459.88318239300418</v>
      </c>
      <c r="AY110" s="45">
        <v>156.26211252259424</v>
      </c>
      <c r="AZ110" s="199">
        <v>2.9430242236518387</v>
      </c>
      <c r="BA110" s="45">
        <v>382.06298648166677</v>
      </c>
      <c r="BB110" s="45">
        <v>143.56325121195513</v>
      </c>
      <c r="BC110" s="45">
        <v>0</v>
      </c>
      <c r="BD110" s="45">
        <v>0</v>
      </c>
      <c r="BE110" s="45">
        <v>525.62623769362187</v>
      </c>
      <c r="BF110" s="45">
        <v>223.73138488260196</v>
      </c>
      <c r="BG110" s="45">
        <v>7.4003717454153373</v>
      </c>
      <c r="BH110" s="199">
        <v>2.3493630004991588</v>
      </c>
      <c r="BI110" s="45">
        <v>6.2281317276012418</v>
      </c>
      <c r="BJ110" s="45">
        <v>14.424655651108509</v>
      </c>
      <c r="BK110" s="45">
        <v>0</v>
      </c>
      <c r="BL110" s="45">
        <v>20.476141991860878</v>
      </c>
      <c r="BM110" s="45">
        <v>41.128929370570624</v>
      </c>
      <c r="BN110" s="45">
        <v>382.06298648166677</v>
      </c>
      <c r="BO110" s="45">
        <v>0</v>
      </c>
      <c r="BP110" s="45">
        <v>143.56325121195513</v>
      </c>
      <c r="BQ110" s="45">
        <v>0</v>
      </c>
      <c r="BR110" s="45">
        <v>0</v>
      </c>
      <c r="BS110" s="45">
        <v>0</v>
      </c>
      <c r="BT110" s="45">
        <v>0</v>
      </c>
      <c r="BU110" s="45">
        <v>0</v>
      </c>
      <c r="BV110" s="45">
        <v>0</v>
      </c>
      <c r="BW110" s="45">
        <v>0</v>
      </c>
      <c r="BX110" s="45">
        <v>425.4251721518159</v>
      </c>
      <c r="BY110" s="45">
        <v>52.016806497220358</v>
      </c>
      <c r="BZ110" s="45">
        <v>0</v>
      </c>
      <c r="CA110" s="45">
        <v>-31.892806128994682</v>
      </c>
      <c r="CB110" s="45">
        <v>525.62623769362187</v>
      </c>
      <c r="CC110" s="45">
        <v>445.54917252004157</v>
      </c>
      <c r="CD110" s="199">
        <v>1.1677210399474411</v>
      </c>
      <c r="CE110" s="45">
        <v>27.876513737276213</v>
      </c>
      <c r="CF110" s="45">
        <v>7.5725666984285294</v>
      </c>
      <c r="CG110" s="45">
        <v>0</v>
      </c>
      <c r="CH110" s="45">
        <v>7.5725666984285294</v>
      </c>
      <c r="CI110" s="45">
        <v>0.37862733177790386</v>
      </c>
      <c r="CJ110" s="45">
        <v>0</v>
      </c>
      <c r="CK110" s="45">
        <v>0.37862733177790386</v>
      </c>
      <c r="CL110" s="45"/>
      <c r="CM110" s="45">
        <v>0</v>
      </c>
      <c r="CN110" s="45"/>
      <c r="CO110" s="45">
        <v>0</v>
      </c>
      <c r="CP110" s="45">
        <v>0</v>
      </c>
      <c r="CQ110" s="45">
        <v>0</v>
      </c>
      <c r="CR110" s="45">
        <v>0</v>
      </c>
      <c r="CS110" s="45">
        <v>0</v>
      </c>
      <c r="CT110" s="45">
        <v>0</v>
      </c>
      <c r="CU110" s="45">
        <v>0</v>
      </c>
      <c r="CV110" s="45">
        <v>9999</v>
      </c>
      <c r="CW110" s="199">
        <v>9999</v>
      </c>
      <c r="CX110" s="24"/>
      <c r="CY110" s="24"/>
      <c r="CZ110" s="24"/>
      <c r="DA110" s="24"/>
      <c r="DB110" s="24"/>
      <c r="DC110" s="24"/>
      <c r="DD110" s="24"/>
      <c r="DE110" s="24"/>
      <c r="DF110" s="24"/>
      <c r="DG110" s="24"/>
      <c r="DH110" s="24"/>
      <c r="DI110" s="24"/>
      <c r="DJ110" s="24"/>
      <c r="DK110" s="24"/>
      <c r="DL110" s="24"/>
      <c r="DM110" s="24"/>
      <c r="DN110" s="24"/>
      <c r="DO110" s="24"/>
      <c r="DP110" s="24"/>
      <c r="DQ110" s="24"/>
      <c r="DR110" s="24"/>
      <c r="DS110" s="24"/>
      <c r="DT110" s="24"/>
      <c r="DU110" s="24"/>
      <c r="DV110" s="24"/>
      <c r="DW110" s="24"/>
      <c r="DX110" s="24"/>
      <c r="DY110" s="24"/>
      <c r="DZ110" s="24"/>
      <c r="EA110" s="24"/>
    </row>
    <row r="111" spans="1:131">
      <c r="A111" s="24" t="s">
        <v>431</v>
      </c>
      <c r="B111" s="24"/>
      <c r="C111" s="45">
        <v>11.627906976744185</v>
      </c>
      <c r="D111" s="45">
        <v>743.50510204081638</v>
      </c>
      <c r="E111" s="45">
        <v>0</v>
      </c>
      <c r="F111" s="45">
        <v>285.91736581943508</v>
      </c>
      <c r="G111" s="45">
        <v>0</v>
      </c>
      <c r="H111" s="45">
        <v>-31.892806128994682</v>
      </c>
      <c r="I111" s="45"/>
      <c r="J111" s="45"/>
      <c r="K111" s="45"/>
      <c r="L111" s="45">
        <v>797.11017216400808</v>
      </c>
      <c r="M111" s="45">
        <v>0.18605727234504985</v>
      </c>
      <c r="N111" s="45">
        <v>0.18471439438945222</v>
      </c>
      <c r="O111" s="45">
        <v>0</v>
      </c>
      <c r="P111" s="45">
        <v>0</v>
      </c>
      <c r="Q111" s="45">
        <v>0</v>
      </c>
      <c r="R111" s="45">
        <v>57.015742172147732</v>
      </c>
      <c r="S111" s="45">
        <v>131.75470811440258</v>
      </c>
      <c r="T111" s="45">
        <v>0</v>
      </c>
      <c r="U111" s="45">
        <v>278.91087336959083</v>
      </c>
      <c r="V111" s="45">
        <v>17.155041949166105</v>
      </c>
      <c r="W111" s="45">
        <v>40.028431214720911</v>
      </c>
      <c r="X111" s="45">
        <v>0</v>
      </c>
      <c r="Y111" s="45">
        <v>0</v>
      </c>
      <c r="Z111" s="45">
        <v>0</v>
      </c>
      <c r="AA111" s="45">
        <v>0</v>
      </c>
      <c r="AB111" s="45">
        <v>0</v>
      </c>
      <c r="AC111" s="45">
        <v>0</v>
      </c>
      <c r="AD111" s="45">
        <v>0</v>
      </c>
      <c r="AE111" s="45">
        <v>0</v>
      </c>
      <c r="AF111" s="45">
        <v>0</v>
      </c>
      <c r="AG111" s="45">
        <v>-31.892806128994682</v>
      </c>
      <c r="AH111" s="45">
        <v>74.170784121313829</v>
      </c>
      <c r="AI111" s="45">
        <v>171.78313932912349</v>
      </c>
      <c r="AJ111" s="45">
        <v>0</v>
      </c>
      <c r="AK111" s="45">
        <v>247.01806724059614</v>
      </c>
      <c r="AL111" s="45">
        <v>492.97199069103345</v>
      </c>
      <c r="AM111" s="45">
        <v>382.06298648166677</v>
      </c>
      <c r="AN111" s="45">
        <v>65.743055300617698</v>
      </c>
      <c r="AO111" s="45">
        <v>0</v>
      </c>
      <c r="AP111" s="45">
        <v>0</v>
      </c>
      <c r="AQ111" s="45">
        <v>447.80604178228447</v>
      </c>
      <c r="AR111" s="45">
        <v>74.170784121313829</v>
      </c>
      <c r="AS111" s="199">
        <v>6.037499091958531</v>
      </c>
      <c r="AT111" s="45">
        <v>382.06298648166677</v>
      </c>
      <c r="AU111" s="45">
        <v>77.820195911337436</v>
      </c>
      <c r="AV111" s="45">
        <v>0</v>
      </c>
      <c r="AW111" s="45">
        <v>0</v>
      </c>
      <c r="AX111" s="45">
        <v>459.88318239300418</v>
      </c>
      <c r="AY111" s="45">
        <v>171.78313932912349</v>
      </c>
      <c r="AZ111" s="199">
        <v>2.6771147866374871</v>
      </c>
      <c r="BA111" s="45">
        <v>382.06298648166677</v>
      </c>
      <c r="BB111" s="45">
        <v>143.56325121195513</v>
      </c>
      <c r="BC111" s="45">
        <v>0</v>
      </c>
      <c r="BD111" s="45">
        <v>0</v>
      </c>
      <c r="BE111" s="45">
        <v>525.62623769362187</v>
      </c>
      <c r="BF111" s="45">
        <v>245.95392345043732</v>
      </c>
      <c r="BG111" s="45">
        <v>9.4517485082128658</v>
      </c>
      <c r="BH111" s="199">
        <v>2.13709230704564</v>
      </c>
      <c r="BI111" s="45">
        <v>6.8467525688158206</v>
      </c>
      <c r="BJ111" s="45">
        <v>15.857411572691465</v>
      </c>
      <c r="BK111" s="45">
        <v>0</v>
      </c>
      <c r="BL111" s="45">
        <v>22.802395936076728</v>
      </c>
      <c r="BM111" s="45">
        <v>45.506560077584012</v>
      </c>
      <c r="BN111" s="45">
        <v>382.06298648166677</v>
      </c>
      <c r="BO111" s="45">
        <v>0</v>
      </c>
      <c r="BP111" s="45">
        <v>143.56325121195513</v>
      </c>
      <c r="BQ111" s="45">
        <v>0</v>
      </c>
      <c r="BR111" s="45">
        <v>0</v>
      </c>
      <c r="BS111" s="45">
        <v>0</v>
      </c>
      <c r="BT111" s="45">
        <v>0</v>
      </c>
      <c r="BU111" s="45">
        <v>0</v>
      </c>
      <c r="BV111" s="45">
        <v>0</v>
      </c>
      <c r="BW111" s="45">
        <v>0</v>
      </c>
      <c r="BX111" s="45">
        <v>467.6813236561411</v>
      </c>
      <c r="BY111" s="45">
        <v>57.183473163887015</v>
      </c>
      <c r="BZ111" s="45">
        <v>0</v>
      </c>
      <c r="CA111" s="45">
        <v>-31.892806128994682</v>
      </c>
      <c r="CB111" s="45">
        <v>525.62623769362187</v>
      </c>
      <c r="CC111" s="45">
        <v>492.97199069103345</v>
      </c>
      <c r="CD111" s="199">
        <v>1.0622145878337224</v>
      </c>
      <c r="CE111" s="45">
        <v>32.254144444289594</v>
      </c>
      <c r="CF111" s="45">
        <v>7.5725666984285294</v>
      </c>
      <c r="CG111" s="45">
        <v>0</v>
      </c>
      <c r="CH111" s="45">
        <v>7.5725666984285294</v>
      </c>
      <c r="CI111" s="45">
        <v>0.37862733177790386</v>
      </c>
      <c r="CJ111" s="45">
        <v>0</v>
      </c>
      <c r="CK111" s="45">
        <v>0.37862733177790386</v>
      </c>
      <c r="CL111" s="45"/>
      <c r="CM111" s="45">
        <v>0</v>
      </c>
      <c r="CN111" s="45"/>
      <c r="CO111" s="45">
        <v>0</v>
      </c>
      <c r="CP111" s="45">
        <v>0</v>
      </c>
      <c r="CQ111" s="45">
        <v>0</v>
      </c>
      <c r="CR111" s="45">
        <v>0</v>
      </c>
      <c r="CS111" s="45">
        <v>0</v>
      </c>
      <c r="CT111" s="45">
        <v>0</v>
      </c>
      <c r="CU111" s="45">
        <v>0</v>
      </c>
      <c r="CV111" s="45">
        <v>9999</v>
      </c>
      <c r="CW111" s="199">
        <v>9999</v>
      </c>
      <c r="CX111" s="24"/>
      <c r="CY111" s="24"/>
      <c r="CZ111" s="24"/>
      <c r="DA111" s="24"/>
      <c r="DB111" s="24"/>
      <c r="DC111" s="24"/>
      <c r="DD111" s="24"/>
      <c r="DE111" s="24"/>
      <c r="DF111" s="24"/>
      <c r="DG111" s="24"/>
      <c r="DH111" s="24"/>
      <c r="DI111" s="24"/>
      <c r="DJ111" s="24"/>
      <c r="DK111" s="24"/>
      <c r="DL111" s="24"/>
      <c r="DM111" s="24"/>
      <c r="DN111" s="24"/>
      <c r="DO111" s="24"/>
      <c r="DP111" s="24"/>
      <c r="DQ111" s="24"/>
      <c r="DR111" s="24"/>
      <c r="DS111" s="24"/>
      <c r="DT111" s="24"/>
      <c r="DU111" s="24"/>
      <c r="DV111" s="24"/>
      <c r="DW111" s="24"/>
      <c r="DX111" s="24"/>
      <c r="DY111" s="24"/>
      <c r="DZ111" s="24"/>
      <c r="EA111" s="24"/>
    </row>
    <row r="112" spans="1:131">
      <c r="A112" s="24" t="s">
        <v>436</v>
      </c>
      <c r="B112" s="24"/>
      <c r="C112" s="45">
        <v>6.6762790697674417</v>
      </c>
      <c r="D112" s="45">
        <v>68.226666666666659</v>
      </c>
      <c r="E112" s="45">
        <v>0</v>
      </c>
      <c r="F112" s="45">
        <v>30.451059986919489</v>
      </c>
      <c r="G112" s="45">
        <v>0</v>
      </c>
      <c r="H112" s="45">
        <v>-38.781804660785241</v>
      </c>
      <c r="I112" s="45"/>
      <c r="J112" s="45"/>
      <c r="K112" s="45"/>
      <c r="L112" s="45">
        <v>73.145658131418585</v>
      </c>
      <c r="M112" s="45">
        <v>1.7073275578542112E-2</v>
      </c>
      <c r="N112" s="45">
        <v>1.6950048331816986E-2</v>
      </c>
      <c r="O112" s="45">
        <v>0</v>
      </c>
      <c r="P112" s="45">
        <v>0</v>
      </c>
      <c r="Q112" s="45">
        <v>0</v>
      </c>
      <c r="R112" s="45">
        <v>6.0723481419427285</v>
      </c>
      <c r="S112" s="45">
        <v>14.032272957090957</v>
      </c>
      <c r="T112" s="45">
        <v>0</v>
      </c>
      <c r="U112" s="45">
        <v>60.867325909236541</v>
      </c>
      <c r="V112" s="45">
        <v>1.8270635992151694</v>
      </c>
      <c r="W112" s="45">
        <v>4.2631483981687284</v>
      </c>
      <c r="X112" s="45">
        <v>0</v>
      </c>
      <c r="Y112" s="45">
        <v>0</v>
      </c>
      <c r="Z112" s="45">
        <v>0</v>
      </c>
      <c r="AA112" s="45">
        <v>0</v>
      </c>
      <c r="AB112" s="45">
        <v>0</v>
      </c>
      <c r="AC112" s="45">
        <v>0</v>
      </c>
      <c r="AD112" s="45">
        <v>0</v>
      </c>
      <c r="AE112" s="45">
        <v>0</v>
      </c>
      <c r="AF112" s="45">
        <v>0</v>
      </c>
      <c r="AG112" s="45">
        <v>-38.781804660785241</v>
      </c>
      <c r="AH112" s="45">
        <v>7.8994117411578983</v>
      </c>
      <c r="AI112" s="45">
        <v>18.295421355259684</v>
      </c>
      <c r="AJ112" s="45">
        <v>0</v>
      </c>
      <c r="AK112" s="45">
        <v>22.0855212484513</v>
      </c>
      <c r="AL112" s="45">
        <v>48.28035434486889</v>
      </c>
      <c r="AM112" s="45">
        <v>35.059455480272995</v>
      </c>
      <c r="AN112" s="45">
        <v>6.0328160591388107</v>
      </c>
      <c r="AO112" s="45">
        <v>0</v>
      </c>
      <c r="AP112" s="45">
        <v>0</v>
      </c>
      <c r="AQ112" s="45">
        <v>41.092271539411804</v>
      </c>
      <c r="AR112" s="45">
        <v>7.8994117411578983</v>
      </c>
      <c r="AS112" s="199">
        <v>5.2019407122825179</v>
      </c>
      <c r="AT112" s="45">
        <v>35.059455480272995</v>
      </c>
      <c r="AU112" s="45">
        <v>7.141057340163405</v>
      </c>
      <c r="AV112" s="45">
        <v>0</v>
      </c>
      <c r="AW112" s="45">
        <v>0</v>
      </c>
      <c r="AX112" s="45">
        <v>42.200512820436401</v>
      </c>
      <c r="AY112" s="45">
        <v>18.295421355259684</v>
      </c>
      <c r="AZ112" s="199">
        <v>2.306616065352566</v>
      </c>
      <c r="BA112" s="45">
        <v>35.059455480272995</v>
      </c>
      <c r="BB112" s="45">
        <v>13.173873399302217</v>
      </c>
      <c r="BC112" s="45">
        <v>0</v>
      </c>
      <c r="BD112" s="45">
        <v>0</v>
      </c>
      <c r="BE112" s="45">
        <v>48.233328879575211</v>
      </c>
      <c r="BF112" s="45">
        <v>26.194833096417582</v>
      </c>
      <c r="BG112" s="45">
        <v>13.09859026424895</v>
      </c>
      <c r="BH112" s="199">
        <v>1.841329879905653</v>
      </c>
      <c r="BI112" s="45">
        <v>7.9465077945788778</v>
      </c>
      <c r="BJ112" s="45">
        <v>18.404498102964489</v>
      </c>
      <c r="BK112" s="45">
        <v>0</v>
      </c>
      <c r="BL112" s="45">
        <v>22.217194456866029</v>
      </c>
      <c r="BM112" s="45">
        <v>48.568200354409399</v>
      </c>
      <c r="BN112" s="45">
        <v>35.059455480272995</v>
      </c>
      <c r="BO112" s="45">
        <v>0</v>
      </c>
      <c r="BP112" s="45">
        <v>13.173873399302217</v>
      </c>
      <c r="BQ112" s="45">
        <v>0</v>
      </c>
      <c r="BR112" s="45">
        <v>0</v>
      </c>
      <c r="BS112" s="45">
        <v>0</v>
      </c>
      <c r="BT112" s="45">
        <v>0</v>
      </c>
      <c r="BU112" s="45">
        <v>0</v>
      </c>
      <c r="BV112" s="45">
        <v>0</v>
      </c>
      <c r="BW112" s="45">
        <v>0</v>
      </c>
      <c r="BX112" s="45">
        <v>80.971947008270234</v>
      </c>
      <c r="BY112" s="45">
        <v>6.0902119973838982</v>
      </c>
      <c r="BZ112" s="45">
        <v>0</v>
      </c>
      <c r="CA112" s="45">
        <v>-38.781804660785241</v>
      </c>
      <c r="CB112" s="45">
        <v>48.233328879575211</v>
      </c>
      <c r="CC112" s="45">
        <v>48.28035434486889</v>
      </c>
      <c r="CD112" s="200">
        <v>0.99945986332258718</v>
      </c>
      <c r="CE112" s="45">
        <v>35.315784721114987</v>
      </c>
      <c r="CF112" s="45">
        <v>0.69488559328866673</v>
      </c>
      <c r="CG112" s="45">
        <v>0</v>
      </c>
      <c r="CH112" s="45">
        <v>0.69488559328866673</v>
      </c>
      <c r="CI112" s="45">
        <v>3.4744187612423837E-2</v>
      </c>
      <c r="CJ112" s="45">
        <v>0</v>
      </c>
      <c r="CK112" s="45">
        <v>3.4744187612423837E-2</v>
      </c>
      <c r="CL112" s="45"/>
      <c r="CM112" s="45">
        <v>0</v>
      </c>
      <c r="CN112" s="45"/>
      <c r="CO112" s="45">
        <v>0</v>
      </c>
      <c r="CP112" s="45">
        <v>0</v>
      </c>
      <c r="CQ112" s="45">
        <v>0</v>
      </c>
      <c r="CR112" s="45">
        <v>0</v>
      </c>
      <c r="CS112" s="45">
        <v>0</v>
      </c>
      <c r="CT112" s="45">
        <v>0</v>
      </c>
      <c r="CU112" s="45">
        <v>0</v>
      </c>
      <c r="CV112" s="45">
        <v>9999</v>
      </c>
      <c r="CW112" s="199">
        <v>9999</v>
      </c>
      <c r="CX112" s="24"/>
      <c r="CY112" s="24"/>
      <c r="CZ112" s="24"/>
      <c r="DA112" s="24"/>
      <c r="DB112" s="24"/>
      <c r="DC112" s="24"/>
      <c r="DD112" s="24"/>
      <c r="DE112" s="24"/>
      <c r="DF112" s="24"/>
      <c r="DG112" s="24"/>
      <c r="DH112" s="24"/>
      <c r="DI112" s="24"/>
      <c r="DJ112" s="24"/>
      <c r="DK112" s="24"/>
      <c r="DL112" s="24"/>
      <c r="DM112" s="24"/>
      <c r="DN112" s="24"/>
      <c r="DO112" s="24"/>
      <c r="DP112" s="24"/>
      <c r="DQ112" s="24"/>
      <c r="DR112" s="24"/>
      <c r="DS112" s="24"/>
      <c r="DT112" s="24"/>
      <c r="DU112" s="24"/>
      <c r="DV112" s="24"/>
      <c r="DW112" s="24"/>
      <c r="DX112" s="24"/>
      <c r="DY112" s="24"/>
      <c r="DZ112" s="24"/>
      <c r="EA112" s="24"/>
    </row>
    <row r="113" spans="1:131">
      <c r="A113" s="24"/>
      <c r="B113" s="24"/>
      <c r="C113" s="45"/>
      <c r="D113" s="45"/>
      <c r="E113" s="45"/>
      <c r="F113" s="45"/>
      <c r="G113" s="45"/>
      <c r="H113" s="45"/>
      <c r="I113" s="45"/>
      <c r="J113" s="45"/>
      <c r="K113" s="45"/>
      <c r="L113" s="45"/>
      <c r="M113" s="45"/>
      <c r="N113" s="45"/>
      <c r="O113" s="45"/>
      <c r="P113" s="45"/>
      <c r="Q113" s="45"/>
      <c r="R113" s="45"/>
      <c r="S113" s="45"/>
      <c r="T113" s="45"/>
      <c r="U113" s="45"/>
      <c r="V113" s="45"/>
      <c r="W113" s="45"/>
      <c r="X113" s="45"/>
      <c r="Y113" s="45"/>
      <c r="Z113" s="45"/>
      <c r="AA113" s="45"/>
      <c r="AB113" s="45"/>
      <c r="AC113" s="45"/>
      <c r="AD113" s="45"/>
      <c r="AE113" s="45"/>
      <c r="AF113" s="45"/>
      <c r="AG113" s="45"/>
      <c r="AH113" s="45"/>
      <c r="AI113" s="45"/>
      <c r="AJ113" s="45"/>
      <c r="AK113" s="45"/>
      <c r="AL113" s="45"/>
      <c r="AM113" s="45"/>
      <c r="AN113" s="45"/>
      <c r="AO113" s="45"/>
      <c r="AP113" s="45"/>
      <c r="AQ113" s="45"/>
      <c r="AR113" s="45"/>
      <c r="AS113" s="45"/>
      <c r="AT113" s="45"/>
      <c r="AU113" s="45"/>
      <c r="AV113" s="45"/>
      <c r="AW113" s="45"/>
      <c r="AX113" s="45"/>
      <c r="AY113" s="45"/>
      <c r="AZ113" s="45"/>
      <c r="BA113" s="45"/>
      <c r="BB113" s="45"/>
      <c r="BC113" s="45"/>
      <c r="BD113" s="45"/>
      <c r="BE113" s="45"/>
      <c r="BF113" s="45"/>
      <c r="BG113" s="45"/>
      <c r="BH113" s="45"/>
      <c r="BI113" s="45"/>
      <c r="BJ113" s="45"/>
      <c r="BK113" s="45"/>
      <c r="BL113" s="45"/>
      <c r="BM113" s="45"/>
      <c r="BN113" s="45"/>
      <c r="BO113" s="45"/>
      <c r="BP113" s="45"/>
      <c r="BQ113" s="45"/>
      <c r="BR113" s="45"/>
      <c r="BS113" s="45"/>
      <c r="BT113" s="45"/>
      <c r="BU113" s="45"/>
      <c r="BV113" s="45"/>
      <c r="BW113" s="45"/>
      <c r="BX113" s="45"/>
      <c r="BY113" s="45"/>
      <c r="BZ113" s="45"/>
      <c r="CA113" s="45"/>
      <c r="CB113" s="45"/>
      <c r="CC113" s="45"/>
      <c r="CD113" s="45"/>
      <c r="CE113" s="45"/>
      <c r="CF113" s="45"/>
      <c r="CG113" s="45"/>
      <c r="CH113" s="45"/>
      <c r="CI113" s="45"/>
      <c r="CJ113" s="45"/>
      <c r="CK113" s="45"/>
      <c r="CL113" s="45"/>
      <c r="CM113" s="45"/>
      <c r="CN113" s="45"/>
      <c r="CO113" s="45"/>
      <c r="CP113" s="45"/>
      <c r="CQ113" s="45"/>
      <c r="CR113" s="45"/>
      <c r="CS113" s="45"/>
      <c r="CT113" s="45"/>
      <c r="CU113" s="45"/>
      <c r="CV113" s="45"/>
      <c r="CW113" s="45"/>
      <c r="CX113" s="24"/>
      <c r="CY113" s="24"/>
      <c r="CZ113" s="24"/>
      <c r="DA113" s="24"/>
      <c r="DB113" s="24"/>
      <c r="DC113" s="24"/>
      <c r="DD113" s="24"/>
      <c r="DE113" s="24"/>
      <c r="DF113" s="24"/>
      <c r="DG113" s="24"/>
      <c r="DH113" s="24"/>
      <c r="DI113" s="24"/>
      <c r="DJ113" s="24"/>
      <c r="DK113" s="24"/>
      <c r="DL113" s="24"/>
      <c r="DM113" s="24"/>
      <c r="DN113" s="24"/>
      <c r="DO113" s="24"/>
      <c r="DP113" s="24"/>
      <c r="DQ113" s="24"/>
      <c r="DR113" s="24"/>
      <c r="DS113" s="24"/>
      <c r="DT113" s="24"/>
      <c r="DU113" s="24"/>
      <c r="DV113" s="24"/>
      <c r="DW113" s="24"/>
      <c r="DX113" s="24"/>
      <c r="DY113" s="24"/>
      <c r="DZ113" s="24"/>
      <c r="EA113" s="24"/>
    </row>
    <row r="114" spans="1:131">
      <c r="A114" s="24"/>
      <c r="B114" s="24"/>
      <c r="C114" s="45"/>
      <c r="D114" s="45"/>
      <c r="E114" s="45"/>
      <c r="F114" s="45"/>
      <c r="G114" s="45"/>
      <c r="H114" s="45"/>
      <c r="I114" s="45"/>
      <c r="J114" s="45"/>
      <c r="K114" s="45"/>
      <c r="L114" s="45"/>
      <c r="M114" s="45"/>
      <c r="N114" s="45"/>
      <c r="O114" s="45"/>
      <c r="P114" s="45"/>
      <c r="Q114" s="45"/>
      <c r="R114" s="45"/>
      <c r="S114" s="45"/>
      <c r="T114" s="45"/>
      <c r="U114" s="45"/>
      <c r="V114" s="45"/>
      <c r="W114" s="45"/>
      <c r="X114" s="45"/>
      <c r="Y114" s="45"/>
      <c r="Z114" s="45"/>
      <c r="AA114" s="45"/>
      <c r="AB114" s="45"/>
      <c r="AC114" s="45"/>
      <c r="AD114" s="45"/>
      <c r="AE114" s="45"/>
      <c r="AF114" s="45"/>
      <c r="AG114" s="45"/>
      <c r="AH114" s="45"/>
      <c r="AI114" s="45"/>
      <c r="AJ114" s="45"/>
      <c r="AK114" s="45"/>
      <c r="AL114" s="45"/>
      <c r="AM114" s="45"/>
      <c r="AN114" s="45"/>
      <c r="AO114" s="45"/>
      <c r="AP114" s="45"/>
      <c r="AQ114" s="45"/>
      <c r="AR114" s="45"/>
      <c r="AS114" s="45"/>
      <c r="AT114" s="45"/>
      <c r="AU114" s="45"/>
      <c r="AV114" s="45"/>
      <c r="AW114" s="45"/>
      <c r="AX114" s="45"/>
      <c r="AY114" s="45"/>
      <c r="AZ114" s="45"/>
      <c r="BA114" s="45"/>
      <c r="BB114" s="45"/>
      <c r="BC114" s="45"/>
      <c r="BD114" s="45"/>
      <c r="BE114" s="45"/>
      <c r="BF114" s="45"/>
      <c r="BG114" s="45"/>
      <c r="BH114" s="45"/>
      <c r="BI114" s="45"/>
      <c r="BJ114" s="45"/>
      <c r="BK114" s="45"/>
      <c r="BL114" s="45"/>
      <c r="BM114" s="45"/>
      <c r="BN114" s="45"/>
      <c r="BO114" s="45"/>
      <c r="BP114" s="45"/>
      <c r="BQ114" s="45"/>
      <c r="BR114" s="45"/>
      <c r="BS114" s="45"/>
      <c r="BT114" s="45"/>
      <c r="BU114" s="45"/>
      <c r="BV114" s="45"/>
      <c r="BW114" s="45"/>
      <c r="BX114" s="45"/>
      <c r="BY114" s="45"/>
      <c r="BZ114" s="45"/>
      <c r="CA114" s="45"/>
      <c r="CB114" s="45"/>
      <c r="CC114" s="45"/>
      <c r="CD114" s="45"/>
      <c r="CE114" s="45"/>
      <c r="CF114" s="45"/>
      <c r="CG114" s="45"/>
      <c r="CH114" s="45"/>
      <c r="CI114" s="45"/>
      <c r="CJ114" s="45"/>
      <c r="CK114" s="45"/>
      <c r="CL114" s="45"/>
      <c r="CM114" s="45"/>
      <c r="CN114" s="45"/>
      <c r="CO114" s="45"/>
      <c r="CP114" s="45"/>
      <c r="CQ114" s="45"/>
      <c r="CR114" s="45"/>
      <c r="CS114" s="45"/>
      <c r="CT114" s="45"/>
      <c r="CU114" s="45"/>
      <c r="CV114" s="45"/>
      <c r="CW114" s="45"/>
      <c r="CX114" s="24"/>
      <c r="CY114" s="24"/>
      <c r="CZ114" s="24"/>
      <c r="DA114" s="24"/>
      <c r="DB114" s="24"/>
      <c r="DC114" s="24"/>
      <c r="DD114" s="24"/>
      <c r="DE114" s="24"/>
      <c r="DF114" s="24"/>
      <c r="DG114" s="24"/>
      <c r="DH114" s="24"/>
      <c r="DI114" s="24"/>
      <c r="DJ114" s="24"/>
      <c r="DK114" s="24"/>
      <c r="DL114" s="24"/>
      <c r="DM114" s="24"/>
      <c r="DN114" s="24"/>
      <c r="DO114" s="24"/>
      <c r="DP114" s="24"/>
      <c r="DQ114" s="24"/>
      <c r="DR114" s="24"/>
      <c r="DS114" s="24"/>
      <c r="DT114" s="24"/>
      <c r="DU114" s="24"/>
      <c r="DV114" s="24"/>
      <c r="DW114" s="24"/>
      <c r="DX114" s="24"/>
      <c r="DY114" s="24"/>
      <c r="DZ114" s="24"/>
      <c r="EA114" s="24"/>
    </row>
    <row r="115" spans="1:131" ht="13.5" thickBot="1">
      <c r="A115" s="187" t="s">
        <v>632</v>
      </c>
      <c r="B115" s="188"/>
      <c r="C115" s="45"/>
      <c r="D115" s="45"/>
      <c r="E115" s="45"/>
      <c r="F115" s="45"/>
      <c r="G115" s="45"/>
      <c r="H115" s="45"/>
      <c r="I115" s="45"/>
      <c r="J115" s="45"/>
      <c r="K115" s="45"/>
      <c r="L115" s="45"/>
      <c r="M115" s="45"/>
      <c r="N115" s="45"/>
      <c r="O115" s="45"/>
      <c r="P115" s="45"/>
      <c r="Q115" s="45"/>
      <c r="R115" s="45"/>
      <c r="S115" s="45"/>
      <c r="T115" s="45"/>
      <c r="U115" s="45"/>
      <c r="V115" s="45"/>
      <c r="W115" s="45"/>
      <c r="X115" s="45"/>
      <c r="Y115" s="45"/>
      <c r="Z115" s="45"/>
      <c r="AA115" s="45"/>
      <c r="AB115" s="45"/>
      <c r="AC115" s="45"/>
      <c r="AD115" s="45"/>
      <c r="AE115" s="45"/>
      <c r="AF115" s="45"/>
      <c r="AG115" s="45"/>
      <c r="AH115" s="45"/>
      <c r="AI115" s="45"/>
      <c r="AJ115" s="45"/>
      <c r="AK115" s="45"/>
      <c r="AL115" s="45"/>
      <c r="AM115" s="45"/>
      <c r="AN115" s="45"/>
      <c r="AO115" s="45"/>
      <c r="AP115" s="45"/>
      <c r="AQ115" s="45"/>
      <c r="AR115" s="45"/>
      <c r="AS115" s="45"/>
      <c r="AT115" s="45"/>
      <c r="AU115" s="45"/>
      <c r="AV115" s="45"/>
      <c r="AW115" s="45"/>
      <c r="AX115" s="45"/>
      <c r="AY115" s="45"/>
      <c r="AZ115" s="45"/>
      <c r="BA115" s="45"/>
      <c r="BB115" s="45"/>
      <c r="BC115" s="45"/>
      <c r="BD115" s="45"/>
      <c r="BE115" s="45"/>
      <c r="BF115" s="45"/>
      <c r="BG115" s="45"/>
      <c r="BH115" s="45"/>
      <c r="BI115" s="45"/>
      <c r="BJ115" s="45"/>
      <c r="BK115" s="45"/>
      <c r="BL115" s="45"/>
      <c r="BM115" s="45"/>
      <c r="BN115" s="45"/>
      <c r="BO115" s="45"/>
      <c r="BP115" s="45"/>
      <c r="BQ115" s="45"/>
      <c r="BR115" s="45"/>
      <c r="BS115" s="45"/>
      <c r="BT115" s="45"/>
      <c r="BU115" s="45"/>
      <c r="BV115" s="45"/>
      <c r="BW115" s="45"/>
      <c r="BX115" s="45"/>
      <c r="BY115" s="45"/>
      <c r="BZ115" s="45"/>
      <c r="CA115" s="45"/>
      <c r="CB115" s="45"/>
      <c r="CC115" s="45"/>
      <c r="CD115" s="45"/>
      <c r="CE115" s="45"/>
      <c r="CF115" s="45"/>
      <c r="CG115" s="45"/>
      <c r="CH115" s="45"/>
      <c r="CI115" s="45"/>
      <c r="CJ115" s="45"/>
      <c r="CK115" s="45"/>
      <c r="CL115" s="45"/>
      <c r="CM115" s="45"/>
      <c r="CN115" s="45"/>
      <c r="CO115" s="45"/>
      <c r="CP115" s="45"/>
      <c r="CQ115" s="45"/>
      <c r="CR115" s="45"/>
      <c r="CS115" s="45"/>
      <c r="CT115" s="45"/>
      <c r="CU115" s="45"/>
      <c r="CV115" s="45"/>
      <c r="CW115" s="45"/>
      <c r="CX115" s="24"/>
      <c r="CY115" s="24"/>
      <c r="CZ115" s="24"/>
      <c r="DA115" s="24"/>
      <c r="DB115" s="24"/>
      <c r="DC115" s="24"/>
      <c r="DD115" s="24"/>
      <c r="DE115" s="24"/>
      <c r="DF115" s="24"/>
      <c r="DG115" s="24"/>
      <c r="DH115" s="24"/>
      <c r="DI115" s="24"/>
      <c r="DJ115" s="24"/>
      <c r="DK115" s="24"/>
      <c r="DL115" s="24"/>
      <c r="DM115" s="24"/>
      <c r="DN115" s="24"/>
      <c r="DO115" s="24"/>
      <c r="DP115" s="24"/>
      <c r="DQ115" s="24"/>
      <c r="DR115" s="24"/>
      <c r="DS115" s="24"/>
      <c r="DT115" s="24"/>
      <c r="DU115" s="24"/>
      <c r="DV115" s="24"/>
      <c r="DW115" s="24"/>
      <c r="DX115" s="24"/>
      <c r="DY115" s="24"/>
      <c r="DZ115" s="24"/>
      <c r="EA115" s="24"/>
    </row>
    <row r="116" spans="1:131" ht="13.5" thickBot="1">
      <c r="A116" s="220" t="s">
        <v>633</v>
      </c>
      <c r="B116" s="221"/>
      <c r="C116" s="222"/>
      <c r="D116" s="222"/>
      <c r="E116" s="222"/>
      <c r="F116" s="222"/>
      <c r="G116" s="222"/>
      <c r="H116" s="222"/>
      <c r="I116" s="222"/>
      <c r="J116" s="222"/>
      <c r="K116" s="222"/>
      <c r="L116" s="194"/>
      <c r="M116" s="223"/>
      <c r="N116" s="224" t="s">
        <v>634</v>
      </c>
      <c r="O116" s="222"/>
      <c r="P116" s="222"/>
      <c r="Q116" s="222"/>
      <c r="R116" s="222"/>
      <c r="S116" s="222"/>
      <c r="T116" s="222"/>
      <c r="U116" s="222"/>
      <c r="V116" s="222"/>
      <c r="W116" s="222"/>
      <c r="X116" s="222"/>
      <c r="Y116" s="194"/>
      <c r="Z116" s="223"/>
      <c r="AA116" s="224" t="s">
        <v>635</v>
      </c>
      <c r="AB116" s="222"/>
      <c r="AC116" s="222"/>
      <c r="AD116" s="222"/>
      <c r="AE116" s="222"/>
      <c r="AF116" s="222"/>
      <c r="AG116" s="222"/>
      <c r="AH116" s="222"/>
      <c r="AI116" s="222"/>
      <c r="AJ116" s="222"/>
      <c r="AK116" s="222"/>
      <c r="AL116" s="194"/>
      <c r="AM116" s="45"/>
      <c r="AN116" s="45"/>
      <c r="AO116" s="45"/>
      <c r="AP116" s="45"/>
      <c r="AQ116" s="45"/>
      <c r="AR116" s="45"/>
      <c r="AS116" s="45"/>
      <c r="AT116" s="45"/>
      <c r="AU116" s="45"/>
      <c r="AV116" s="45"/>
      <c r="AW116" s="45"/>
      <c r="AX116" s="45"/>
      <c r="AY116" s="45"/>
      <c r="AZ116" s="45"/>
      <c r="BA116" s="45"/>
      <c r="BB116" s="45"/>
      <c r="BC116" s="45"/>
      <c r="BD116" s="45"/>
      <c r="BE116" s="45"/>
      <c r="BF116" s="45"/>
      <c r="BG116" s="45"/>
      <c r="BH116" s="45"/>
      <c r="BI116" s="45"/>
      <c r="BJ116" s="45"/>
      <c r="BK116" s="45"/>
      <c r="BL116" s="45"/>
      <c r="BM116" s="45"/>
      <c r="BN116" s="45"/>
      <c r="BO116" s="45"/>
      <c r="BP116" s="45"/>
      <c r="BQ116" s="45"/>
      <c r="BR116" s="45"/>
      <c r="BS116" s="45"/>
      <c r="BT116" s="45"/>
      <c r="BU116" s="45"/>
      <c r="BV116" s="45"/>
      <c r="BW116" s="45"/>
      <c r="BX116" s="45"/>
      <c r="BY116" s="45"/>
      <c r="BZ116" s="45"/>
      <c r="CA116" s="45"/>
      <c r="CB116" s="45"/>
      <c r="CC116" s="45"/>
      <c r="CD116" s="45"/>
      <c r="CE116" s="45"/>
      <c r="CF116" s="45"/>
      <c r="CG116" s="45"/>
      <c r="CH116" s="45"/>
      <c r="CI116" s="45"/>
      <c r="CJ116" s="45"/>
      <c r="CK116" s="45"/>
      <c r="CL116" s="45"/>
      <c r="CM116" s="45"/>
      <c r="CN116" s="45"/>
      <c r="CO116" s="45"/>
      <c r="CP116" s="45"/>
      <c r="CQ116" s="45"/>
      <c r="CR116" s="45"/>
      <c r="CS116" s="45"/>
      <c r="CT116" s="45"/>
      <c r="CU116" s="45"/>
      <c r="CV116" s="45"/>
      <c r="CW116" s="45"/>
      <c r="CX116" s="24"/>
      <c r="CY116" s="24"/>
      <c r="CZ116" s="24"/>
      <c r="DA116" s="24"/>
      <c r="DB116" s="24"/>
      <c r="DC116" s="24"/>
      <c r="DD116" s="24"/>
      <c r="DE116" s="24"/>
      <c r="DF116" s="24"/>
      <c r="DG116" s="24"/>
      <c r="DH116" s="24"/>
      <c r="DI116" s="24"/>
      <c r="DJ116" s="24"/>
      <c r="DK116" s="24"/>
      <c r="DL116" s="24"/>
      <c r="DM116" s="24"/>
      <c r="DN116" s="24"/>
      <c r="DO116" s="24"/>
      <c r="DP116" s="24"/>
      <c r="DQ116" s="24"/>
      <c r="DR116" s="24"/>
      <c r="DS116" s="24"/>
      <c r="DT116" s="24"/>
      <c r="DU116" s="24"/>
      <c r="DV116" s="24"/>
      <c r="DW116" s="24"/>
      <c r="DX116" s="24"/>
      <c r="DY116" s="24"/>
      <c r="DZ116" s="24"/>
      <c r="EA116" s="24"/>
    </row>
    <row r="117" spans="1:131" ht="102">
      <c r="A117" s="195"/>
      <c r="B117" s="196" t="s">
        <v>636</v>
      </c>
      <c r="C117" s="197" t="s">
        <v>637</v>
      </c>
      <c r="D117" s="197" t="s">
        <v>390</v>
      </c>
      <c r="E117" s="197" t="s">
        <v>391</v>
      </c>
      <c r="F117" s="197" t="s">
        <v>392</v>
      </c>
      <c r="G117" s="197" t="s">
        <v>393</v>
      </c>
      <c r="H117" s="197" t="s">
        <v>394</v>
      </c>
      <c r="I117" s="197" t="s">
        <v>395</v>
      </c>
      <c r="J117" s="197" t="s">
        <v>396</v>
      </c>
      <c r="K117" s="197" t="s">
        <v>397</v>
      </c>
      <c r="L117" s="197" t="s">
        <v>398</v>
      </c>
      <c r="M117" s="197" t="s">
        <v>399</v>
      </c>
      <c r="N117" s="197" t="s">
        <v>401</v>
      </c>
      <c r="O117" s="197" t="s">
        <v>402</v>
      </c>
      <c r="P117" s="197" t="s">
        <v>403</v>
      </c>
      <c r="Q117" s="197" t="s">
        <v>404</v>
      </c>
      <c r="R117" s="197" t="s">
        <v>405</v>
      </c>
      <c r="S117" s="197" t="s">
        <v>406</v>
      </c>
      <c r="T117" s="197" t="s">
        <v>407</v>
      </c>
      <c r="U117" s="197" t="s">
        <v>408</v>
      </c>
      <c r="V117" s="197" t="s">
        <v>409</v>
      </c>
      <c r="W117" s="197" t="s">
        <v>410</v>
      </c>
      <c r="X117" s="197" t="s">
        <v>411</v>
      </c>
      <c r="Y117" s="197" t="s">
        <v>412</v>
      </c>
      <c r="Z117" s="197"/>
      <c r="AA117" s="197" t="s">
        <v>401</v>
      </c>
      <c r="AB117" s="197" t="s">
        <v>402</v>
      </c>
      <c r="AC117" s="197" t="s">
        <v>403</v>
      </c>
      <c r="AD117" s="197" t="s">
        <v>404</v>
      </c>
      <c r="AE117" s="197" t="s">
        <v>405</v>
      </c>
      <c r="AF117" s="197" t="s">
        <v>406</v>
      </c>
      <c r="AG117" s="197" t="s">
        <v>407</v>
      </c>
      <c r="AH117" s="197" t="s">
        <v>408</v>
      </c>
      <c r="AI117" s="197" t="s">
        <v>409</v>
      </c>
      <c r="AJ117" s="197" t="s">
        <v>410</v>
      </c>
      <c r="AK117" s="197" t="s">
        <v>411</v>
      </c>
      <c r="AL117" s="197" t="s">
        <v>412</v>
      </c>
      <c r="AM117" s="45"/>
      <c r="AN117" s="45"/>
      <c r="AO117" s="45"/>
      <c r="AP117" s="45"/>
      <c r="AQ117" s="45"/>
      <c r="AR117" s="45"/>
      <c r="AS117" s="45"/>
      <c r="AT117" s="45"/>
      <c r="AU117" s="45"/>
      <c r="AV117" s="45"/>
      <c r="AW117" s="45"/>
      <c r="AX117" s="45"/>
      <c r="AY117" s="45"/>
      <c r="AZ117" s="45"/>
      <c r="BA117" s="45"/>
      <c r="BB117" s="45"/>
      <c r="BC117" s="45"/>
      <c r="BD117" s="45"/>
      <c r="BE117" s="45"/>
      <c r="BF117" s="45"/>
      <c r="BG117" s="45"/>
      <c r="BH117" s="45"/>
      <c r="BI117" s="45"/>
      <c r="BJ117" s="45"/>
      <c r="BK117" s="45"/>
      <c r="BL117" s="45"/>
      <c r="BM117" s="45"/>
      <c r="BN117" s="45"/>
      <c r="BO117" s="45"/>
      <c r="BP117" s="45"/>
      <c r="BQ117" s="45"/>
      <c r="BR117" s="45"/>
      <c r="BS117" s="45"/>
      <c r="BT117" s="45"/>
      <c r="BU117" s="45"/>
      <c r="BV117" s="45"/>
      <c r="BW117" s="45"/>
      <c r="BX117" s="45"/>
      <c r="BY117" s="45"/>
      <c r="BZ117" s="45"/>
      <c r="CA117" s="45"/>
      <c r="CB117" s="45"/>
      <c r="CC117" s="45"/>
      <c r="CD117" s="45"/>
      <c r="CE117" s="45"/>
      <c r="CF117" s="45"/>
      <c r="CG117" s="45"/>
      <c r="CH117" s="45"/>
      <c r="CI117" s="45"/>
      <c r="CJ117" s="45"/>
      <c r="CK117" s="45"/>
      <c r="CL117" s="45"/>
      <c r="CM117" s="45"/>
      <c r="CN117" s="45"/>
      <c r="CO117" s="45"/>
      <c r="CP117" s="45"/>
      <c r="CQ117" s="45"/>
      <c r="CR117" s="45"/>
      <c r="CS117" s="45"/>
      <c r="CT117" s="45"/>
      <c r="CU117" s="45"/>
      <c r="CV117" s="45"/>
      <c r="CW117" s="45"/>
      <c r="CX117" s="24"/>
      <c r="CY117" s="24"/>
      <c r="CZ117" s="24"/>
      <c r="DA117" s="24"/>
      <c r="DB117" s="24"/>
      <c r="DC117" s="24"/>
      <c r="DD117" s="24"/>
      <c r="DE117" s="24"/>
      <c r="DF117" s="24"/>
      <c r="DG117" s="24"/>
      <c r="DH117" s="24"/>
      <c r="DI117" s="24"/>
      <c r="DJ117" s="24"/>
      <c r="DK117" s="24"/>
      <c r="DL117" s="24"/>
      <c r="DM117" s="24"/>
      <c r="DN117" s="24"/>
      <c r="DO117" s="24"/>
      <c r="DP117" s="24"/>
      <c r="DQ117" s="24"/>
      <c r="DR117" s="24"/>
      <c r="DS117" s="24"/>
      <c r="DT117" s="24"/>
      <c r="DU117" s="24"/>
      <c r="DV117" s="24"/>
      <c r="DW117" s="24"/>
      <c r="DX117" s="24"/>
      <c r="DY117" s="24"/>
      <c r="DZ117" s="24"/>
      <c r="EA117" s="24"/>
    </row>
    <row r="118" spans="1:131">
      <c r="A118" s="24"/>
      <c r="B118" s="225" t="s">
        <v>638</v>
      </c>
      <c r="C118" s="226">
        <v>27169.944363889888</v>
      </c>
      <c r="D118" s="226">
        <v>5627.6251301622624</v>
      </c>
      <c r="E118" s="226">
        <v>0</v>
      </c>
      <c r="F118" s="226">
        <v>5627.6251301622624</v>
      </c>
      <c r="G118" s="226">
        <v>6065.3267609498498</v>
      </c>
      <c r="H118" s="226">
        <v>17916.263188017689</v>
      </c>
      <c r="I118" s="226">
        <v>1814.4312509428887</v>
      </c>
      <c r="J118" s="226">
        <v>-3.1900521017036922</v>
      </c>
      <c r="K118" s="226">
        <v>3.1737261875520359</v>
      </c>
      <c r="L118" s="199">
        <v>7.3999888299401686</v>
      </c>
      <c r="M118" s="45">
        <v>258.1151553110721</v>
      </c>
      <c r="N118" s="198">
        <v>1112.8120755321436</v>
      </c>
      <c r="O118" s="198">
        <v>822.66022314232703</v>
      </c>
      <c r="P118" s="198">
        <v>766.34594117182928</v>
      </c>
      <c r="Q118" s="198">
        <v>439.93897278215638</v>
      </c>
      <c r="R118" s="198">
        <v>353.39810364280612</v>
      </c>
      <c r="S118" s="198">
        <v>274.13355735833824</v>
      </c>
      <c r="T118" s="198">
        <v>286.05622692197602</v>
      </c>
      <c r="U118" s="198">
        <v>416.36428303344746</v>
      </c>
      <c r="V118" s="198">
        <v>526.04358947850869</v>
      </c>
      <c r="W118" s="198">
        <v>858.18072611296213</v>
      </c>
      <c r="X118" s="198">
        <v>993.7963459575268</v>
      </c>
      <c r="Y118" s="198">
        <v>1170.6720559016626</v>
      </c>
      <c r="Z118" s="198"/>
      <c r="AA118" s="198">
        <v>1844.3110403747596</v>
      </c>
      <c r="AB118" s="198">
        <v>1599.7852864259628</v>
      </c>
      <c r="AC118" s="198">
        <v>1612.7566656244501</v>
      </c>
      <c r="AD118" s="198">
        <v>1535.7475112414627</v>
      </c>
      <c r="AE118" s="198">
        <v>1414.5016319297404</v>
      </c>
      <c r="AF118" s="198">
        <v>1285.2061080180399</v>
      </c>
      <c r="AG118" s="198">
        <v>1403.4119100950013</v>
      </c>
      <c r="AH118" s="198">
        <v>1515.4091328512009</v>
      </c>
      <c r="AI118" s="198">
        <v>1633.4548121841754</v>
      </c>
      <c r="AJ118" s="198">
        <v>1685.8179034407701</v>
      </c>
      <c r="AK118" s="198">
        <v>1767.2079637818686</v>
      </c>
      <c r="AL118" s="198">
        <v>1851.9322968867857</v>
      </c>
      <c r="AM118" s="45"/>
      <c r="AN118" s="45"/>
      <c r="AO118" s="45"/>
      <c r="AP118" s="45"/>
      <c r="AQ118" s="45"/>
      <c r="AR118" s="45"/>
      <c r="AS118" s="45"/>
      <c r="AT118" s="45"/>
      <c r="AU118" s="45"/>
      <c r="AV118" s="45"/>
      <c r="AW118" s="45"/>
      <c r="AX118" s="45"/>
      <c r="AY118" s="45"/>
      <c r="AZ118" s="45"/>
      <c r="BA118" s="45"/>
      <c r="BB118" s="45"/>
      <c r="BC118" s="45"/>
      <c r="BD118" s="45"/>
      <c r="BE118" s="45"/>
      <c r="BF118" s="45"/>
      <c r="BG118" s="45"/>
      <c r="BH118" s="45"/>
      <c r="BI118" s="45"/>
      <c r="BJ118" s="45"/>
      <c r="BK118" s="45"/>
      <c r="BL118" s="45"/>
      <c r="BM118" s="45"/>
      <c r="BN118" s="45"/>
      <c r="BO118" s="45"/>
      <c r="BP118" s="45"/>
      <c r="BQ118" s="45"/>
      <c r="BR118" s="45"/>
      <c r="BS118" s="45"/>
      <c r="BT118" s="45"/>
      <c r="BU118" s="45"/>
      <c r="BV118" s="45"/>
      <c r="BW118" s="45"/>
      <c r="BX118" s="45"/>
      <c r="BY118" s="45"/>
      <c r="BZ118" s="45"/>
      <c r="CA118" s="45"/>
      <c r="CB118" s="45"/>
      <c r="CC118" s="45"/>
      <c r="CD118" s="45"/>
      <c r="CE118" s="45"/>
      <c r="CF118" s="45"/>
      <c r="CG118" s="45"/>
      <c r="CH118" s="45"/>
      <c r="CI118" s="45"/>
      <c r="CJ118" s="45"/>
      <c r="CK118" s="45"/>
      <c r="CL118" s="45"/>
      <c r="CM118" s="45"/>
      <c r="CN118" s="45"/>
      <c r="CO118" s="45"/>
      <c r="CP118" s="45"/>
      <c r="CQ118" s="45"/>
      <c r="CR118" s="45"/>
      <c r="CS118" s="45"/>
      <c r="CT118" s="45"/>
      <c r="CU118" s="45"/>
      <c r="CV118" s="45"/>
      <c r="CW118" s="45"/>
      <c r="CX118" s="24"/>
      <c r="CY118" s="24"/>
      <c r="CZ118" s="24"/>
      <c r="DA118" s="24"/>
      <c r="DB118" s="24"/>
      <c r="DC118" s="24"/>
      <c r="DD118" s="24"/>
      <c r="DE118" s="24"/>
      <c r="DF118" s="24"/>
      <c r="DG118" s="24"/>
      <c r="DH118" s="24"/>
      <c r="DI118" s="24"/>
      <c r="DJ118" s="24"/>
      <c r="DK118" s="24"/>
      <c r="DL118" s="24"/>
      <c r="DM118" s="24"/>
      <c r="DN118" s="24"/>
      <c r="DO118" s="24"/>
      <c r="DP118" s="24"/>
      <c r="DQ118" s="24"/>
      <c r="DR118" s="24"/>
      <c r="DS118" s="24"/>
      <c r="DT118" s="24"/>
      <c r="DU118" s="24"/>
      <c r="DV118" s="24"/>
      <c r="DW118" s="24"/>
      <c r="DX118" s="24"/>
      <c r="DY118" s="24"/>
      <c r="DZ118" s="24"/>
      <c r="EA118" s="24"/>
    </row>
    <row r="119" spans="1:131">
      <c r="A119" s="24"/>
      <c r="B119" s="225" t="s">
        <v>639</v>
      </c>
      <c r="C119" s="226">
        <v>27096.798705758469</v>
      </c>
      <c r="D119" s="226">
        <v>5597.1740701753433</v>
      </c>
      <c r="E119" s="226">
        <v>1119.4348140350685</v>
      </c>
      <c r="F119" s="226">
        <v>6716.6088842104118</v>
      </c>
      <c r="G119" s="226">
        <v>7142.5714326374355</v>
      </c>
      <c r="H119" s="226">
        <v>17868.029859138114</v>
      </c>
      <c r="I119" s="226">
        <v>2171.3817364403039</v>
      </c>
      <c r="J119" s="226">
        <v>-0.17764244864487364</v>
      </c>
      <c r="K119" s="226">
        <v>6.1433408015435775</v>
      </c>
      <c r="L119" s="199">
        <v>6.5203260169862727</v>
      </c>
      <c r="M119" s="45">
        <v>257.42026971778341</v>
      </c>
      <c r="N119" s="198">
        <v>69.246720414136846</v>
      </c>
      <c r="O119" s="198">
        <v>51.191502788579037</v>
      </c>
      <c r="P119" s="198">
        <v>47.687245938140784</v>
      </c>
      <c r="Q119" s="198">
        <v>27.37598891794968</v>
      </c>
      <c r="R119" s="198">
        <v>21.990828654638086</v>
      </c>
      <c r="S119" s="198">
        <v>17.058450586500015</v>
      </c>
      <c r="T119" s="198">
        <v>17.800360010396737</v>
      </c>
      <c r="U119" s="198">
        <v>25.909011711489903</v>
      </c>
      <c r="V119" s="198">
        <v>32.734002593248356</v>
      </c>
      <c r="W119" s="198">
        <v>53.401829574438977</v>
      </c>
      <c r="X119" s="198">
        <v>61.840753915438519</v>
      </c>
      <c r="Y119" s="198">
        <v>72.84716111019921</v>
      </c>
      <c r="Z119" s="198"/>
      <c r="AA119" s="198">
        <v>114.76555096552588</v>
      </c>
      <c r="AB119" s="198">
        <v>99.549498866476497</v>
      </c>
      <c r="AC119" s="198">
        <v>100.35666612184069</v>
      </c>
      <c r="AD119" s="198">
        <v>95.564633846006728</v>
      </c>
      <c r="AE119" s="198">
        <v>88.019892293799785</v>
      </c>
      <c r="AF119" s="198">
        <v>79.974247218613627</v>
      </c>
      <c r="AG119" s="198">
        <v>87.329814531124967</v>
      </c>
      <c r="AH119" s="198">
        <v>94.299041898333172</v>
      </c>
      <c r="AI119" s="198">
        <v>101.6446452869003</v>
      </c>
      <c r="AJ119" s="198">
        <v>104.90303223290053</v>
      </c>
      <c r="AK119" s="198">
        <v>109.96767421230631</v>
      </c>
      <c r="AL119" s="198">
        <v>115.23979727404146</v>
      </c>
      <c r="AM119" s="45"/>
      <c r="AN119" s="45"/>
      <c r="AO119" s="45"/>
      <c r="AP119" s="45"/>
      <c r="AQ119" s="45"/>
      <c r="AR119" s="45"/>
      <c r="AS119" s="45"/>
      <c r="AT119" s="45"/>
      <c r="AU119" s="45"/>
      <c r="AV119" s="45"/>
      <c r="AW119" s="45"/>
      <c r="AX119" s="45"/>
      <c r="AY119" s="45"/>
      <c r="AZ119" s="45"/>
      <c r="BA119" s="45"/>
      <c r="BB119" s="45"/>
      <c r="BC119" s="45"/>
      <c r="BD119" s="45"/>
      <c r="BE119" s="45"/>
      <c r="BF119" s="45"/>
      <c r="BG119" s="45"/>
      <c r="BH119" s="45"/>
      <c r="BI119" s="45"/>
      <c r="BJ119" s="45"/>
      <c r="BK119" s="45"/>
      <c r="BL119" s="45"/>
      <c r="BM119" s="45"/>
      <c r="BN119" s="45"/>
      <c r="BO119" s="45"/>
      <c r="BP119" s="45"/>
      <c r="BQ119" s="45"/>
      <c r="BR119" s="45"/>
      <c r="BS119" s="45"/>
      <c r="BT119" s="45"/>
      <c r="BU119" s="45"/>
      <c r="BV119" s="45"/>
      <c r="BW119" s="45"/>
      <c r="BX119" s="45"/>
      <c r="BY119" s="45"/>
      <c r="BZ119" s="45"/>
      <c r="CA119" s="45"/>
      <c r="CB119" s="45"/>
      <c r="CC119" s="45"/>
      <c r="CD119" s="45"/>
      <c r="CE119" s="45"/>
      <c r="CF119" s="45"/>
      <c r="CG119" s="45"/>
      <c r="CH119" s="45"/>
      <c r="CI119" s="45"/>
      <c r="CJ119" s="45"/>
      <c r="CK119" s="45"/>
      <c r="CL119" s="45"/>
      <c r="CM119" s="45"/>
      <c r="CN119" s="45"/>
      <c r="CO119" s="45"/>
      <c r="CP119" s="45"/>
      <c r="CQ119" s="45"/>
      <c r="CR119" s="45"/>
      <c r="CS119" s="45"/>
      <c r="CT119" s="45"/>
      <c r="CU119" s="45"/>
      <c r="CV119" s="45"/>
      <c r="CW119" s="45"/>
      <c r="CX119" s="24"/>
      <c r="CY119" s="24"/>
      <c r="CZ119" s="24"/>
      <c r="DA119" s="24"/>
      <c r="DB119" s="24"/>
      <c r="DC119" s="24"/>
      <c r="DD119" s="24"/>
      <c r="DE119" s="24"/>
      <c r="DF119" s="24"/>
      <c r="DG119" s="24"/>
      <c r="DH119" s="24"/>
      <c r="DI119" s="24"/>
      <c r="DJ119" s="24"/>
      <c r="DK119" s="24"/>
      <c r="DL119" s="24"/>
      <c r="DM119" s="24"/>
      <c r="DN119" s="24"/>
      <c r="DO119" s="24"/>
      <c r="DP119" s="24"/>
      <c r="DQ119" s="24"/>
      <c r="DR119" s="24"/>
      <c r="DS119" s="24"/>
      <c r="DT119" s="24"/>
      <c r="DU119" s="24"/>
      <c r="DV119" s="24"/>
      <c r="DW119" s="24"/>
      <c r="DX119" s="24"/>
      <c r="DY119" s="24"/>
      <c r="DZ119" s="24"/>
      <c r="EA119" s="24"/>
    </row>
    <row r="120" spans="1:131">
      <c r="A120" s="24"/>
      <c r="B120" s="225" t="s">
        <v>640</v>
      </c>
      <c r="C120" s="227"/>
      <c r="D120" s="227"/>
      <c r="E120" s="227"/>
      <c r="F120" s="227"/>
      <c r="G120" s="227"/>
      <c r="H120" s="227"/>
      <c r="I120" s="227"/>
      <c r="J120" s="227"/>
      <c r="K120" s="227"/>
      <c r="L120" s="200"/>
      <c r="M120" s="228"/>
      <c r="N120" s="228"/>
      <c r="O120" s="228"/>
      <c r="P120" s="228"/>
      <c r="Q120" s="228"/>
      <c r="R120" s="228"/>
      <c r="S120" s="228"/>
      <c r="T120" s="228"/>
      <c r="U120" s="228"/>
      <c r="V120" s="228"/>
      <c r="W120" s="228"/>
      <c r="X120" s="228"/>
      <c r="Y120" s="228"/>
      <c r="Z120" s="228"/>
      <c r="AA120" s="228"/>
      <c r="AB120" s="228"/>
      <c r="AC120" s="228"/>
      <c r="AD120" s="228"/>
      <c r="AE120" s="228"/>
      <c r="AF120" s="228"/>
      <c r="AG120" s="228"/>
      <c r="AH120" s="228"/>
      <c r="AI120" s="228"/>
      <c r="AJ120" s="228"/>
      <c r="AK120" s="228"/>
      <c r="AL120" s="228"/>
      <c r="AM120" s="45"/>
      <c r="AN120" s="45"/>
      <c r="AO120" s="45"/>
      <c r="AP120" s="45"/>
      <c r="AQ120" s="45"/>
      <c r="AR120" s="45"/>
      <c r="AS120" s="45"/>
      <c r="AT120" s="45"/>
      <c r="AU120" s="45"/>
      <c r="AV120" s="45"/>
      <c r="AW120" s="45"/>
      <c r="AX120" s="45"/>
      <c r="AY120" s="45"/>
      <c r="AZ120" s="45"/>
      <c r="BA120" s="45"/>
      <c r="BB120" s="45"/>
      <c r="BC120" s="45"/>
      <c r="BD120" s="45"/>
      <c r="BE120" s="45"/>
      <c r="BF120" s="45"/>
      <c r="BG120" s="45"/>
      <c r="BH120" s="45"/>
      <c r="BI120" s="45"/>
      <c r="BJ120" s="45"/>
      <c r="BK120" s="45"/>
      <c r="BL120" s="45"/>
      <c r="BM120" s="45"/>
      <c r="BN120" s="45"/>
      <c r="BO120" s="45"/>
      <c r="BP120" s="45"/>
      <c r="BQ120" s="45"/>
      <c r="BR120" s="45"/>
      <c r="BS120" s="45"/>
      <c r="BT120" s="45"/>
      <c r="BU120" s="45"/>
      <c r="BV120" s="45"/>
      <c r="BW120" s="45"/>
      <c r="BX120" s="45"/>
      <c r="BY120" s="45"/>
      <c r="BZ120" s="45"/>
      <c r="CA120" s="45"/>
      <c r="CB120" s="45"/>
      <c r="CC120" s="45"/>
      <c r="CD120" s="45"/>
      <c r="CE120" s="45"/>
      <c r="CF120" s="45"/>
      <c r="CG120" s="45"/>
      <c r="CH120" s="45"/>
      <c r="CI120" s="45"/>
      <c r="CJ120" s="45"/>
      <c r="CK120" s="45"/>
      <c r="CL120" s="45"/>
      <c r="CM120" s="45"/>
      <c r="CN120" s="45"/>
      <c r="CO120" s="45"/>
      <c r="CP120" s="45"/>
      <c r="CQ120" s="45"/>
      <c r="CR120" s="45"/>
      <c r="CS120" s="45"/>
      <c r="CT120" s="45"/>
      <c r="CU120" s="45"/>
      <c r="CV120" s="45"/>
      <c r="CW120" s="45"/>
      <c r="CX120" s="24"/>
      <c r="CY120" s="24"/>
      <c r="CZ120" s="24"/>
      <c r="DA120" s="24"/>
      <c r="DB120" s="24"/>
      <c r="DC120" s="24"/>
      <c r="DD120" s="24"/>
      <c r="DE120" s="24"/>
      <c r="DF120" s="24"/>
      <c r="DG120" s="24"/>
      <c r="DH120" s="24"/>
      <c r="DI120" s="24"/>
      <c r="DJ120" s="24"/>
      <c r="DK120" s="24"/>
      <c r="DL120" s="24"/>
      <c r="DM120" s="24"/>
      <c r="DN120" s="24"/>
      <c r="DO120" s="24"/>
      <c r="DP120" s="24"/>
      <c r="DQ120" s="24"/>
      <c r="DR120" s="24"/>
      <c r="DS120" s="24"/>
      <c r="DT120" s="24"/>
      <c r="DU120" s="24"/>
      <c r="DV120" s="24"/>
      <c r="DW120" s="24"/>
      <c r="DX120" s="24"/>
      <c r="DY120" s="24"/>
      <c r="DZ120" s="24"/>
      <c r="EA120" s="24"/>
    </row>
    <row r="121" spans="1:131">
      <c r="A121" s="24"/>
      <c r="B121" s="24" t="s">
        <v>641</v>
      </c>
      <c r="C121" s="45">
        <v>6345.7166981111995</v>
      </c>
      <c r="D121" s="45">
        <v>330.88713384821699</v>
      </c>
      <c r="E121" s="45">
        <v>66.177426769643418</v>
      </c>
      <c r="F121" s="45">
        <v>397.06456061786042</v>
      </c>
      <c r="G121" s="45">
        <v>-1195.1426836907117</v>
      </c>
      <c r="H121" s="45">
        <v>4184.4594511227688</v>
      </c>
      <c r="I121" s="45">
        <v>548.13123820163105</v>
      </c>
      <c r="J121" s="45">
        <v>-9.9518943593813827</v>
      </c>
      <c r="K121" s="45">
        <v>-27.110691182310479</v>
      </c>
      <c r="L121" s="199">
        <v>22.212690575820904</v>
      </c>
      <c r="M121" s="45">
        <v>60.284468350620401</v>
      </c>
      <c r="N121" s="198">
        <v>259.90447661531772</v>
      </c>
      <c r="O121" s="198">
        <v>192.13762991006558</v>
      </c>
      <c r="P121" s="198">
        <v>178.98506416844151</v>
      </c>
      <c r="Q121" s="198">
        <v>102.75060001388715</v>
      </c>
      <c r="R121" s="198">
        <v>82.538418825305257</v>
      </c>
      <c r="S121" s="198">
        <v>64.025670025051824</v>
      </c>
      <c r="T121" s="198">
        <v>66.810286817885284</v>
      </c>
      <c r="U121" s="198">
        <v>97.244578345694293</v>
      </c>
      <c r="V121" s="198">
        <v>122.86089161539266</v>
      </c>
      <c r="W121" s="198">
        <v>200.43367372256742</v>
      </c>
      <c r="X121" s="198">
        <v>232.10758117878225</v>
      </c>
      <c r="Y121" s="198">
        <v>273.41805024159351</v>
      </c>
      <c r="Z121" s="198"/>
      <c r="AA121" s="198">
        <v>430.75080348605366</v>
      </c>
      <c r="AB121" s="198">
        <v>373.64022794827764</v>
      </c>
      <c r="AC121" s="198">
        <v>376.66977767701269</v>
      </c>
      <c r="AD121" s="198">
        <v>358.68379028113782</v>
      </c>
      <c r="AE121" s="198">
        <v>330.36602891140433</v>
      </c>
      <c r="AF121" s="198">
        <v>300.16822084493072</v>
      </c>
      <c r="AG121" s="198">
        <v>327.77595246216276</v>
      </c>
      <c r="AH121" s="198">
        <v>353.9336301175743</v>
      </c>
      <c r="AI121" s="198">
        <v>381.50396402958268</v>
      </c>
      <c r="AJ121" s="198">
        <v>393.73370355725405</v>
      </c>
      <c r="AK121" s="198">
        <v>412.74287994898822</v>
      </c>
      <c r="AL121" s="198">
        <v>432.53079736683719</v>
      </c>
      <c r="AM121" s="45"/>
      <c r="AN121" s="45"/>
      <c r="AO121" s="45"/>
      <c r="AP121" s="45"/>
      <c r="AQ121" s="45"/>
      <c r="AR121" s="45"/>
      <c r="AS121" s="45"/>
      <c r="AT121" s="45"/>
      <c r="AU121" s="45"/>
      <c r="AV121" s="45"/>
      <c r="AW121" s="45"/>
      <c r="AX121" s="45"/>
      <c r="AY121" s="45"/>
      <c r="AZ121" s="45"/>
      <c r="BA121" s="45"/>
      <c r="BB121" s="45"/>
      <c r="BC121" s="45"/>
      <c r="BD121" s="45"/>
      <c r="BE121" s="45"/>
      <c r="BF121" s="45"/>
      <c r="BG121" s="45"/>
      <c r="BH121" s="45"/>
      <c r="BI121" s="45"/>
      <c r="BJ121" s="45"/>
      <c r="BK121" s="45"/>
      <c r="BL121" s="45"/>
      <c r="BM121" s="45"/>
      <c r="BN121" s="45"/>
      <c r="BO121" s="45"/>
      <c r="BP121" s="45"/>
      <c r="BQ121" s="45"/>
      <c r="BR121" s="45"/>
      <c r="BS121" s="45"/>
      <c r="BT121" s="45"/>
      <c r="BU121" s="45"/>
      <c r="BV121" s="45"/>
      <c r="BW121" s="45"/>
      <c r="BX121" s="45"/>
      <c r="BY121" s="45"/>
      <c r="BZ121" s="45"/>
      <c r="CA121" s="45"/>
      <c r="CB121" s="45"/>
      <c r="CC121" s="45"/>
      <c r="CD121" s="45"/>
      <c r="CE121" s="45"/>
      <c r="CF121" s="45"/>
      <c r="CG121" s="45"/>
      <c r="CH121" s="45"/>
      <c r="CI121" s="45"/>
      <c r="CJ121" s="45"/>
      <c r="CK121" s="45"/>
      <c r="CL121" s="45"/>
      <c r="CM121" s="45"/>
      <c r="CN121" s="45"/>
      <c r="CO121" s="45"/>
      <c r="CP121" s="45"/>
      <c r="CQ121" s="45"/>
      <c r="CR121" s="45"/>
      <c r="CS121" s="45"/>
      <c r="CT121" s="45"/>
      <c r="CU121" s="45"/>
      <c r="CV121" s="45"/>
      <c r="CW121" s="45"/>
      <c r="CX121" s="24"/>
      <c r="CY121" s="24"/>
      <c r="CZ121" s="24"/>
      <c r="DA121" s="24"/>
      <c r="DB121" s="24"/>
      <c r="DC121" s="24"/>
      <c r="DD121" s="24"/>
      <c r="DE121" s="24"/>
      <c r="DF121" s="24"/>
      <c r="DG121" s="24"/>
      <c r="DH121" s="24"/>
      <c r="DI121" s="24"/>
      <c r="DJ121" s="24"/>
      <c r="DK121" s="24"/>
      <c r="DL121" s="24"/>
      <c r="DM121" s="24"/>
      <c r="DN121" s="24"/>
      <c r="DO121" s="24"/>
      <c r="DP121" s="24"/>
      <c r="DQ121" s="24"/>
      <c r="DR121" s="24"/>
      <c r="DS121" s="24"/>
      <c r="DT121" s="24"/>
      <c r="DU121" s="24"/>
      <c r="DV121" s="24"/>
      <c r="DW121" s="24"/>
      <c r="DX121" s="24"/>
      <c r="DY121" s="24"/>
      <c r="DZ121" s="24"/>
      <c r="EA121" s="24"/>
    </row>
    <row r="122" spans="1:131">
      <c r="A122" s="24"/>
      <c r="B122" s="24" t="s">
        <v>642</v>
      </c>
      <c r="C122" s="45">
        <v>8215.7150527261128</v>
      </c>
      <c r="D122" s="45">
        <v>1577.1167596747534</v>
      </c>
      <c r="E122" s="45">
        <v>315.42335193495069</v>
      </c>
      <c r="F122" s="45">
        <v>1892.5401116097041</v>
      </c>
      <c r="G122" s="45">
        <v>2124.8759910068657</v>
      </c>
      <c r="H122" s="45">
        <v>5417.5640255645303</v>
      </c>
      <c r="I122" s="45">
        <v>2017.9194715619954</v>
      </c>
      <c r="J122" s="45">
        <v>-1.1017012044193717</v>
      </c>
      <c r="K122" s="45">
        <v>5.7784409198043569</v>
      </c>
      <c r="L122" s="199">
        <v>2.3290317276182986</v>
      </c>
      <c r="M122" s="45">
        <v>78.049499786399622</v>
      </c>
      <c r="N122" s="198">
        <v>336.49487085279731</v>
      </c>
      <c r="O122" s="198">
        <v>248.75803527710266</v>
      </c>
      <c r="P122" s="198">
        <v>231.72958325408783</v>
      </c>
      <c r="Q122" s="198">
        <v>133.02983593043152</v>
      </c>
      <c r="R122" s="198">
        <v>106.86139363471942</v>
      </c>
      <c r="S122" s="198">
        <v>82.893183860896599</v>
      </c>
      <c r="T122" s="198">
        <v>86.498390205479438</v>
      </c>
      <c r="U122" s="198">
        <v>125.90126287051656</v>
      </c>
      <c r="V122" s="198">
        <v>159.06636313221759</v>
      </c>
      <c r="W122" s="198">
        <v>259.49881291830019</v>
      </c>
      <c r="X122" s="198">
        <v>300.50659984710103</v>
      </c>
      <c r="Y122" s="198">
        <v>353.99071498503906</v>
      </c>
      <c r="Z122" s="198"/>
      <c r="AA122" s="198">
        <v>557.68733911925187</v>
      </c>
      <c r="AB122" s="198">
        <v>483.74703616573078</v>
      </c>
      <c r="AC122" s="198">
        <v>487.66935392642762</v>
      </c>
      <c r="AD122" s="198">
        <v>464.38313514038975</v>
      </c>
      <c r="AE122" s="198">
        <v>427.72050593507487</v>
      </c>
      <c r="AF122" s="198">
        <v>388.62380526375313</v>
      </c>
      <c r="AG122" s="198">
        <v>424.36716838723277</v>
      </c>
      <c r="AH122" s="198">
        <v>458.233165922529</v>
      </c>
      <c r="AI122" s="198">
        <v>493.92811073419904</v>
      </c>
      <c r="AJ122" s="198">
        <v>509.76179192553172</v>
      </c>
      <c r="AK122" s="198">
        <v>534.3727199028209</v>
      </c>
      <c r="AL122" s="198">
        <v>559.99187353448451</v>
      </c>
      <c r="AM122" s="45"/>
      <c r="AN122" s="45"/>
      <c r="AO122" s="45"/>
      <c r="AP122" s="45"/>
      <c r="AQ122" s="45"/>
      <c r="AR122" s="45"/>
      <c r="AS122" s="45"/>
      <c r="AT122" s="45"/>
      <c r="AU122" s="45"/>
      <c r="AV122" s="45"/>
      <c r="AW122" s="45"/>
      <c r="AX122" s="45"/>
      <c r="AY122" s="45"/>
      <c r="AZ122" s="45"/>
      <c r="BA122" s="45"/>
      <c r="BB122" s="45"/>
      <c r="BC122" s="45"/>
      <c r="BD122" s="45"/>
      <c r="BE122" s="45"/>
      <c r="BF122" s="45"/>
      <c r="BG122" s="45"/>
      <c r="BH122" s="45"/>
      <c r="BI122" s="45"/>
      <c r="BJ122" s="45"/>
      <c r="BK122" s="45"/>
      <c r="BL122" s="45"/>
      <c r="BM122" s="45"/>
      <c r="BN122" s="45"/>
      <c r="BO122" s="45"/>
      <c r="BP122" s="45"/>
      <c r="BQ122" s="45"/>
      <c r="BR122" s="45"/>
      <c r="BS122" s="45"/>
      <c r="BT122" s="45"/>
      <c r="BU122" s="45"/>
      <c r="BV122" s="45"/>
      <c r="BW122" s="45"/>
      <c r="BX122" s="45"/>
      <c r="BY122" s="45"/>
      <c r="BZ122" s="45"/>
      <c r="CA122" s="45"/>
      <c r="CB122" s="45"/>
      <c r="CC122" s="45"/>
      <c r="CD122" s="45"/>
      <c r="CE122" s="45"/>
      <c r="CF122" s="45"/>
      <c r="CG122" s="45"/>
      <c r="CH122" s="45"/>
      <c r="CI122" s="45"/>
      <c r="CJ122" s="45"/>
      <c r="CK122" s="45"/>
      <c r="CL122" s="45"/>
      <c r="CM122" s="45"/>
      <c r="CN122" s="45"/>
      <c r="CO122" s="45"/>
      <c r="CP122" s="45"/>
      <c r="CQ122" s="45"/>
      <c r="CR122" s="45"/>
      <c r="CS122" s="45"/>
      <c r="CT122" s="45"/>
      <c r="CU122" s="45"/>
      <c r="CV122" s="45"/>
      <c r="CW122" s="45"/>
      <c r="CX122" s="24"/>
      <c r="CY122" s="24"/>
      <c r="CZ122" s="24"/>
      <c r="DA122" s="24"/>
      <c r="DB122" s="24"/>
      <c r="DC122" s="24"/>
      <c r="DD122" s="24"/>
      <c r="DE122" s="24"/>
      <c r="DF122" s="24"/>
      <c r="DG122" s="24"/>
      <c r="DH122" s="24"/>
      <c r="DI122" s="24"/>
      <c r="DJ122" s="24"/>
      <c r="DK122" s="24"/>
      <c r="DL122" s="24"/>
      <c r="DM122" s="24"/>
      <c r="DN122" s="24"/>
      <c r="DO122" s="24"/>
      <c r="DP122" s="24"/>
      <c r="DQ122" s="24"/>
      <c r="DR122" s="24"/>
      <c r="DS122" s="24"/>
      <c r="DT122" s="24"/>
      <c r="DU122" s="24"/>
      <c r="DV122" s="24"/>
      <c r="DW122" s="24"/>
      <c r="DX122" s="24"/>
      <c r="DY122" s="24"/>
      <c r="DZ122" s="24"/>
      <c r="EA122" s="24"/>
    </row>
    <row r="123" spans="1:131">
      <c r="A123" s="24"/>
      <c r="B123" s="24" t="s">
        <v>643</v>
      </c>
      <c r="C123" s="45">
        <v>4165.8277497621002</v>
      </c>
      <c r="D123" s="45">
        <v>1144.0631851246892</v>
      </c>
      <c r="E123" s="45">
        <v>228.81263702493786</v>
      </c>
      <c r="F123" s="45">
        <v>1372.8758221496271</v>
      </c>
      <c r="G123" s="45">
        <v>1731.9176079248132</v>
      </c>
      <c r="H123" s="45">
        <v>2747.0084355373233</v>
      </c>
      <c r="I123" s="45">
        <v>2886.9153801948555</v>
      </c>
      <c r="J123" s="45">
        <v>4.1308768416636159</v>
      </c>
      <c r="K123" s="45">
        <v>17.338750557712238</v>
      </c>
      <c r="L123" s="199">
        <v>1.5186922569248629</v>
      </c>
      <c r="M123" s="45">
        <v>39.575468474572716</v>
      </c>
      <c r="N123" s="198">
        <v>170.6217488867342</v>
      </c>
      <c r="O123" s="198">
        <v>126.1342585134811</v>
      </c>
      <c r="P123" s="198">
        <v>117.499879458498</v>
      </c>
      <c r="Q123" s="198">
        <v>67.453578721842945</v>
      </c>
      <c r="R123" s="198">
        <v>54.184712605636371</v>
      </c>
      <c r="S123" s="198">
        <v>42.031487628002907</v>
      </c>
      <c r="T123" s="198">
        <v>43.859529196812943</v>
      </c>
      <c r="U123" s="198">
        <v>63.838992860646769</v>
      </c>
      <c r="V123" s="198">
        <v>80.65555649596817</v>
      </c>
      <c r="W123" s="198">
        <v>131.58043444151284</v>
      </c>
      <c r="X123" s="198">
        <v>152.37367953922902</v>
      </c>
      <c r="Y123" s="198">
        <v>179.49312192290353</v>
      </c>
      <c r="Z123" s="198"/>
      <c r="AA123" s="198">
        <v>282.77872079108676</v>
      </c>
      <c r="AB123" s="198">
        <v>245.28684529482209</v>
      </c>
      <c r="AC123" s="198">
        <v>247.27568011516726</v>
      </c>
      <c r="AD123" s="198">
        <v>235.46826277129048</v>
      </c>
      <c r="AE123" s="198">
        <v>216.87825604119328</v>
      </c>
      <c r="AF123" s="198">
        <v>197.05403872894709</v>
      </c>
      <c r="AG123" s="198">
        <v>215.17792606121367</v>
      </c>
      <c r="AH123" s="198">
        <v>232.34988387626706</v>
      </c>
      <c r="AI123" s="198">
        <v>250.44922041220755</v>
      </c>
      <c r="AJ123" s="198">
        <v>258.47778372829447</v>
      </c>
      <c r="AK123" s="198">
        <v>270.95690283809955</v>
      </c>
      <c r="AL123" s="198">
        <v>283.94724883224274</v>
      </c>
      <c r="AM123" s="45"/>
      <c r="AN123" s="45"/>
      <c r="AO123" s="45"/>
      <c r="AP123" s="45"/>
      <c r="AQ123" s="45"/>
      <c r="AR123" s="45"/>
      <c r="AS123" s="45"/>
      <c r="AT123" s="45"/>
      <c r="AU123" s="45"/>
      <c r="AV123" s="45"/>
      <c r="AW123" s="45"/>
      <c r="AX123" s="45"/>
      <c r="AY123" s="45"/>
      <c r="AZ123" s="45"/>
      <c r="BA123" s="45"/>
      <c r="BB123" s="45"/>
      <c r="BC123" s="45"/>
      <c r="BD123" s="45"/>
      <c r="BE123" s="45"/>
      <c r="BF123" s="45"/>
      <c r="BG123" s="45"/>
      <c r="BH123" s="45"/>
      <c r="BI123" s="45"/>
      <c r="BJ123" s="45"/>
      <c r="BK123" s="45"/>
      <c r="BL123" s="45"/>
      <c r="BM123" s="45"/>
      <c r="BN123" s="45"/>
      <c r="BO123" s="45"/>
      <c r="BP123" s="45"/>
      <c r="BQ123" s="45"/>
      <c r="BR123" s="45"/>
      <c r="BS123" s="45"/>
      <c r="BT123" s="45"/>
      <c r="BU123" s="45"/>
      <c r="BV123" s="45"/>
      <c r="BW123" s="45"/>
      <c r="BX123" s="45"/>
      <c r="BY123" s="45"/>
      <c r="BZ123" s="45"/>
      <c r="CA123" s="45"/>
      <c r="CB123" s="45"/>
      <c r="CC123" s="45"/>
      <c r="CD123" s="45"/>
      <c r="CE123" s="45"/>
      <c r="CF123" s="45"/>
      <c r="CG123" s="45"/>
      <c r="CH123" s="45"/>
      <c r="CI123" s="45"/>
      <c r="CJ123" s="45"/>
      <c r="CK123" s="45"/>
      <c r="CL123" s="45"/>
      <c r="CM123" s="45"/>
      <c r="CN123" s="45"/>
      <c r="CO123" s="45"/>
      <c r="CP123" s="45"/>
      <c r="CQ123" s="45"/>
      <c r="CR123" s="45"/>
      <c r="CS123" s="45"/>
      <c r="CT123" s="45"/>
      <c r="CU123" s="45"/>
      <c r="CV123" s="45"/>
      <c r="CW123" s="45"/>
      <c r="CX123" s="24"/>
      <c r="CY123" s="24"/>
      <c r="CZ123" s="24"/>
      <c r="DA123" s="24"/>
      <c r="DB123" s="24"/>
      <c r="DC123" s="24"/>
      <c r="DD123" s="24"/>
      <c r="DE123" s="24"/>
      <c r="DF123" s="24"/>
      <c r="DG123" s="24"/>
      <c r="DH123" s="24"/>
      <c r="DI123" s="24"/>
      <c r="DJ123" s="24"/>
      <c r="DK123" s="24"/>
      <c r="DL123" s="24"/>
      <c r="DM123" s="24"/>
      <c r="DN123" s="24"/>
      <c r="DO123" s="24"/>
      <c r="DP123" s="24"/>
      <c r="DQ123" s="24"/>
      <c r="DR123" s="24"/>
      <c r="DS123" s="24"/>
      <c r="DT123" s="24"/>
      <c r="DU123" s="24"/>
      <c r="DV123" s="24"/>
      <c r="DW123" s="24"/>
      <c r="DX123" s="24"/>
      <c r="DY123" s="24"/>
      <c r="DZ123" s="24"/>
      <c r="EA123" s="24"/>
    </row>
    <row r="124" spans="1:131">
      <c r="A124" s="24"/>
      <c r="B124" s="24" t="s">
        <v>644</v>
      </c>
      <c r="C124" s="45">
        <v>7572.4290329950545</v>
      </c>
      <c r="D124" s="45">
        <v>2259.189625708249</v>
      </c>
      <c r="E124" s="45">
        <v>451.83792514164986</v>
      </c>
      <c r="F124" s="45">
        <v>2711.0275508498989</v>
      </c>
      <c r="G124" s="45">
        <v>3987.9485267054365</v>
      </c>
      <c r="H124" s="45">
        <v>4993.3717092198713</v>
      </c>
      <c r="I124" s="45">
        <v>3136.1933194707067</v>
      </c>
      <c r="J124" s="45">
        <v>5.6318807698405706</v>
      </c>
      <c r="K124" s="45">
        <v>25.498721094018155</v>
      </c>
      <c r="L124" s="199">
        <v>1.2435305259517815</v>
      </c>
      <c r="M124" s="45">
        <v>71.938266407762214</v>
      </c>
      <c r="N124" s="198">
        <v>310.14750549973689</v>
      </c>
      <c r="O124" s="198">
        <v>229.28041642560322</v>
      </c>
      <c r="P124" s="198">
        <v>213.58528293344858</v>
      </c>
      <c r="Q124" s="198">
        <v>122.61367213799724</v>
      </c>
      <c r="R124" s="198">
        <v>98.494204639845179</v>
      </c>
      <c r="S124" s="198">
        <v>76.402692653924035</v>
      </c>
      <c r="T124" s="198">
        <v>79.725613302760109</v>
      </c>
      <c r="U124" s="198">
        <v>116.04326247112169</v>
      </c>
      <c r="V124" s="198">
        <v>146.61155342232314</v>
      </c>
      <c r="W124" s="198">
        <v>239.18019701988766</v>
      </c>
      <c r="X124" s="198">
        <v>276.97709653814536</v>
      </c>
      <c r="Y124" s="198">
        <v>326.27343455320158</v>
      </c>
      <c r="Z124" s="198"/>
      <c r="AA124" s="198">
        <v>514.02072381747257</v>
      </c>
      <c r="AB124" s="198">
        <v>445.8699063657516</v>
      </c>
      <c r="AC124" s="198">
        <v>449.48510877931119</v>
      </c>
      <c r="AD124" s="198">
        <v>428.02218825779698</v>
      </c>
      <c r="AE124" s="198">
        <v>394.23022297680325</v>
      </c>
      <c r="AF124" s="198">
        <v>358.19477270158984</v>
      </c>
      <c r="AG124" s="198">
        <v>391.13944993492589</v>
      </c>
      <c r="AH124" s="198">
        <v>422.35375828444955</v>
      </c>
      <c r="AI124" s="198">
        <v>455.25380833345378</v>
      </c>
      <c r="AJ124" s="198">
        <v>469.84772090015736</v>
      </c>
      <c r="AK124" s="198">
        <v>492.53162660381679</v>
      </c>
      <c r="AL124" s="198">
        <v>516.14481444153262</v>
      </c>
      <c r="AM124" s="45"/>
      <c r="AN124" s="45"/>
      <c r="AO124" s="45"/>
      <c r="AP124" s="45"/>
      <c r="AQ124" s="45"/>
      <c r="AR124" s="45"/>
      <c r="AS124" s="45"/>
      <c r="AT124" s="45"/>
      <c r="AU124" s="45"/>
      <c r="AV124" s="45"/>
      <c r="AW124" s="45"/>
      <c r="AX124" s="45"/>
      <c r="AY124" s="45"/>
      <c r="AZ124" s="45"/>
      <c r="BA124" s="45"/>
      <c r="BB124" s="45"/>
      <c r="BC124" s="45"/>
      <c r="BD124" s="45"/>
      <c r="BE124" s="45"/>
      <c r="BF124" s="45"/>
      <c r="BG124" s="45"/>
      <c r="BH124" s="45"/>
      <c r="BI124" s="45"/>
      <c r="BJ124" s="45"/>
      <c r="BK124" s="45"/>
      <c r="BL124" s="45"/>
      <c r="BM124" s="45"/>
      <c r="BN124" s="45"/>
      <c r="BO124" s="45"/>
      <c r="BP124" s="45"/>
      <c r="BQ124" s="45"/>
      <c r="BR124" s="45"/>
      <c r="BS124" s="45"/>
      <c r="BT124" s="45"/>
      <c r="BU124" s="45"/>
      <c r="BV124" s="45"/>
      <c r="BW124" s="45"/>
      <c r="BX124" s="45"/>
      <c r="BY124" s="45"/>
      <c r="BZ124" s="45"/>
      <c r="CA124" s="45"/>
      <c r="CB124" s="45"/>
      <c r="CC124" s="45"/>
      <c r="CD124" s="45"/>
      <c r="CE124" s="45"/>
      <c r="CF124" s="45"/>
      <c r="CG124" s="45"/>
      <c r="CH124" s="45"/>
      <c r="CI124" s="45"/>
      <c r="CJ124" s="45"/>
      <c r="CK124" s="45"/>
      <c r="CL124" s="45"/>
      <c r="CM124" s="45"/>
      <c r="CN124" s="45"/>
      <c r="CO124" s="45"/>
      <c r="CP124" s="45"/>
      <c r="CQ124" s="45"/>
      <c r="CR124" s="45"/>
      <c r="CS124" s="45"/>
      <c r="CT124" s="45"/>
      <c r="CU124" s="45"/>
      <c r="CV124" s="45"/>
      <c r="CW124" s="45"/>
      <c r="CX124" s="24"/>
      <c r="CY124" s="24"/>
      <c r="CZ124" s="24"/>
      <c r="DA124" s="24"/>
      <c r="DB124" s="24"/>
      <c r="DC124" s="24"/>
      <c r="DD124" s="24"/>
      <c r="DE124" s="24"/>
      <c r="DF124" s="24"/>
      <c r="DG124" s="24"/>
      <c r="DH124" s="24"/>
      <c r="DI124" s="24"/>
      <c r="DJ124" s="24"/>
      <c r="DK124" s="24"/>
      <c r="DL124" s="24"/>
      <c r="DM124" s="24"/>
      <c r="DN124" s="24"/>
      <c r="DO124" s="24"/>
      <c r="DP124" s="24"/>
      <c r="DQ124" s="24"/>
      <c r="DR124" s="24"/>
      <c r="DS124" s="24"/>
      <c r="DT124" s="24"/>
      <c r="DU124" s="24"/>
      <c r="DV124" s="24"/>
      <c r="DW124" s="24"/>
      <c r="DX124" s="24"/>
      <c r="DY124" s="24"/>
      <c r="DZ124" s="24"/>
      <c r="EA124" s="24"/>
    </row>
    <row r="125" spans="1:131">
      <c r="A125" s="24"/>
      <c r="B125" s="24" t="s">
        <v>645</v>
      </c>
      <c r="C125" s="45">
        <v>870.25583029542668</v>
      </c>
      <c r="D125" s="45">
        <v>316.36842580635459</v>
      </c>
      <c r="E125" s="45">
        <v>63.273685161270912</v>
      </c>
      <c r="F125" s="45">
        <v>379.64211096762551</v>
      </c>
      <c r="G125" s="45">
        <v>541.25234503590229</v>
      </c>
      <c r="H125" s="45">
        <v>573.85956657319707</v>
      </c>
      <c r="I125" s="45">
        <v>3821.4795883038582</v>
      </c>
      <c r="J125" s="45">
        <v>9.7582683051050552</v>
      </c>
      <c r="K125" s="45">
        <v>32.511477616000754</v>
      </c>
      <c r="L125" s="199">
        <v>1.0569400059631653</v>
      </c>
      <c r="M125" s="45">
        <v>8.2674522917171966</v>
      </c>
      <c r="N125" s="198">
        <v>35.643473677557175</v>
      </c>
      <c r="O125" s="198">
        <v>26.349883016074326</v>
      </c>
      <c r="P125" s="198">
        <v>24.546131357353232</v>
      </c>
      <c r="Q125" s="198">
        <v>14.091285977997451</v>
      </c>
      <c r="R125" s="198">
        <v>11.319373937299746</v>
      </c>
      <c r="S125" s="198">
        <v>8.7805231904628123</v>
      </c>
      <c r="T125" s="198">
        <v>9.1624073990382069</v>
      </c>
      <c r="U125" s="198">
        <v>13.336186485468261</v>
      </c>
      <c r="V125" s="198">
        <v>16.849224812607027</v>
      </c>
      <c r="W125" s="198">
        <v>27.487608010693918</v>
      </c>
      <c r="X125" s="198">
        <v>31.831388854268805</v>
      </c>
      <c r="Y125" s="198">
        <v>37.496734198924841</v>
      </c>
      <c r="Z125" s="198"/>
      <c r="AA125" s="198">
        <v>59.073453160894474</v>
      </c>
      <c r="AB125" s="198">
        <v>51.241270651380525</v>
      </c>
      <c r="AC125" s="198">
        <v>51.656745126531064</v>
      </c>
      <c r="AD125" s="198">
        <v>49.190134790847615</v>
      </c>
      <c r="AE125" s="198">
        <v>45.306618065264757</v>
      </c>
      <c r="AF125" s="198">
        <v>41.16527047881906</v>
      </c>
      <c r="AG125" s="198">
        <v>44.951413249466064</v>
      </c>
      <c r="AH125" s="198">
        <v>48.538694650381103</v>
      </c>
      <c r="AI125" s="198">
        <v>52.319708674732134</v>
      </c>
      <c r="AJ125" s="198">
        <v>53.996903329532643</v>
      </c>
      <c r="AK125" s="198">
        <v>56.603834488143114</v>
      </c>
      <c r="AL125" s="198">
        <v>59.317562711688502</v>
      </c>
      <c r="AM125" s="45"/>
      <c r="AN125" s="45"/>
      <c r="AO125" s="45"/>
      <c r="AP125" s="45"/>
      <c r="AQ125" s="45"/>
      <c r="AR125" s="45"/>
      <c r="AS125" s="45"/>
      <c r="AT125" s="45"/>
      <c r="AU125" s="45"/>
      <c r="AV125" s="45"/>
      <c r="AW125" s="45"/>
      <c r="AX125" s="45"/>
      <c r="AY125" s="45"/>
      <c r="AZ125" s="45"/>
      <c r="BA125" s="45"/>
      <c r="BB125" s="45"/>
      <c r="BC125" s="45"/>
      <c r="BD125" s="45"/>
      <c r="BE125" s="45"/>
      <c r="BF125" s="45"/>
      <c r="BG125" s="45"/>
      <c r="BH125" s="45"/>
      <c r="BI125" s="45"/>
      <c r="BJ125" s="45"/>
      <c r="BK125" s="45"/>
      <c r="BL125" s="45"/>
      <c r="BM125" s="45"/>
      <c r="BN125" s="45"/>
      <c r="BO125" s="45"/>
      <c r="BP125" s="45"/>
      <c r="BQ125" s="45"/>
      <c r="BR125" s="45"/>
      <c r="BS125" s="45"/>
      <c r="BT125" s="45"/>
      <c r="BU125" s="45"/>
      <c r="BV125" s="45"/>
      <c r="BW125" s="45"/>
      <c r="BX125" s="45"/>
      <c r="BY125" s="45"/>
      <c r="BZ125" s="45"/>
      <c r="CA125" s="45"/>
      <c r="CB125" s="45"/>
      <c r="CC125" s="45"/>
      <c r="CD125" s="45"/>
      <c r="CE125" s="45"/>
      <c r="CF125" s="45"/>
      <c r="CG125" s="45"/>
      <c r="CH125" s="45"/>
      <c r="CI125" s="45"/>
      <c r="CJ125" s="45"/>
      <c r="CK125" s="45"/>
      <c r="CL125" s="45"/>
      <c r="CM125" s="45"/>
      <c r="CN125" s="45"/>
      <c r="CO125" s="45"/>
      <c r="CP125" s="45"/>
      <c r="CQ125" s="45"/>
      <c r="CR125" s="45"/>
      <c r="CS125" s="45"/>
      <c r="CT125" s="45"/>
      <c r="CU125" s="45"/>
      <c r="CV125" s="45"/>
      <c r="CW125" s="45"/>
      <c r="CX125" s="24"/>
      <c r="CY125" s="24"/>
      <c r="CZ125" s="24"/>
      <c r="DA125" s="24"/>
      <c r="DB125" s="24"/>
      <c r="DC125" s="24"/>
      <c r="DD125" s="24"/>
      <c r="DE125" s="24"/>
      <c r="DF125" s="24"/>
      <c r="DG125" s="24"/>
      <c r="DH125" s="24"/>
      <c r="DI125" s="24"/>
      <c r="DJ125" s="24"/>
      <c r="DK125" s="24"/>
      <c r="DL125" s="24"/>
      <c r="DM125" s="24"/>
      <c r="DN125" s="24"/>
      <c r="DO125" s="24"/>
      <c r="DP125" s="24"/>
      <c r="DQ125" s="24"/>
      <c r="DR125" s="24"/>
      <c r="DS125" s="24"/>
      <c r="DT125" s="24"/>
      <c r="DU125" s="24"/>
      <c r="DV125" s="24"/>
      <c r="DW125" s="24"/>
      <c r="DX125" s="24"/>
      <c r="DY125" s="24"/>
      <c r="DZ125" s="24"/>
      <c r="EA125" s="24"/>
    </row>
    <row r="126" spans="1:131">
      <c r="A126" s="24"/>
      <c r="B126" s="24" t="s">
        <v>646</v>
      </c>
      <c r="C126" s="228">
        <v>0</v>
      </c>
      <c r="D126" s="228">
        <v>0</v>
      </c>
      <c r="E126" s="228">
        <v>0</v>
      </c>
      <c r="F126" s="228">
        <v>0</v>
      </c>
      <c r="G126" s="228">
        <v>0</v>
      </c>
      <c r="H126" s="228">
        <v>0</v>
      </c>
      <c r="I126" s="228">
        <v>0</v>
      </c>
      <c r="J126" s="228">
        <v>0</v>
      </c>
      <c r="K126" s="228">
        <v>0</v>
      </c>
      <c r="L126" s="229">
        <v>0</v>
      </c>
      <c r="M126" s="228">
        <v>0</v>
      </c>
      <c r="N126" s="228">
        <v>0</v>
      </c>
      <c r="O126" s="228">
        <v>0</v>
      </c>
      <c r="P126" s="228">
        <v>0</v>
      </c>
      <c r="Q126" s="228">
        <v>0</v>
      </c>
      <c r="R126" s="228">
        <v>0</v>
      </c>
      <c r="S126" s="228">
        <v>0</v>
      </c>
      <c r="T126" s="228">
        <v>0</v>
      </c>
      <c r="U126" s="228">
        <v>0</v>
      </c>
      <c r="V126" s="228">
        <v>0</v>
      </c>
      <c r="W126" s="228">
        <v>0</v>
      </c>
      <c r="X126" s="228">
        <v>0</v>
      </c>
      <c r="Y126" s="228">
        <v>0</v>
      </c>
      <c r="Z126" s="228"/>
      <c r="AA126" s="228">
        <v>0</v>
      </c>
      <c r="AB126" s="228">
        <v>0</v>
      </c>
      <c r="AC126" s="228">
        <v>0</v>
      </c>
      <c r="AD126" s="228">
        <v>0</v>
      </c>
      <c r="AE126" s="228">
        <v>0</v>
      </c>
      <c r="AF126" s="228">
        <v>0</v>
      </c>
      <c r="AG126" s="228">
        <v>0</v>
      </c>
      <c r="AH126" s="228">
        <v>0</v>
      </c>
      <c r="AI126" s="228">
        <v>0</v>
      </c>
      <c r="AJ126" s="228">
        <v>0</v>
      </c>
      <c r="AK126" s="228">
        <v>0</v>
      </c>
      <c r="AL126" s="228">
        <v>0</v>
      </c>
      <c r="AM126" s="45"/>
      <c r="AN126" s="45"/>
      <c r="AO126" s="45"/>
      <c r="AP126" s="45"/>
      <c r="AQ126" s="45"/>
      <c r="AR126" s="45"/>
      <c r="AS126" s="45"/>
      <c r="AT126" s="45"/>
      <c r="AU126" s="45"/>
      <c r="AV126" s="45"/>
      <c r="AW126" s="45"/>
      <c r="AX126" s="45"/>
      <c r="AY126" s="45"/>
      <c r="AZ126" s="45"/>
      <c r="BA126" s="45"/>
      <c r="BB126" s="45"/>
      <c r="BC126" s="45"/>
      <c r="BD126" s="45"/>
      <c r="BE126" s="45"/>
      <c r="BF126" s="45"/>
      <c r="BG126" s="45"/>
      <c r="BH126" s="45"/>
      <c r="BI126" s="45"/>
      <c r="BJ126" s="45"/>
      <c r="BK126" s="45"/>
      <c r="BL126" s="45"/>
      <c r="BM126" s="45"/>
      <c r="BN126" s="45"/>
      <c r="BO126" s="45"/>
      <c r="BP126" s="45"/>
      <c r="BQ126" s="45"/>
      <c r="BR126" s="45"/>
      <c r="BS126" s="45"/>
      <c r="BT126" s="45"/>
      <c r="BU126" s="45"/>
      <c r="BV126" s="45"/>
      <c r="BW126" s="45"/>
      <c r="BX126" s="45"/>
      <c r="BY126" s="45"/>
      <c r="BZ126" s="45"/>
      <c r="CA126" s="45"/>
      <c r="CB126" s="45"/>
      <c r="CC126" s="45"/>
      <c r="CD126" s="45"/>
      <c r="CE126" s="45"/>
      <c r="CF126" s="45"/>
      <c r="CG126" s="45"/>
      <c r="CH126" s="45"/>
      <c r="CI126" s="45"/>
      <c r="CJ126" s="45"/>
      <c r="CK126" s="45"/>
      <c r="CL126" s="45"/>
      <c r="CM126" s="45"/>
      <c r="CN126" s="45"/>
      <c r="CO126" s="45"/>
      <c r="CP126" s="45"/>
      <c r="CQ126" s="45"/>
      <c r="CR126" s="45"/>
      <c r="CS126" s="45"/>
      <c r="CT126" s="45"/>
      <c r="CU126" s="45"/>
      <c r="CV126" s="45"/>
      <c r="CW126" s="45"/>
      <c r="CX126" s="24"/>
      <c r="CY126" s="24"/>
      <c r="CZ126" s="24"/>
      <c r="DA126" s="24"/>
      <c r="DB126" s="24"/>
      <c r="DC126" s="24"/>
      <c r="DD126" s="24"/>
      <c r="DE126" s="24"/>
      <c r="DF126" s="24"/>
      <c r="DG126" s="24"/>
      <c r="DH126" s="24"/>
      <c r="DI126" s="24"/>
      <c r="DJ126" s="24"/>
      <c r="DK126" s="24"/>
      <c r="DL126" s="24"/>
      <c r="DM126" s="24"/>
      <c r="DN126" s="24"/>
      <c r="DO126" s="24"/>
      <c r="DP126" s="24"/>
      <c r="DQ126" s="24"/>
      <c r="DR126" s="24"/>
      <c r="DS126" s="24"/>
      <c r="DT126" s="24"/>
      <c r="DU126" s="24"/>
      <c r="DV126" s="24"/>
      <c r="DW126" s="24"/>
      <c r="DX126" s="24"/>
      <c r="DY126" s="24"/>
      <c r="DZ126" s="24"/>
      <c r="EA126" s="24"/>
    </row>
    <row r="127" spans="1:131">
      <c r="A127" s="24"/>
      <c r="B127" s="24" t="s">
        <v>647</v>
      </c>
      <c r="C127" s="228">
        <v>0</v>
      </c>
      <c r="D127" s="228">
        <v>0</v>
      </c>
      <c r="E127" s="228">
        <v>0</v>
      </c>
      <c r="F127" s="228">
        <v>0</v>
      </c>
      <c r="G127" s="228">
        <v>0</v>
      </c>
      <c r="H127" s="228">
        <v>0</v>
      </c>
      <c r="I127" s="228">
        <v>0</v>
      </c>
      <c r="J127" s="228">
        <v>0</v>
      </c>
      <c r="K127" s="228">
        <v>0</v>
      </c>
      <c r="L127" s="229">
        <v>0</v>
      </c>
      <c r="M127" s="228">
        <v>0</v>
      </c>
      <c r="N127" s="228">
        <v>0</v>
      </c>
      <c r="O127" s="228">
        <v>0</v>
      </c>
      <c r="P127" s="228">
        <v>0</v>
      </c>
      <c r="Q127" s="228">
        <v>0</v>
      </c>
      <c r="R127" s="228">
        <v>0</v>
      </c>
      <c r="S127" s="228">
        <v>0</v>
      </c>
      <c r="T127" s="228">
        <v>0</v>
      </c>
      <c r="U127" s="228">
        <v>0</v>
      </c>
      <c r="V127" s="228">
        <v>0</v>
      </c>
      <c r="W127" s="228">
        <v>0</v>
      </c>
      <c r="X127" s="228">
        <v>0</v>
      </c>
      <c r="Y127" s="228">
        <v>0</v>
      </c>
      <c r="Z127" s="228"/>
      <c r="AA127" s="228">
        <v>0</v>
      </c>
      <c r="AB127" s="228">
        <v>0</v>
      </c>
      <c r="AC127" s="228">
        <v>0</v>
      </c>
      <c r="AD127" s="228">
        <v>0</v>
      </c>
      <c r="AE127" s="228">
        <v>0</v>
      </c>
      <c r="AF127" s="228">
        <v>0</v>
      </c>
      <c r="AG127" s="228">
        <v>0</v>
      </c>
      <c r="AH127" s="228">
        <v>0</v>
      </c>
      <c r="AI127" s="228">
        <v>0</v>
      </c>
      <c r="AJ127" s="228">
        <v>0</v>
      </c>
      <c r="AK127" s="228">
        <v>0</v>
      </c>
      <c r="AL127" s="228">
        <v>0</v>
      </c>
      <c r="AM127" s="45"/>
      <c r="AN127" s="45"/>
      <c r="AO127" s="45"/>
      <c r="AP127" s="45"/>
      <c r="AQ127" s="45"/>
      <c r="AR127" s="45"/>
      <c r="AS127" s="45"/>
      <c r="AT127" s="45"/>
      <c r="AU127" s="45"/>
      <c r="AV127" s="45"/>
      <c r="AW127" s="45"/>
      <c r="AX127" s="45"/>
      <c r="AY127" s="45"/>
      <c r="AZ127" s="45"/>
      <c r="BA127" s="45"/>
      <c r="BB127" s="45"/>
      <c r="BC127" s="45"/>
      <c r="BD127" s="45"/>
      <c r="BE127" s="45"/>
      <c r="BF127" s="45"/>
      <c r="BG127" s="45"/>
      <c r="BH127" s="45"/>
      <c r="BI127" s="45"/>
      <c r="BJ127" s="45"/>
      <c r="BK127" s="45"/>
      <c r="BL127" s="45"/>
      <c r="BM127" s="45"/>
      <c r="BN127" s="45"/>
      <c r="BO127" s="45"/>
      <c r="BP127" s="45"/>
      <c r="BQ127" s="45"/>
      <c r="BR127" s="45"/>
      <c r="BS127" s="45"/>
      <c r="BT127" s="45"/>
      <c r="BU127" s="45"/>
      <c r="BV127" s="45"/>
      <c r="BW127" s="45"/>
      <c r="BX127" s="45"/>
      <c r="BY127" s="45"/>
      <c r="BZ127" s="45"/>
      <c r="CA127" s="45"/>
      <c r="CB127" s="45"/>
      <c r="CC127" s="45"/>
      <c r="CD127" s="45"/>
      <c r="CE127" s="45"/>
      <c r="CF127" s="45"/>
      <c r="CG127" s="45"/>
      <c r="CH127" s="45"/>
      <c r="CI127" s="45"/>
      <c r="CJ127" s="45"/>
      <c r="CK127" s="45"/>
      <c r="CL127" s="45"/>
      <c r="CM127" s="45"/>
      <c r="CN127" s="45"/>
      <c r="CO127" s="45"/>
      <c r="CP127" s="45"/>
      <c r="CQ127" s="45"/>
      <c r="CR127" s="45"/>
      <c r="CS127" s="45"/>
      <c r="CT127" s="45"/>
      <c r="CU127" s="45"/>
      <c r="CV127" s="45"/>
      <c r="CW127" s="45"/>
      <c r="CX127" s="24"/>
      <c r="CY127" s="24"/>
      <c r="CZ127" s="24"/>
      <c r="DA127" s="24"/>
      <c r="DB127" s="24"/>
      <c r="DC127" s="24"/>
      <c r="DD127" s="24"/>
      <c r="DE127" s="24"/>
      <c r="DF127" s="24"/>
      <c r="DG127" s="24"/>
      <c r="DH127" s="24"/>
      <c r="DI127" s="24"/>
      <c r="DJ127" s="24"/>
      <c r="DK127" s="24"/>
      <c r="DL127" s="24"/>
      <c r="DM127" s="24"/>
      <c r="DN127" s="24"/>
      <c r="DO127" s="24"/>
      <c r="DP127" s="24"/>
      <c r="DQ127" s="24"/>
      <c r="DR127" s="24"/>
      <c r="DS127" s="24"/>
      <c r="DT127" s="24"/>
      <c r="DU127" s="24"/>
      <c r="DV127" s="24"/>
      <c r="DW127" s="24"/>
      <c r="DX127" s="24"/>
      <c r="DY127" s="24"/>
      <c r="DZ127" s="24"/>
      <c r="EA127" s="24"/>
    </row>
    <row r="128" spans="1:131">
      <c r="A128" s="24"/>
      <c r="B128" s="24" t="s">
        <v>648</v>
      </c>
      <c r="C128" s="228">
        <v>0</v>
      </c>
      <c r="D128" s="228">
        <v>0</v>
      </c>
      <c r="E128" s="228">
        <v>0</v>
      </c>
      <c r="F128" s="228">
        <v>0</v>
      </c>
      <c r="G128" s="228">
        <v>0</v>
      </c>
      <c r="H128" s="228">
        <v>0</v>
      </c>
      <c r="I128" s="228">
        <v>0</v>
      </c>
      <c r="J128" s="228">
        <v>0</v>
      </c>
      <c r="K128" s="228">
        <v>0</v>
      </c>
      <c r="L128" s="229">
        <v>0</v>
      </c>
      <c r="M128" s="228">
        <v>0</v>
      </c>
      <c r="N128" s="228">
        <v>0</v>
      </c>
      <c r="O128" s="228">
        <v>0</v>
      </c>
      <c r="P128" s="228">
        <v>0</v>
      </c>
      <c r="Q128" s="228">
        <v>0</v>
      </c>
      <c r="R128" s="228">
        <v>0</v>
      </c>
      <c r="S128" s="228">
        <v>0</v>
      </c>
      <c r="T128" s="228">
        <v>0</v>
      </c>
      <c r="U128" s="228">
        <v>0</v>
      </c>
      <c r="V128" s="228">
        <v>0</v>
      </c>
      <c r="W128" s="228">
        <v>0</v>
      </c>
      <c r="X128" s="228">
        <v>0</v>
      </c>
      <c r="Y128" s="228">
        <v>0</v>
      </c>
      <c r="Z128" s="228"/>
      <c r="AA128" s="228">
        <v>0</v>
      </c>
      <c r="AB128" s="228">
        <v>0</v>
      </c>
      <c r="AC128" s="228">
        <v>0</v>
      </c>
      <c r="AD128" s="228">
        <v>0</v>
      </c>
      <c r="AE128" s="228">
        <v>0</v>
      </c>
      <c r="AF128" s="228">
        <v>0</v>
      </c>
      <c r="AG128" s="228">
        <v>0</v>
      </c>
      <c r="AH128" s="228">
        <v>0</v>
      </c>
      <c r="AI128" s="228">
        <v>0</v>
      </c>
      <c r="AJ128" s="228">
        <v>0</v>
      </c>
      <c r="AK128" s="228">
        <v>0</v>
      </c>
      <c r="AL128" s="228">
        <v>0</v>
      </c>
      <c r="AM128" s="45"/>
      <c r="AN128" s="45"/>
      <c r="AO128" s="45"/>
      <c r="AP128" s="45"/>
      <c r="AQ128" s="45"/>
      <c r="AR128" s="45"/>
      <c r="AS128" s="45"/>
      <c r="AT128" s="45"/>
      <c r="AU128" s="45"/>
      <c r="AV128" s="45"/>
      <c r="AW128" s="45"/>
      <c r="AX128" s="45"/>
      <c r="AY128" s="45"/>
      <c r="AZ128" s="45"/>
      <c r="BA128" s="45"/>
      <c r="BB128" s="45"/>
      <c r="BC128" s="45"/>
      <c r="BD128" s="45"/>
      <c r="BE128" s="45"/>
      <c r="BF128" s="45"/>
      <c r="BG128" s="45"/>
      <c r="BH128" s="45"/>
      <c r="BI128" s="45"/>
      <c r="BJ128" s="45"/>
      <c r="BK128" s="45"/>
      <c r="BL128" s="45"/>
      <c r="BM128" s="45"/>
      <c r="BN128" s="45"/>
      <c r="BO128" s="45"/>
      <c r="BP128" s="45"/>
      <c r="BQ128" s="45"/>
      <c r="BR128" s="45"/>
      <c r="BS128" s="45"/>
      <c r="BT128" s="45"/>
      <c r="BU128" s="45"/>
      <c r="BV128" s="45"/>
      <c r="BW128" s="45"/>
      <c r="BX128" s="45"/>
      <c r="BY128" s="45"/>
      <c r="BZ128" s="45"/>
      <c r="CA128" s="45"/>
      <c r="CB128" s="45"/>
      <c r="CC128" s="45"/>
      <c r="CD128" s="45"/>
      <c r="CE128" s="45"/>
      <c r="CF128" s="45"/>
      <c r="CG128" s="45"/>
      <c r="CH128" s="45"/>
      <c r="CI128" s="45"/>
      <c r="CJ128" s="45"/>
      <c r="CK128" s="45"/>
      <c r="CL128" s="45"/>
      <c r="CM128" s="45"/>
      <c r="CN128" s="45"/>
      <c r="CO128" s="45"/>
      <c r="CP128" s="45"/>
      <c r="CQ128" s="45"/>
      <c r="CR128" s="45"/>
      <c r="CS128" s="45"/>
      <c r="CT128" s="45"/>
      <c r="CU128" s="45"/>
      <c r="CV128" s="45"/>
      <c r="CW128" s="45"/>
      <c r="CX128" s="24"/>
      <c r="CY128" s="24"/>
      <c r="CZ128" s="24"/>
      <c r="DA128" s="24"/>
      <c r="DB128" s="24"/>
      <c r="DC128" s="24"/>
      <c r="DD128" s="24"/>
      <c r="DE128" s="24"/>
      <c r="DF128" s="24"/>
      <c r="DG128" s="24"/>
      <c r="DH128" s="24"/>
      <c r="DI128" s="24"/>
      <c r="DJ128" s="24"/>
      <c r="DK128" s="24"/>
      <c r="DL128" s="24"/>
      <c r="DM128" s="24"/>
      <c r="DN128" s="24"/>
      <c r="DO128" s="24"/>
      <c r="DP128" s="24"/>
      <c r="DQ128" s="24"/>
      <c r="DR128" s="24"/>
      <c r="DS128" s="24"/>
      <c r="DT128" s="24"/>
      <c r="DU128" s="24"/>
      <c r="DV128" s="24"/>
      <c r="DW128" s="24"/>
      <c r="DX128" s="24"/>
      <c r="DY128" s="24"/>
      <c r="DZ128" s="24"/>
      <c r="EA128" s="24"/>
    </row>
    <row r="129" spans="1:131">
      <c r="A129" s="24"/>
      <c r="B129" s="24" t="s">
        <v>649</v>
      </c>
      <c r="C129" s="228">
        <v>0</v>
      </c>
      <c r="D129" s="228">
        <v>0</v>
      </c>
      <c r="E129" s="228">
        <v>0</v>
      </c>
      <c r="F129" s="228">
        <v>0</v>
      </c>
      <c r="G129" s="228">
        <v>0</v>
      </c>
      <c r="H129" s="228">
        <v>0</v>
      </c>
      <c r="I129" s="228">
        <v>0</v>
      </c>
      <c r="J129" s="228">
        <v>0</v>
      </c>
      <c r="K129" s="228">
        <v>0</v>
      </c>
      <c r="L129" s="229">
        <v>0</v>
      </c>
      <c r="M129" s="228">
        <v>0</v>
      </c>
      <c r="N129" s="228">
        <v>0</v>
      </c>
      <c r="O129" s="228">
        <v>0</v>
      </c>
      <c r="P129" s="228">
        <v>0</v>
      </c>
      <c r="Q129" s="228">
        <v>0</v>
      </c>
      <c r="R129" s="228">
        <v>0</v>
      </c>
      <c r="S129" s="228">
        <v>0</v>
      </c>
      <c r="T129" s="228">
        <v>0</v>
      </c>
      <c r="U129" s="228">
        <v>0</v>
      </c>
      <c r="V129" s="228">
        <v>0</v>
      </c>
      <c r="W129" s="228">
        <v>0</v>
      </c>
      <c r="X129" s="228">
        <v>0</v>
      </c>
      <c r="Y129" s="228">
        <v>0</v>
      </c>
      <c r="Z129" s="228"/>
      <c r="AA129" s="228">
        <v>0</v>
      </c>
      <c r="AB129" s="228">
        <v>0</v>
      </c>
      <c r="AC129" s="228">
        <v>0</v>
      </c>
      <c r="AD129" s="228">
        <v>0</v>
      </c>
      <c r="AE129" s="228">
        <v>0</v>
      </c>
      <c r="AF129" s="228">
        <v>0</v>
      </c>
      <c r="AG129" s="228">
        <v>0</v>
      </c>
      <c r="AH129" s="228">
        <v>0</v>
      </c>
      <c r="AI129" s="228">
        <v>0</v>
      </c>
      <c r="AJ129" s="228">
        <v>0</v>
      </c>
      <c r="AK129" s="228">
        <v>0</v>
      </c>
      <c r="AL129" s="228">
        <v>0</v>
      </c>
      <c r="AM129" s="45"/>
      <c r="AN129" s="45"/>
      <c r="AO129" s="45"/>
      <c r="AP129" s="45"/>
      <c r="AQ129" s="45"/>
      <c r="AR129" s="45"/>
      <c r="AS129" s="45"/>
      <c r="AT129" s="45"/>
      <c r="AU129" s="45"/>
      <c r="AV129" s="45"/>
      <c r="AW129" s="45"/>
      <c r="AX129" s="45"/>
      <c r="AY129" s="45"/>
      <c r="AZ129" s="45"/>
      <c r="BA129" s="45"/>
      <c r="BB129" s="45"/>
      <c r="BC129" s="45"/>
      <c r="BD129" s="45"/>
      <c r="BE129" s="45"/>
      <c r="BF129" s="45"/>
      <c r="BG129" s="45"/>
      <c r="BH129" s="45"/>
      <c r="BI129" s="45"/>
      <c r="BJ129" s="45"/>
      <c r="BK129" s="45"/>
      <c r="BL129" s="45"/>
      <c r="BM129" s="45"/>
      <c r="BN129" s="45"/>
      <c r="BO129" s="45"/>
      <c r="BP129" s="45"/>
      <c r="BQ129" s="45"/>
      <c r="BR129" s="45"/>
      <c r="BS129" s="45"/>
      <c r="BT129" s="45"/>
      <c r="BU129" s="45"/>
      <c r="BV129" s="45"/>
      <c r="BW129" s="45"/>
      <c r="BX129" s="45"/>
      <c r="BY129" s="45"/>
      <c r="BZ129" s="45"/>
      <c r="CA129" s="45"/>
      <c r="CB129" s="45"/>
      <c r="CC129" s="45"/>
      <c r="CD129" s="45"/>
      <c r="CE129" s="45"/>
      <c r="CF129" s="45"/>
      <c r="CG129" s="45"/>
      <c r="CH129" s="45"/>
      <c r="CI129" s="45"/>
      <c r="CJ129" s="45"/>
      <c r="CK129" s="45"/>
      <c r="CL129" s="45"/>
      <c r="CM129" s="45"/>
      <c r="CN129" s="45"/>
      <c r="CO129" s="45"/>
      <c r="CP129" s="45"/>
      <c r="CQ129" s="45"/>
      <c r="CR129" s="45"/>
      <c r="CS129" s="45"/>
      <c r="CT129" s="45"/>
      <c r="CU129" s="45"/>
      <c r="CV129" s="45"/>
      <c r="CW129" s="45"/>
      <c r="CX129" s="24"/>
      <c r="CY129" s="24"/>
      <c r="CZ129" s="24"/>
      <c r="DA129" s="24"/>
      <c r="DB129" s="24"/>
      <c r="DC129" s="24"/>
      <c r="DD129" s="24"/>
      <c r="DE129" s="24"/>
      <c r="DF129" s="24"/>
      <c r="DG129" s="24"/>
      <c r="DH129" s="24"/>
      <c r="DI129" s="24"/>
      <c r="DJ129" s="24"/>
      <c r="DK129" s="24"/>
      <c r="DL129" s="24"/>
      <c r="DM129" s="24"/>
      <c r="DN129" s="24"/>
      <c r="DO129" s="24"/>
      <c r="DP129" s="24"/>
      <c r="DQ129" s="24"/>
      <c r="DR129" s="24"/>
      <c r="DS129" s="24"/>
      <c r="DT129" s="24"/>
      <c r="DU129" s="24"/>
      <c r="DV129" s="24"/>
      <c r="DW129" s="24"/>
      <c r="DX129" s="24"/>
      <c r="DY129" s="24"/>
      <c r="DZ129" s="24"/>
      <c r="EA129" s="24"/>
    </row>
    <row r="130" spans="1:131">
      <c r="A130" s="24"/>
      <c r="B130" s="24" t="s">
        <v>650</v>
      </c>
      <c r="C130" s="228">
        <v>0</v>
      </c>
      <c r="D130" s="228">
        <v>0</v>
      </c>
      <c r="E130" s="228">
        <v>0</v>
      </c>
      <c r="F130" s="228">
        <v>0</v>
      </c>
      <c r="G130" s="228">
        <v>0</v>
      </c>
      <c r="H130" s="228">
        <v>0</v>
      </c>
      <c r="I130" s="228">
        <v>0</v>
      </c>
      <c r="J130" s="228">
        <v>0</v>
      </c>
      <c r="K130" s="228">
        <v>0</v>
      </c>
      <c r="L130" s="229">
        <v>0</v>
      </c>
      <c r="M130" s="228">
        <v>0</v>
      </c>
      <c r="N130" s="228">
        <v>0</v>
      </c>
      <c r="O130" s="228">
        <v>0</v>
      </c>
      <c r="P130" s="228">
        <v>0</v>
      </c>
      <c r="Q130" s="228">
        <v>0</v>
      </c>
      <c r="R130" s="228">
        <v>0</v>
      </c>
      <c r="S130" s="228">
        <v>0</v>
      </c>
      <c r="T130" s="228">
        <v>0</v>
      </c>
      <c r="U130" s="228">
        <v>0</v>
      </c>
      <c r="V130" s="228">
        <v>0</v>
      </c>
      <c r="W130" s="228">
        <v>0</v>
      </c>
      <c r="X130" s="228">
        <v>0</v>
      </c>
      <c r="Y130" s="228">
        <v>0</v>
      </c>
      <c r="Z130" s="228"/>
      <c r="AA130" s="228">
        <v>0</v>
      </c>
      <c r="AB130" s="228">
        <v>0</v>
      </c>
      <c r="AC130" s="228">
        <v>0</v>
      </c>
      <c r="AD130" s="228">
        <v>0</v>
      </c>
      <c r="AE130" s="228">
        <v>0</v>
      </c>
      <c r="AF130" s="228">
        <v>0</v>
      </c>
      <c r="AG130" s="228">
        <v>0</v>
      </c>
      <c r="AH130" s="228">
        <v>0</v>
      </c>
      <c r="AI130" s="228">
        <v>0</v>
      </c>
      <c r="AJ130" s="228">
        <v>0</v>
      </c>
      <c r="AK130" s="228">
        <v>0</v>
      </c>
      <c r="AL130" s="228">
        <v>0</v>
      </c>
      <c r="AM130" s="45"/>
      <c r="AN130" s="45"/>
      <c r="AO130" s="45"/>
      <c r="AP130" s="45"/>
      <c r="AQ130" s="45"/>
      <c r="AR130" s="45"/>
      <c r="AS130" s="45"/>
      <c r="AT130" s="45"/>
      <c r="AU130" s="45"/>
      <c r="AV130" s="45"/>
      <c r="AW130" s="45"/>
      <c r="AX130" s="45"/>
      <c r="AY130" s="45"/>
      <c r="AZ130" s="45"/>
      <c r="BA130" s="45"/>
      <c r="BB130" s="45"/>
      <c r="BC130" s="45"/>
      <c r="BD130" s="45"/>
      <c r="BE130" s="45"/>
      <c r="BF130" s="45"/>
      <c r="BG130" s="45"/>
      <c r="BH130" s="45"/>
      <c r="BI130" s="45"/>
      <c r="BJ130" s="45"/>
      <c r="BK130" s="45"/>
      <c r="BL130" s="45"/>
      <c r="BM130" s="45"/>
      <c r="BN130" s="45"/>
      <c r="BO130" s="45"/>
      <c r="BP130" s="45"/>
      <c r="BQ130" s="45"/>
      <c r="BR130" s="45"/>
      <c r="BS130" s="45"/>
      <c r="BT130" s="45"/>
      <c r="BU130" s="45"/>
      <c r="BV130" s="45"/>
      <c r="BW130" s="45"/>
      <c r="BX130" s="45"/>
      <c r="BY130" s="45"/>
      <c r="BZ130" s="45"/>
      <c r="CA130" s="45"/>
      <c r="CB130" s="45"/>
      <c r="CC130" s="45"/>
      <c r="CD130" s="45"/>
      <c r="CE130" s="45"/>
      <c r="CF130" s="45"/>
      <c r="CG130" s="45"/>
      <c r="CH130" s="45"/>
      <c r="CI130" s="45"/>
      <c r="CJ130" s="45"/>
      <c r="CK130" s="45"/>
      <c r="CL130" s="45"/>
      <c r="CM130" s="45"/>
      <c r="CN130" s="45"/>
      <c r="CO130" s="45"/>
      <c r="CP130" s="45"/>
      <c r="CQ130" s="45"/>
      <c r="CR130" s="45"/>
      <c r="CS130" s="45"/>
      <c r="CT130" s="45"/>
      <c r="CU130" s="45"/>
      <c r="CV130" s="45"/>
      <c r="CW130" s="45"/>
      <c r="CX130" s="24"/>
      <c r="CY130" s="24"/>
      <c r="CZ130" s="24"/>
      <c r="DA130" s="24"/>
      <c r="DB130" s="24"/>
      <c r="DC130" s="24"/>
      <c r="DD130" s="24"/>
      <c r="DE130" s="24"/>
      <c r="DF130" s="24"/>
      <c r="DG130" s="24"/>
      <c r="DH130" s="24"/>
      <c r="DI130" s="24"/>
      <c r="DJ130" s="24"/>
      <c r="DK130" s="24"/>
      <c r="DL130" s="24"/>
      <c r="DM130" s="24"/>
      <c r="DN130" s="24"/>
      <c r="DO130" s="24"/>
      <c r="DP130" s="24"/>
      <c r="DQ130" s="24"/>
      <c r="DR130" s="24"/>
      <c r="DS130" s="24"/>
      <c r="DT130" s="24"/>
      <c r="DU130" s="24"/>
      <c r="DV130" s="24"/>
      <c r="DW130" s="24"/>
      <c r="DX130" s="24"/>
      <c r="DY130" s="24"/>
      <c r="DZ130" s="24"/>
      <c r="EA130" s="24"/>
    </row>
    <row r="131" spans="1:131">
      <c r="A131" s="24"/>
      <c r="B131" s="24" t="s">
        <v>651</v>
      </c>
      <c r="C131" s="228">
        <v>0</v>
      </c>
      <c r="D131" s="228">
        <v>0</v>
      </c>
      <c r="E131" s="228">
        <v>0</v>
      </c>
      <c r="F131" s="228">
        <v>0</v>
      </c>
      <c r="G131" s="228">
        <v>0</v>
      </c>
      <c r="H131" s="228">
        <v>0</v>
      </c>
      <c r="I131" s="228">
        <v>0</v>
      </c>
      <c r="J131" s="228">
        <v>0</v>
      </c>
      <c r="K131" s="228">
        <v>0</v>
      </c>
      <c r="L131" s="229">
        <v>0</v>
      </c>
      <c r="M131" s="228">
        <v>0</v>
      </c>
      <c r="N131" s="228">
        <v>0</v>
      </c>
      <c r="O131" s="228">
        <v>0</v>
      </c>
      <c r="P131" s="228">
        <v>0</v>
      </c>
      <c r="Q131" s="228">
        <v>0</v>
      </c>
      <c r="R131" s="228">
        <v>0</v>
      </c>
      <c r="S131" s="228">
        <v>0</v>
      </c>
      <c r="T131" s="228">
        <v>0</v>
      </c>
      <c r="U131" s="228">
        <v>0</v>
      </c>
      <c r="V131" s="228">
        <v>0</v>
      </c>
      <c r="W131" s="228">
        <v>0</v>
      </c>
      <c r="X131" s="228">
        <v>0</v>
      </c>
      <c r="Y131" s="228">
        <v>0</v>
      </c>
      <c r="Z131" s="228"/>
      <c r="AA131" s="228">
        <v>0</v>
      </c>
      <c r="AB131" s="228">
        <v>0</v>
      </c>
      <c r="AC131" s="228">
        <v>0</v>
      </c>
      <c r="AD131" s="228">
        <v>0</v>
      </c>
      <c r="AE131" s="228">
        <v>0</v>
      </c>
      <c r="AF131" s="228">
        <v>0</v>
      </c>
      <c r="AG131" s="228">
        <v>0</v>
      </c>
      <c r="AH131" s="228">
        <v>0</v>
      </c>
      <c r="AI131" s="228">
        <v>0</v>
      </c>
      <c r="AJ131" s="228">
        <v>0</v>
      </c>
      <c r="AK131" s="228">
        <v>0</v>
      </c>
      <c r="AL131" s="228">
        <v>0</v>
      </c>
      <c r="AM131" s="45"/>
      <c r="AN131" s="45"/>
      <c r="AO131" s="45"/>
      <c r="AP131" s="45"/>
      <c r="AQ131" s="45"/>
      <c r="AR131" s="45"/>
      <c r="AS131" s="45"/>
      <c r="AT131" s="45"/>
      <c r="AU131" s="45"/>
      <c r="AV131" s="45"/>
      <c r="AW131" s="45"/>
      <c r="AX131" s="45"/>
      <c r="AY131" s="45"/>
      <c r="AZ131" s="45"/>
      <c r="BA131" s="45"/>
      <c r="BB131" s="45"/>
      <c r="BC131" s="45"/>
      <c r="BD131" s="45"/>
      <c r="BE131" s="45"/>
      <c r="BF131" s="45"/>
      <c r="BG131" s="45"/>
      <c r="BH131" s="45"/>
      <c r="BI131" s="45"/>
      <c r="BJ131" s="45"/>
      <c r="BK131" s="45"/>
      <c r="BL131" s="45"/>
      <c r="BM131" s="45"/>
      <c r="BN131" s="45"/>
      <c r="BO131" s="45"/>
      <c r="BP131" s="45"/>
      <c r="BQ131" s="45"/>
      <c r="BR131" s="45"/>
      <c r="BS131" s="45"/>
      <c r="BT131" s="45"/>
      <c r="BU131" s="45"/>
      <c r="BV131" s="45"/>
      <c r="BW131" s="45"/>
      <c r="BX131" s="45"/>
      <c r="BY131" s="45"/>
      <c r="BZ131" s="45"/>
      <c r="CA131" s="45"/>
      <c r="CB131" s="45"/>
      <c r="CC131" s="45"/>
      <c r="CD131" s="45"/>
      <c r="CE131" s="45"/>
      <c r="CF131" s="45"/>
      <c r="CG131" s="45"/>
      <c r="CH131" s="45"/>
      <c r="CI131" s="45"/>
      <c r="CJ131" s="45"/>
      <c r="CK131" s="45"/>
      <c r="CL131" s="45"/>
      <c r="CM131" s="45"/>
      <c r="CN131" s="45"/>
      <c r="CO131" s="45"/>
      <c r="CP131" s="45"/>
      <c r="CQ131" s="45"/>
      <c r="CR131" s="45"/>
      <c r="CS131" s="45"/>
      <c r="CT131" s="45"/>
      <c r="CU131" s="45"/>
      <c r="CV131" s="45"/>
      <c r="CW131" s="45"/>
      <c r="CX131" s="24"/>
      <c r="CY131" s="24"/>
      <c r="CZ131" s="24"/>
      <c r="DA131" s="24"/>
      <c r="DB131" s="24"/>
      <c r="DC131" s="24"/>
      <c r="DD131" s="24"/>
      <c r="DE131" s="24"/>
      <c r="DF131" s="24"/>
      <c r="DG131" s="24"/>
      <c r="DH131" s="24"/>
      <c r="DI131" s="24"/>
      <c r="DJ131" s="24"/>
      <c r="DK131" s="24"/>
      <c r="DL131" s="24"/>
      <c r="DM131" s="24"/>
      <c r="DN131" s="24"/>
      <c r="DO131" s="24"/>
      <c r="DP131" s="24"/>
      <c r="DQ131" s="24"/>
      <c r="DR131" s="24"/>
      <c r="DS131" s="24"/>
      <c r="DT131" s="24"/>
      <c r="DU131" s="24"/>
      <c r="DV131" s="24"/>
      <c r="DW131" s="24"/>
      <c r="DX131" s="24"/>
      <c r="DY131" s="24"/>
      <c r="DZ131" s="24"/>
      <c r="EA131" s="24"/>
    </row>
    <row r="132" spans="1:131">
      <c r="A132" s="24"/>
      <c r="B132" s="24" t="s">
        <v>652</v>
      </c>
      <c r="C132" s="228">
        <v>0</v>
      </c>
      <c r="D132" s="228">
        <v>0</v>
      </c>
      <c r="E132" s="228">
        <v>0</v>
      </c>
      <c r="F132" s="228">
        <v>0</v>
      </c>
      <c r="G132" s="228">
        <v>0</v>
      </c>
      <c r="H132" s="228">
        <v>0</v>
      </c>
      <c r="I132" s="228">
        <v>0</v>
      </c>
      <c r="J132" s="228">
        <v>0</v>
      </c>
      <c r="K132" s="228">
        <v>0</v>
      </c>
      <c r="L132" s="229">
        <v>0</v>
      </c>
      <c r="M132" s="228">
        <v>0</v>
      </c>
      <c r="N132" s="228">
        <v>0</v>
      </c>
      <c r="O132" s="228">
        <v>0</v>
      </c>
      <c r="P132" s="228">
        <v>0</v>
      </c>
      <c r="Q132" s="228">
        <v>0</v>
      </c>
      <c r="R132" s="228">
        <v>0</v>
      </c>
      <c r="S132" s="228">
        <v>0</v>
      </c>
      <c r="T132" s="228">
        <v>0</v>
      </c>
      <c r="U132" s="228">
        <v>0</v>
      </c>
      <c r="V132" s="228">
        <v>0</v>
      </c>
      <c r="W132" s="228">
        <v>0</v>
      </c>
      <c r="X132" s="228">
        <v>0</v>
      </c>
      <c r="Y132" s="228">
        <v>0</v>
      </c>
      <c r="Z132" s="228"/>
      <c r="AA132" s="228">
        <v>0</v>
      </c>
      <c r="AB132" s="228">
        <v>0</v>
      </c>
      <c r="AC132" s="228">
        <v>0</v>
      </c>
      <c r="AD132" s="228">
        <v>0</v>
      </c>
      <c r="AE132" s="228">
        <v>0</v>
      </c>
      <c r="AF132" s="228">
        <v>0</v>
      </c>
      <c r="AG132" s="228">
        <v>0</v>
      </c>
      <c r="AH132" s="228">
        <v>0</v>
      </c>
      <c r="AI132" s="228">
        <v>0</v>
      </c>
      <c r="AJ132" s="228">
        <v>0</v>
      </c>
      <c r="AK132" s="228">
        <v>0</v>
      </c>
      <c r="AL132" s="228">
        <v>0</v>
      </c>
      <c r="AM132" s="45"/>
      <c r="AN132" s="45"/>
      <c r="AO132" s="45"/>
      <c r="AP132" s="45"/>
      <c r="AQ132" s="45"/>
      <c r="AR132" s="45"/>
      <c r="AS132" s="45"/>
      <c r="AT132" s="45"/>
      <c r="AU132" s="45"/>
      <c r="AV132" s="45"/>
      <c r="AW132" s="45"/>
      <c r="AX132" s="45"/>
      <c r="AY132" s="45"/>
      <c r="AZ132" s="45"/>
      <c r="BA132" s="45"/>
      <c r="BB132" s="45"/>
      <c r="BC132" s="45"/>
      <c r="BD132" s="45"/>
      <c r="BE132" s="45"/>
      <c r="BF132" s="45"/>
      <c r="BG132" s="45"/>
      <c r="BH132" s="45"/>
      <c r="BI132" s="45"/>
      <c r="BJ132" s="45"/>
      <c r="BK132" s="45"/>
      <c r="BL132" s="45"/>
      <c r="BM132" s="45"/>
      <c r="BN132" s="45"/>
      <c r="BO132" s="45"/>
      <c r="BP132" s="45"/>
      <c r="BQ132" s="45"/>
      <c r="BR132" s="45"/>
      <c r="BS132" s="45"/>
      <c r="BT132" s="45"/>
      <c r="BU132" s="45"/>
      <c r="BV132" s="45"/>
      <c r="BW132" s="45"/>
      <c r="BX132" s="45"/>
      <c r="BY132" s="45"/>
      <c r="BZ132" s="45"/>
      <c r="CA132" s="45"/>
      <c r="CB132" s="45"/>
      <c r="CC132" s="45"/>
      <c r="CD132" s="45"/>
      <c r="CE132" s="45"/>
      <c r="CF132" s="45"/>
      <c r="CG132" s="45"/>
      <c r="CH132" s="45"/>
      <c r="CI132" s="45"/>
      <c r="CJ132" s="45"/>
      <c r="CK132" s="45"/>
      <c r="CL132" s="45"/>
      <c r="CM132" s="45"/>
      <c r="CN132" s="45"/>
      <c r="CO132" s="45"/>
      <c r="CP132" s="45"/>
      <c r="CQ132" s="45"/>
      <c r="CR132" s="45"/>
      <c r="CS132" s="45"/>
      <c r="CT132" s="45"/>
      <c r="CU132" s="45"/>
      <c r="CV132" s="45"/>
      <c r="CW132" s="45"/>
      <c r="CX132" s="24"/>
      <c r="CY132" s="24"/>
      <c r="CZ132" s="24"/>
      <c r="DA132" s="24"/>
      <c r="DB132" s="24"/>
      <c r="DC132" s="24"/>
      <c r="DD132" s="24"/>
      <c r="DE132" s="24"/>
      <c r="DF132" s="24"/>
      <c r="DG132" s="24"/>
      <c r="DH132" s="24"/>
      <c r="DI132" s="24"/>
      <c r="DJ132" s="24"/>
      <c r="DK132" s="24"/>
      <c r="DL132" s="24"/>
      <c r="DM132" s="24"/>
      <c r="DN132" s="24"/>
      <c r="DO132" s="24"/>
      <c r="DP132" s="24"/>
      <c r="DQ132" s="24"/>
      <c r="DR132" s="24"/>
      <c r="DS132" s="24"/>
      <c r="DT132" s="24"/>
      <c r="DU132" s="24"/>
      <c r="DV132" s="24"/>
      <c r="DW132" s="24"/>
      <c r="DX132" s="24"/>
      <c r="DY132" s="24"/>
      <c r="DZ132" s="24"/>
      <c r="EA132" s="24"/>
    </row>
    <row r="133" spans="1:131">
      <c r="A133" s="24"/>
      <c r="B133" s="24" t="s">
        <v>653</v>
      </c>
      <c r="C133" s="228">
        <v>0</v>
      </c>
      <c r="D133" s="228">
        <v>0</v>
      </c>
      <c r="E133" s="228">
        <v>0</v>
      </c>
      <c r="F133" s="228">
        <v>0</v>
      </c>
      <c r="G133" s="228">
        <v>0</v>
      </c>
      <c r="H133" s="228">
        <v>0</v>
      </c>
      <c r="I133" s="228">
        <v>0</v>
      </c>
      <c r="J133" s="228">
        <v>0</v>
      </c>
      <c r="K133" s="228">
        <v>0</v>
      </c>
      <c r="L133" s="229">
        <v>0</v>
      </c>
      <c r="M133" s="228">
        <v>0</v>
      </c>
      <c r="N133" s="228">
        <v>0</v>
      </c>
      <c r="O133" s="228">
        <v>0</v>
      </c>
      <c r="P133" s="228">
        <v>0</v>
      </c>
      <c r="Q133" s="228">
        <v>0</v>
      </c>
      <c r="R133" s="228">
        <v>0</v>
      </c>
      <c r="S133" s="228">
        <v>0</v>
      </c>
      <c r="T133" s="228">
        <v>0</v>
      </c>
      <c r="U133" s="228">
        <v>0</v>
      </c>
      <c r="V133" s="228">
        <v>0</v>
      </c>
      <c r="W133" s="228">
        <v>0</v>
      </c>
      <c r="X133" s="228">
        <v>0</v>
      </c>
      <c r="Y133" s="228">
        <v>0</v>
      </c>
      <c r="Z133" s="228"/>
      <c r="AA133" s="228">
        <v>0</v>
      </c>
      <c r="AB133" s="228">
        <v>0</v>
      </c>
      <c r="AC133" s="228">
        <v>0</v>
      </c>
      <c r="AD133" s="228">
        <v>0</v>
      </c>
      <c r="AE133" s="228">
        <v>0</v>
      </c>
      <c r="AF133" s="228">
        <v>0</v>
      </c>
      <c r="AG133" s="228">
        <v>0</v>
      </c>
      <c r="AH133" s="228">
        <v>0</v>
      </c>
      <c r="AI133" s="228">
        <v>0</v>
      </c>
      <c r="AJ133" s="228">
        <v>0</v>
      </c>
      <c r="AK133" s="228">
        <v>0</v>
      </c>
      <c r="AL133" s="228">
        <v>0</v>
      </c>
      <c r="AM133" s="45"/>
      <c r="AN133" s="45"/>
      <c r="AO133" s="45"/>
      <c r="AP133" s="45"/>
      <c r="AQ133" s="45"/>
      <c r="AR133" s="45"/>
      <c r="AS133" s="45"/>
      <c r="AT133" s="45"/>
      <c r="AU133" s="45"/>
      <c r="AV133" s="45"/>
      <c r="AW133" s="45"/>
      <c r="AX133" s="45"/>
      <c r="AY133" s="45"/>
      <c r="AZ133" s="45"/>
      <c r="BA133" s="45"/>
      <c r="BB133" s="45"/>
      <c r="BC133" s="45"/>
      <c r="BD133" s="45"/>
      <c r="BE133" s="45"/>
      <c r="BF133" s="45"/>
      <c r="BG133" s="45"/>
      <c r="BH133" s="45"/>
      <c r="BI133" s="45"/>
      <c r="BJ133" s="45"/>
      <c r="BK133" s="45"/>
      <c r="BL133" s="45"/>
      <c r="BM133" s="45"/>
      <c r="BN133" s="45"/>
      <c r="BO133" s="45"/>
      <c r="BP133" s="45"/>
      <c r="BQ133" s="45"/>
      <c r="BR133" s="45"/>
      <c r="BS133" s="45"/>
      <c r="BT133" s="45"/>
      <c r="BU133" s="45"/>
      <c r="BV133" s="45"/>
      <c r="BW133" s="45"/>
      <c r="BX133" s="45"/>
      <c r="BY133" s="45"/>
      <c r="BZ133" s="45"/>
      <c r="CA133" s="45"/>
      <c r="CB133" s="45"/>
      <c r="CC133" s="45"/>
      <c r="CD133" s="45"/>
      <c r="CE133" s="45"/>
      <c r="CF133" s="45"/>
      <c r="CG133" s="45"/>
      <c r="CH133" s="45"/>
      <c r="CI133" s="45"/>
      <c r="CJ133" s="45"/>
      <c r="CK133" s="45"/>
      <c r="CL133" s="45"/>
      <c r="CM133" s="45"/>
      <c r="CN133" s="45"/>
      <c r="CO133" s="45"/>
      <c r="CP133" s="45"/>
      <c r="CQ133" s="45"/>
      <c r="CR133" s="45"/>
      <c r="CS133" s="45"/>
      <c r="CT133" s="45"/>
      <c r="CU133" s="45"/>
      <c r="CV133" s="45"/>
      <c r="CW133" s="45"/>
      <c r="CX133" s="24"/>
      <c r="CY133" s="24"/>
      <c r="CZ133" s="24"/>
      <c r="DA133" s="24"/>
      <c r="DB133" s="24"/>
      <c r="DC133" s="24"/>
      <c r="DD133" s="24"/>
      <c r="DE133" s="24"/>
      <c r="DF133" s="24"/>
      <c r="DG133" s="24"/>
      <c r="DH133" s="24"/>
      <c r="DI133" s="24"/>
      <c r="DJ133" s="24"/>
      <c r="DK133" s="24"/>
      <c r="DL133" s="24"/>
      <c r="DM133" s="24"/>
      <c r="DN133" s="24"/>
      <c r="DO133" s="24"/>
      <c r="DP133" s="24"/>
      <c r="DQ133" s="24"/>
      <c r="DR133" s="24"/>
      <c r="DS133" s="24"/>
      <c r="DT133" s="24"/>
      <c r="DU133" s="24"/>
      <c r="DV133" s="24"/>
      <c r="DW133" s="24"/>
      <c r="DX133" s="24"/>
      <c r="DY133" s="24"/>
      <c r="DZ133" s="24"/>
      <c r="EA133" s="24"/>
    </row>
    <row r="134" spans="1:131">
      <c r="A134" s="24"/>
      <c r="B134" s="24" t="s">
        <v>654</v>
      </c>
      <c r="C134" s="228">
        <v>0</v>
      </c>
      <c r="D134" s="228">
        <v>0</v>
      </c>
      <c r="E134" s="228">
        <v>0</v>
      </c>
      <c r="F134" s="228">
        <v>0</v>
      </c>
      <c r="G134" s="228">
        <v>0</v>
      </c>
      <c r="H134" s="228">
        <v>0</v>
      </c>
      <c r="I134" s="228">
        <v>0</v>
      </c>
      <c r="J134" s="228">
        <v>0</v>
      </c>
      <c r="K134" s="228">
        <v>0</v>
      </c>
      <c r="L134" s="229">
        <v>0</v>
      </c>
      <c r="M134" s="228">
        <v>0</v>
      </c>
      <c r="N134" s="228">
        <v>0</v>
      </c>
      <c r="O134" s="228">
        <v>0</v>
      </c>
      <c r="P134" s="228">
        <v>0</v>
      </c>
      <c r="Q134" s="228">
        <v>0</v>
      </c>
      <c r="R134" s="228">
        <v>0</v>
      </c>
      <c r="S134" s="228">
        <v>0</v>
      </c>
      <c r="T134" s="228">
        <v>0</v>
      </c>
      <c r="U134" s="228">
        <v>0</v>
      </c>
      <c r="V134" s="228">
        <v>0</v>
      </c>
      <c r="W134" s="228">
        <v>0</v>
      </c>
      <c r="X134" s="228">
        <v>0</v>
      </c>
      <c r="Y134" s="228">
        <v>0</v>
      </c>
      <c r="Z134" s="228"/>
      <c r="AA134" s="228">
        <v>0</v>
      </c>
      <c r="AB134" s="228">
        <v>0</v>
      </c>
      <c r="AC134" s="228">
        <v>0</v>
      </c>
      <c r="AD134" s="228">
        <v>0</v>
      </c>
      <c r="AE134" s="228">
        <v>0</v>
      </c>
      <c r="AF134" s="228">
        <v>0</v>
      </c>
      <c r="AG134" s="228">
        <v>0</v>
      </c>
      <c r="AH134" s="228">
        <v>0</v>
      </c>
      <c r="AI134" s="228">
        <v>0</v>
      </c>
      <c r="AJ134" s="228">
        <v>0</v>
      </c>
      <c r="AK134" s="228">
        <v>0</v>
      </c>
      <c r="AL134" s="228">
        <v>0</v>
      </c>
      <c r="AM134" s="45"/>
      <c r="AN134" s="45"/>
      <c r="AO134" s="45"/>
      <c r="AP134" s="45"/>
      <c r="AQ134" s="45"/>
      <c r="AR134" s="45"/>
      <c r="AS134" s="45"/>
      <c r="AT134" s="45"/>
      <c r="AU134" s="45"/>
      <c r="AV134" s="45"/>
      <c r="AW134" s="45"/>
      <c r="AX134" s="45"/>
      <c r="AY134" s="45"/>
      <c r="AZ134" s="45"/>
      <c r="BA134" s="45"/>
      <c r="BB134" s="45"/>
      <c r="BC134" s="45"/>
      <c r="BD134" s="45"/>
      <c r="BE134" s="45"/>
      <c r="BF134" s="45"/>
      <c r="BG134" s="45"/>
      <c r="BH134" s="45"/>
      <c r="BI134" s="45"/>
      <c r="BJ134" s="45"/>
      <c r="BK134" s="45"/>
      <c r="BL134" s="45"/>
      <c r="BM134" s="45"/>
      <c r="BN134" s="45"/>
      <c r="BO134" s="45"/>
      <c r="BP134" s="45"/>
      <c r="BQ134" s="45"/>
      <c r="BR134" s="45"/>
      <c r="BS134" s="45"/>
      <c r="BT134" s="45"/>
      <c r="BU134" s="45"/>
      <c r="BV134" s="45"/>
      <c r="BW134" s="45"/>
      <c r="BX134" s="45"/>
      <c r="BY134" s="45"/>
      <c r="BZ134" s="45"/>
      <c r="CA134" s="45"/>
      <c r="CB134" s="45"/>
      <c r="CC134" s="45"/>
      <c r="CD134" s="45"/>
      <c r="CE134" s="45"/>
      <c r="CF134" s="45"/>
      <c r="CG134" s="45"/>
      <c r="CH134" s="45"/>
      <c r="CI134" s="45"/>
      <c r="CJ134" s="45"/>
      <c r="CK134" s="45"/>
      <c r="CL134" s="45"/>
      <c r="CM134" s="45"/>
      <c r="CN134" s="45"/>
      <c r="CO134" s="45"/>
      <c r="CP134" s="45"/>
      <c r="CQ134" s="45"/>
      <c r="CR134" s="45"/>
      <c r="CS134" s="45"/>
      <c r="CT134" s="45"/>
      <c r="CU134" s="45"/>
      <c r="CV134" s="45"/>
      <c r="CW134" s="45"/>
      <c r="CX134" s="24"/>
      <c r="CY134" s="24"/>
      <c r="CZ134" s="24"/>
      <c r="DA134" s="24"/>
      <c r="DB134" s="24"/>
      <c r="DC134" s="24"/>
      <c r="DD134" s="24"/>
      <c r="DE134" s="24"/>
      <c r="DF134" s="24"/>
      <c r="DG134" s="24"/>
      <c r="DH134" s="24"/>
      <c r="DI134" s="24"/>
      <c r="DJ134" s="24"/>
      <c r="DK134" s="24"/>
      <c r="DL134" s="24"/>
      <c r="DM134" s="24"/>
      <c r="DN134" s="24"/>
      <c r="DO134" s="24"/>
      <c r="DP134" s="24"/>
      <c r="DQ134" s="24"/>
      <c r="DR134" s="24"/>
      <c r="DS134" s="24"/>
      <c r="DT134" s="24"/>
      <c r="DU134" s="24"/>
      <c r="DV134" s="24"/>
      <c r="DW134" s="24"/>
      <c r="DX134" s="24"/>
      <c r="DY134" s="24"/>
      <c r="DZ134" s="24"/>
      <c r="EA134" s="24"/>
    </row>
    <row r="135" spans="1:131">
      <c r="A135" s="24"/>
      <c r="B135" s="24" t="s">
        <v>655</v>
      </c>
      <c r="C135" s="228">
        <v>0</v>
      </c>
      <c r="D135" s="228">
        <v>0</v>
      </c>
      <c r="E135" s="228">
        <v>0</v>
      </c>
      <c r="F135" s="228">
        <v>0</v>
      </c>
      <c r="G135" s="228">
        <v>0</v>
      </c>
      <c r="H135" s="228">
        <v>0</v>
      </c>
      <c r="I135" s="228">
        <v>0</v>
      </c>
      <c r="J135" s="228">
        <v>0</v>
      </c>
      <c r="K135" s="228">
        <v>0</v>
      </c>
      <c r="L135" s="229">
        <v>0</v>
      </c>
      <c r="M135" s="228">
        <v>0</v>
      </c>
      <c r="N135" s="228">
        <v>0</v>
      </c>
      <c r="O135" s="228">
        <v>0</v>
      </c>
      <c r="P135" s="228">
        <v>0</v>
      </c>
      <c r="Q135" s="228">
        <v>0</v>
      </c>
      <c r="R135" s="228">
        <v>0</v>
      </c>
      <c r="S135" s="228">
        <v>0</v>
      </c>
      <c r="T135" s="228">
        <v>0</v>
      </c>
      <c r="U135" s="228">
        <v>0</v>
      </c>
      <c r="V135" s="228">
        <v>0</v>
      </c>
      <c r="W135" s="228">
        <v>0</v>
      </c>
      <c r="X135" s="228">
        <v>0</v>
      </c>
      <c r="Y135" s="228">
        <v>0</v>
      </c>
      <c r="Z135" s="228"/>
      <c r="AA135" s="228">
        <v>0</v>
      </c>
      <c r="AB135" s="228">
        <v>0</v>
      </c>
      <c r="AC135" s="228">
        <v>0</v>
      </c>
      <c r="AD135" s="228">
        <v>0</v>
      </c>
      <c r="AE135" s="228">
        <v>0</v>
      </c>
      <c r="AF135" s="228">
        <v>0</v>
      </c>
      <c r="AG135" s="228">
        <v>0</v>
      </c>
      <c r="AH135" s="228">
        <v>0</v>
      </c>
      <c r="AI135" s="228">
        <v>0</v>
      </c>
      <c r="AJ135" s="228">
        <v>0</v>
      </c>
      <c r="AK135" s="228">
        <v>0</v>
      </c>
      <c r="AL135" s="228">
        <v>0</v>
      </c>
      <c r="AM135" s="45"/>
      <c r="AN135" s="45"/>
      <c r="AO135" s="45"/>
      <c r="AP135" s="45"/>
      <c r="AQ135" s="45"/>
      <c r="AR135" s="45"/>
      <c r="AS135" s="45"/>
      <c r="AT135" s="45"/>
      <c r="AU135" s="45"/>
      <c r="AV135" s="45"/>
      <c r="AW135" s="45"/>
      <c r="AX135" s="45"/>
      <c r="AY135" s="45"/>
      <c r="AZ135" s="45"/>
      <c r="BA135" s="45"/>
      <c r="BB135" s="45"/>
      <c r="BC135" s="45"/>
      <c r="BD135" s="45"/>
      <c r="BE135" s="45"/>
      <c r="BF135" s="45"/>
      <c r="BG135" s="45"/>
      <c r="BH135" s="45"/>
      <c r="BI135" s="45"/>
      <c r="BJ135" s="45"/>
      <c r="BK135" s="45"/>
      <c r="BL135" s="45"/>
      <c r="BM135" s="45"/>
      <c r="BN135" s="45"/>
      <c r="BO135" s="45"/>
      <c r="BP135" s="45"/>
      <c r="BQ135" s="45"/>
      <c r="BR135" s="45"/>
      <c r="BS135" s="45"/>
      <c r="BT135" s="45"/>
      <c r="BU135" s="45"/>
      <c r="BV135" s="45"/>
      <c r="BW135" s="45"/>
      <c r="BX135" s="45"/>
      <c r="BY135" s="45"/>
      <c r="BZ135" s="45"/>
      <c r="CA135" s="45"/>
      <c r="CB135" s="45"/>
      <c r="CC135" s="45"/>
      <c r="CD135" s="45"/>
      <c r="CE135" s="45"/>
      <c r="CF135" s="45"/>
      <c r="CG135" s="45"/>
      <c r="CH135" s="45"/>
      <c r="CI135" s="45"/>
      <c r="CJ135" s="45"/>
      <c r="CK135" s="45"/>
      <c r="CL135" s="45"/>
      <c r="CM135" s="45"/>
      <c r="CN135" s="45"/>
      <c r="CO135" s="45"/>
      <c r="CP135" s="45"/>
      <c r="CQ135" s="45"/>
      <c r="CR135" s="45"/>
      <c r="CS135" s="45"/>
      <c r="CT135" s="45"/>
      <c r="CU135" s="45"/>
      <c r="CV135" s="45"/>
      <c r="CW135" s="45"/>
      <c r="CX135" s="24"/>
      <c r="CY135" s="24"/>
      <c r="CZ135" s="24"/>
      <c r="DA135" s="24"/>
      <c r="DB135" s="24"/>
      <c r="DC135" s="24"/>
      <c r="DD135" s="24"/>
      <c r="DE135" s="24"/>
      <c r="DF135" s="24"/>
      <c r="DG135" s="24"/>
      <c r="DH135" s="24"/>
      <c r="DI135" s="24"/>
      <c r="DJ135" s="24"/>
      <c r="DK135" s="24"/>
      <c r="DL135" s="24"/>
      <c r="DM135" s="24"/>
      <c r="DN135" s="24"/>
      <c r="DO135" s="24"/>
      <c r="DP135" s="24"/>
      <c r="DQ135" s="24"/>
      <c r="DR135" s="24"/>
      <c r="DS135" s="24"/>
      <c r="DT135" s="24"/>
      <c r="DU135" s="24"/>
      <c r="DV135" s="24"/>
      <c r="DW135" s="24"/>
      <c r="DX135" s="24"/>
      <c r="DY135" s="24"/>
      <c r="DZ135" s="24"/>
      <c r="EA135" s="24"/>
    </row>
    <row r="136" spans="1:131">
      <c r="A136" s="24"/>
      <c r="B136" s="24" t="s">
        <v>656</v>
      </c>
      <c r="C136" s="228">
        <v>0</v>
      </c>
      <c r="D136" s="228">
        <v>0</v>
      </c>
      <c r="E136" s="228">
        <v>0</v>
      </c>
      <c r="F136" s="228">
        <v>0</v>
      </c>
      <c r="G136" s="228">
        <v>0</v>
      </c>
      <c r="H136" s="228">
        <v>0</v>
      </c>
      <c r="I136" s="228">
        <v>0</v>
      </c>
      <c r="J136" s="228">
        <v>0</v>
      </c>
      <c r="K136" s="228">
        <v>0</v>
      </c>
      <c r="L136" s="229">
        <v>0</v>
      </c>
      <c r="M136" s="228">
        <v>0</v>
      </c>
      <c r="N136" s="228">
        <v>0</v>
      </c>
      <c r="O136" s="228">
        <v>0</v>
      </c>
      <c r="P136" s="228">
        <v>0</v>
      </c>
      <c r="Q136" s="228">
        <v>0</v>
      </c>
      <c r="R136" s="228">
        <v>0</v>
      </c>
      <c r="S136" s="228">
        <v>0</v>
      </c>
      <c r="T136" s="228">
        <v>0</v>
      </c>
      <c r="U136" s="228">
        <v>0</v>
      </c>
      <c r="V136" s="228">
        <v>0</v>
      </c>
      <c r="W136" s="228">
        <v>0</v>
      </c>
      <c r="X136" s="228">
        <v>0</v>
      </c>
      <c r="Y136" s="228">
        <v>0</v>
      </c>
      <c r="Z136" s="228"/>
      <c r="AA136" s="228">
        <v>0</v>
      </c>
      <c r="AB136" s="228">
        <v>0</v>
      </c>
      <c r="AC136" s="228">
        <v>0</v>
      </c>
      <c r="AD136" s="228">
        <v>0</v>
      </c>
      <c r="AE136" s="228">
        <v>0</v>
      </c>
      <c r="AF136" s="228">
        <v>0</v>
      </c>
      <c r="AG136" s="228">
        <v>0</v>
      </c>
      <c r="AH136" s="228">
        <v>0</v>
      </c>
      <c r="AI136" s="228">
        <v>0</v>
      </c>
      <c r="AJ136" s="228">
        <v>0</v>
      </c>
      <c r="AK136" s="228">
        <v>0</v>
      </c>
      <c r="AL136" s="228">
        <v>0</v>
      </c>
      <c r="AM136" s="45"/>
      <c r="AN136" s="45"/>
      <c r="AO136" s="45"/>
      <c r="AP136" s="45"/>
      <c r="AQ136" s="45"/>
      <c r="AR136" s="45"/>
      <c r="AS136" s="45"/>
      <c r="AT136" s="45"/>
      <c r="AU136" s="45"/>
      <c r="AV136" s="45"/>
      <c r="AW136" s="45"/>
      <c r="AX136" s="45"/>
      <c r="AY136" s="45"/>
      <c r="AZ136" s="45"/>
      <c r="BA136" s="45"/>
      <c r="BB136" s="45"/>
      <c r="BC136" s="45"/>
      <c r="BD136" s="45"/>
      <c r="BE136" s="45"/>
      <c r="BF136" s="45"/>
      <c r="BG136" s="45"/>
      <c r="BH136" s="45"/>
      <c r="BI136" s="45"/>
      <c r="BJ136" s="45"/>
      <c r="BK136" s="45"/>
      <c r="BL136" s="45"/>
      <c r="BM136" s="45"/>
      <c r="BN136" s="45"/>
      <c r="BO136" s="45"/>
      <c r="BP136" s="45"/>
      <c r="BQ136" s="45"/>
      <c r="BR136" s="45"/>
      <c r="BS136" s="45"/>
      <c r="BT136" s="45"/>
      <c r="BU136" s="45"/>
      <c r="BV136" s="45"/>
      <c r="BW136" s="45"/>
      <c r="BX136" s="45"/>
      <c r="BY136" s="45"/>
      <c r="BZ136" s="45"/>
      <c r="CA136" s="45"/>
      <c r="CB136" s="45"/>
      <c r="CC136" s="45"/>
      <c r="CD136" s="45"/>
      <c r="CE136" s="45"/>
      <c r="CF136" s="45"/>
      <c r="CG136" s="45"/>
      <c r="CH136" s="45"/>
      <c r="CI136" s="45"/>
      <c r="CJ136" s="45"/>
      <c r="CK136" s="45"/>
      <c r="CL136" s="45"/>
      <c r="CM136" s="45"/>
      <c r="CN136" s="45"/>
      <c r="CO136" s="45"/>
      <c r="CP136" s="45"/>
      <c r="CQ136" s="45"/>
      <c r="CR136" s="45"/>
      <c r="CS136" s="45"/>
      <c r="CT136" s="45"/>
      <c r="CU136" s="45"/>
      <c r="CV136" s="45"/>
      <c r="CW136" s="45"/>
      <c r="CX136" s="24"/>
      <c r="CY136" s="24"/>
      <c r="CZ136" s="24"/>
      <c r="DA136" s="24"/>
      <c r="DB136" s="24"/>
      <c r="DC136" s="24"/>
      <c r="DD136" s="24"/>
      <c r="DE136" s="24"/>
      <c r="DF136" s="24"/>
      <c r="DG136" s="24"/>
      <c r="DH136" s="24"/>
      <c r="DI136" s="24"/>
      <c r="DJ136" s="24"/>
      <c r="DK136" s="24"/>
      <c r="DL136" s="24"/>
      <c r="DM136" s="24"/>
      <c r="DN136" s="24"/>
      <c r="DO136" s="24"/>
      <c r="DP136" s="24"/>
      <c r="DQ136" s="24"/>
      <c r="DR136" s="24"/>
      <c r="DS136" s="24"/>
      <c r="DT136" s="24"/>
      <c r="DU136" s="24"/>
      <c r="DV136" s="24"/>
      <c r="DW136" s="24"/>
      <c r="DX136" s="24"/>
      <c r="DY136" s="24"/>
      <c r="DZ136" s="24"/>
      <c r="EA136" s="24"/>
    </row>
    <row r="137" spans="1:131">
      <c r="A137" s="24"/>
      <c r="B137" s="24" t="s">
        <v>657</v>
      </c>
      <c r="C137" s="228">
        <v>0</v>
      </c>
      <c r="D137" s="228">
        <v>0</v>
      </c>
      <c r="E137" s="228">
        <v>0</v>
      </c>
      <c r="F137" s="228">
        <v>0</v>
      </c>
      <c r="G137" s="228">
        <v>0</v>
      </c>
      <c r="H137" s="228">
        <v>0</v>
      </c>
      <c r="I137" s="228">
        <v>0</v>
      </c>
      <c r="J137" s="228">
        <v>0</v>
      </c>
      <c r="K137" s="228">
        <v>0</v>
      </c>
      <c r="L137" s="229">
        <v>0</v>
      </c>
      <c r="M137" s="228">
        <v>0</v>
      </c>
      <c r="N137" s="228">
        <v>0</v>
      </c>
      <c r="O137" s="228">
        <v>0</v>
      </c>
      <c r="P137" s="228">
        <v>0</v>
      </c>
      <c r="Q137" s="228">
        <v>0</v>
      </c>
      <c r="R137" s="228">
        <v>0</v>
      </c>
      <c r="S137" s="228">
        <v>0</v>
      </c>
      <c r="T137" s="228">
        <v>0</v>
      </c>
      <c r="U137" s="228">
        <v>0</v>
      </c>
      <c r="V137" s="228">
        <v>0</v>
      </c>
      <c r="W137" s="228">
        <v>0</v>
      </c>
      <c r="X137" s="228">
        <v>0</v>
      </c>
      <c r="Y137" s="228">
        <v>0</v>
      </c>
      <c r="Z137" s="228"/>
      <c r="AA137" s="228">
        <v>0</v>
      </c>
      <c r="AB137" s="228">
        <v>0</v>
      </c>
      <c r="AC137" s="228">
        <v>0</v>
      </c>
      <c r="AD137" s="228">
        <v>0</v>
      </c>
      <c r="AE137" s="228">
        <v>0</v>
      </c>
      <c r="AF137" s="228">
        <v>0</v>
      </c>
      <c r="AG137" s="228">
        <v>0</v>
      </c>
      <c r="AH137" s="228">
        <v>0</v>
      </c>
      <c r="AI137" s="228">
        <v>0</v>
      </c>
      <c r="AJ137" s="228">
        <v>0</v>
      </c>
      <c r="AK137" s="228">
        <v>0</v>
      </c>
      <c r="AL137" s="228">
        <v>0</v>
      </c>
      <c r="AM137" s="45"/>
      <c r="AN137" s="45"/>
      <c r="AO137" s="45"/>
      <c r="AP137" s="45"/>
      <c r="AQ137" s="45"/>
      <c r="AR137" s="45"/>
      <c r="AS137" s="45"/>
      <c r="AT137" s="45"/>
      <c r="AU137" s="45"/>
      <c r="AV137" s="45"/>
      <c r="AW137" s="45"/>
      <c r="AX137" s="45"/>
      <c r="AY137" s="45"/>
      <c r="AZ137" s="45"/>
      <c r="BA137" s="45"/>
      <c r="BB137" s="45"/>
      <c r="BC137" s="45"/>
      <c r="BD137" s="45"/>
      <c r="BE137" s="45"/>
      <c r="BF137" s="45"/>
      <c r="BG137" s="45"/>
      <c r="BH137" s="45"/>
      <c r="BI137" s="45"/>
      <c r="BJ137" s="45"/>
      <c r="BK137" s="45"/>
      <c r="BL137" s="45"/>
      <c r="BM137" s="45"/>
      <c r="BN137" s="45"/>
      <c r="BO137" s="45"/>
      <c r="BP137" s="45"/>
      <c r="BQ137" s="45"/>
      <c r="BR137" s="45"/>
      <c r="BS137" s="45"/>
      <c r="BT137" s="45"/>
      <c r="BU137" s="45"/>
      <c r="BV137" s="45"/>
      <c r="BW137" s="45"/>
      <c r="BX137" s="45"/>
      <c r="BY137" s="45"/>
      <c r="BZ137" s="45"/>
      <c r="CA137" s="45"/>
      <c r="CB137" s="45"/>
      <c r="CC137" s="45"/>
      <c r="CD137" s="45"/>
      <c r="CE137" s="45"/>
      <c r="CF137" s="45"/>
      <c r="CG137" s="45"/>
      <c r="CH137" s="45"/>
      <c r="CI137" s="45"/>
      <c r="CJ137" s="45"/>
      <c r="CK137" s="45"/>
      <c r="CL137" s="45"/>
      <c r="CM137" s="45"/>
      <c r="CN137" s="45"/>
      <c r="CO137" s="45"/>
      <c r="CP137" s="45"/>
      <c r="CQ137" s="45"/>
      <c r="CR137" s="45"/>
      <c r="CS137" s="45"/>
      <c r="CT137" s="45"/>
      <c r="CU137" s="45"/>
      <c r="CV137" s="45"/>
      <c r="CW137" s="45"/>
      <c r="CX137" s="24"/>
      <c r="CY137" s="24"/>
      <c r="CZ137" s="24"/>
      <c r="DA137" s="24"/>
      <c r="DB137" s="24"/>
      <c r="DC137" s="24"/>
      <c r="DD137" s="24"/>
      <c r="DE137" s="24"/>
      <c r="DF137" s="24"/>
      <c r="DG137" s="24"/>
      <c r="DH137" s="24"/>
      <c r="DI137" s="24"/>
      <c r="DJ137" s="24"/>
      <c r="DK137" s="24"/>
      <c r="DL137" s="24"/>
      <c r="DM137" s="24"/>
      <c r="DN137" s="24"/>
      <c r="DO137" s="24"/>
      <c r="DP137" s="24"/>
      <c r="DQ137" s="24"/>
      <c r="DR137" s="24"/>
      <c r="DS137" s="24"/>
      <c r="DT137" s="24"/>
      <c r="DU137" s="24"/>
      <c r="DV137" s="24"/>
      <c r="DW137" s="24"/>
      <c r="DX137" s="24"/>
      <c r="DY137" s="24"/>
      <c r="DZ137" s="24"/>
      <c r="EA137" s="24"/>
    </row>
    <row r="138" spans="1:131">
      <c r="A138" s="24"/>
      <c r="B138" s="24" t="s">
        <v>658</v>
      </c>
      <c r="C138" s="228">
        <v>0</v>
      </c>
      <c r="D138" s="228">
        <v>0</v>
      </c>
      <c r="E138" s="228">
        <v>0</v>
      </c>
      <c r="F138" s="228">
        <v>0</v>
      </c>
      <c r="G138" s="228">
        <v>0</v>
      </c>
      <c r="H138" s="228">
        <v>0</v>
      </c>
      <c r="I138" s="228">
        <v>0</v>
      </c>
      <c r="J138" s="228">
        <v>0</v>
      </c>
      <c r="K138" s="228">
        <v>0</v>
      </c>
      <c r="L138" s="229">
        <v>0</v>
      </c>
      <c r="M138" s="228">
        <v>0</v>
      </c>
      <c r="N138" s="228">
        <v>0</v>
      </c>
      <c r="O138" s="228">
        <v>0</v>
      </c>
      <c r="P138" s="228">
        <v>0</v>
      </c>
      <c r="Q138" s="228">
        <v>0</v>
      </c>
      <c r="R138" s="228">
        <v>0</v>
      </c>
      <c r="S138" s="228">
        <v>0</v>
      </c>
      <c r="T138" s="228">
        <v>0</v>
      </c>
      <c r="U138" s="228">
        <v>0</v>
      </c>
      <c r="V138" s="228">
        <v>0</v>
      </c>
      <c r="W138" s="228">
        <v>0</v>
      </c>
      <c r="X138" s="228">
        <v>0</v>
      </c>
      <c r="Y138" s="228">
        <v>0</v>
      </c>
      <c r="Z138" s="228"/>
      <c r="AA138" s="228">
        <v>0</v>
      </c>
      <c r="AB138" s="228">
        <v>0</v>
      </c>
      <c r="AC138" s="228">
        <v>0</v>
      </c>
      <c r="AD138" s="228">
        <v>0</v>
      </c>
      <c r="AE138" s="228">
        <v>0</v>
      </c>
      <c r="AF138" s="228">
        <v>0</v>
      </c>
      <c r="AG138" s="228">
        <v>0</v>
      </c>
      <c r="AH138" s="228">
        <v>0</v>
      </c>
      <c r="AI138" s="228">
        <v>0</v>
      </c>
      <c r="AJ138" s="228">
        <v>0</v>
      </c>
      <c r="AK138" s="228">
        <v>0</v>
      </c>
      <c r="AL138" s="228">
        <v>0</v>
      </c>
      <c r="AM138" s="45"/>
      <c r="AN138" s="45"/>
      <c r="AO138" s="45"/>
      <c r="AP138" s="45"/>
      <c r="AQ138" s="45"/>
      <c r="AR138" s="45"/>
      <c r="AS138" s="45"/>
      <c r="AT138" s="45"/>
      <c r="AU138" s="45"/>
      <c r="AV138" s="45"/>
      <c r="AW138" s="45"/>
      <c r="AX138" s="45"/>
      <c r="AY138" s="45"/>
      <c r="AZ138" s="45"/>
      <c r="BA138" s="45"/>
      <c r="BB138" s="45"/>
      <c r="BC138" s="45"/>
      <c r="BD138" s="45"/>
      <c r="BE138" s="45"/>
      <c r="BF138" s="45"/>
      <c r="BG138" s="45"/>
      <c r="BH138" s="45"/>
      <c r="BI138" s="45"/>
      <c r="BJ138" s="45"/>
      <c r="BK138" s="45"/>
      <c r="BL138" s="45"/>
      <c r="BM138" s="45"/>
      <c r="BN138" s="45"/>
      <c r="BO138" s="45"/>
      <c r="BP138" s="45"/>
      <c r="BQ138" s="45"/>
      <c r="BR138" s="45"/>
      <c r="BS138" s="45"/>
      <c r="BT138" s="45"/>
      <c r="BU138" s="45"/>
      <c r="BV138" s="45"/>
      <c r="BW138" s="45"/>
      <c r="BX138" s="45"/>
      <c r="BY138" s="45"/>
      <c r="BZ138" s="45"/>
      <c r="CA138" s="45"/>
      <c r="CB138" s="45"/>
      <c r="CC138" s="45"/>
      <c r="CD138" s="45"/>
      <c r="CE138" s="45"/>
      <c r="CF138" s="45"/>
      <c r="CG138" s="45"/>
      <c r="CH138" s="45"/>
      <c r="CI138" s="45"/>
      <c r="CJ138" s="45"/>
      <c r="CK138" s="45"/>
      <c r="CL138" s="45"/>
      <c r="CM138" s="45"/>
      <c r="CN138" s="45"/>
      <c r="CO138" s="45"/>
      <c r="CP138" s="45"/>
      <c r="CQ138" s="45"/>
      <c r="CR138" s="45"/>
      <c r="CS138" s="45"/>
      <c r="CT138" s="45"/>
      <c r="CU138" s="45"/>
      <c r="CV138" s="45"/>
      <c r="CW138" s="45"/>
      <c r="CX138" s="24"/>
      <c r="CY138" s="24"/>
      <c r="CZ138" s="24"/>
      <c r="DA138" s="24"/>
      <c r="DB138" s="24"/>
      <c r="DC138" s="24"/>
      <c r="DD138" s="24"/>
      <c r="DE138" s="24"/>
      <c r="DF138" s="24"/>
      <c r="DG138" s="24"/>
      <c r="DH138" s="24"/>
      <c r="DI138" s="24"/>
      <c r="DJ138" s="24"/>
      <c r="DK138" s="24"/>
      <c r="DL138" s="24"/>
      <c r="DM138" s="24"/>
      <c r="DN138" s="24"/>
      <c r="DO138" s="24"/>
      <c r="DP138" s="24"/>
      <c r="DQ138" s="24"/>
      <c r="DR138" s="24"/>
      <c r="DS138" s="24"/>
      <c r="DT138" s="24"/>
      <c r="DU138" s="24"/>
      <c r="DV138" s="24"/>
      <c r="DW138" s="24"/>
      <c r="DX138" s="24"/>
      <c r="DY138" s="24"/>
      <c r="DZ138" s="24"/>
      <c r="EA138" s="24"/>
    </row>
    <row r="139" spans="1:131">
      <c r="A139" s="24"/>
      <c r="B139" s="24" t="s">
        <v>659</v>
      </c>
      <c r="C139" s="228">
        <v>0</v>
      </c>
      <c r="D139" s="228">
        <v>0</v>
      </c>
      <c r="E139" s="228">
        <v>0</v>
      </c>
      <c r="F139" s="228">
        <v>0</v>
      </c>
      <c r="G139" s="228">
        <v>0</v>
      </c>
      <c r="H139" s="228">
        <v>0</v>
      </c>
      <c r="I139" s="228">
        <v>0</v>
      </c>
      <c r="J139" s="228">
        <v>0</v>
      </c>
      <c r="K139" s="228">
        <v>0</v>
      </c>
      <c r="L139" s="229">
        <v>0</v>
      </c>
      <c r="M139" s="228">
        <v>0</v>
      </c>
      <c r="N139" s="228">
        <v>0</v>
      </c>
      <c r="O139" s="228">
        <v>0</v>
      </c>
      <c r="P139" s="228">
        <v>0</v>
      </c>
      <c r="Q139" s="228">
        <v>0</v>
      </c>
      <c r="R139" s="228">
        <v>0</v>
      </c>
      <c r="S139" s="228">
        <v>0</v>
      </c>
      <c r="T139" s="228">
        <v>0</v>
      </c>
      <c r="U139" s="228">
        <v>0</v>
      </c>
      <c r="V139" s="228">
        <v>0</v>
      </c>
      <c r="W139" s="228">
        <v>0</v>
      </c>
      <c r="X139" s="228">
        <v>0</v>
      </c>
      <c r="Y139" s="228">
        <v>0</v>
      </c>
      <c r="Z139" s="228"/>
      <c r="AA139" s="228">
        <v>0</v>
      </c>
      <c r="AB139" s="228">
        <v>0</v>
      </c>
      <c r="AC139" s="228">
        <v>0</v>
      </c>
      <c r="AD139" s="228">
        <v>0</v>
      </c>
      <c r="AE139" s="228">
        <v>0</v>
      </c>
      <c r="AF139" s="228">
        <v>0</v>
      </c>
      <c r="AG139" s="228">
        <v>0</v>
      </c>
      <c r="AH139" s="228">
        <v>0</v>
      </c>
      <c r="AI139" s="228">
        <v>0</v>
      </c>
      <c r="AJ139" s="228">
        <v>0</v>
      </c>
      <c r="AK139" s="228">
        <v>0</v>
      </c>
      <c r="AL139" s="228">
        <v>0</v>
      </c>
      <c r="AM139" s="45"/>
      <c r="AN139" s="45"/>
      <c r="AO139" s="45"/>
      <c r="AP139" s="45"/>
      <c r="AQ139" s="45"/>
      <c r="AR139" s="45"/>
      <c r="AS139" s="45"/>
      <c r="AT139" s="45"/>
      <c r="AU139" s="45"/>
      <c r="AV139" s="45"/>
      <c r="AW139" s="45"/>
      <c r="AX139" s="45"/>
      <c r="AY139" s="45"/>
      <c r="AZ139" s="45"/>
      <c r="BA139" s="45"/>
      <c r="BB139" s="45"/>
      <c r="BC139" s="45"/>
      <c r="BD139" s="45"/>
      <c r="BE139" s="45"/>
      <c r="BF139" s="45"/>
      <c r="BG139" s="45"/>
      <c r="BH139" s="45"/>
      <c r="BI139" s="45"/>
      <c r="BJ139" s="45"/>
      <c r="BK139" s="45"/>
      <c r="BL139" s="45"/>
      <c r="BM139" s="45"/>
      <c r="BN139" s="45"/>
      <c r="BO139" s="45"/>
      <c r="BP139" s="45"/>
      <c r="BQ139" s="45"/>
      <c r="BR139" s="45"/>
      <c r="BS139" s="45"/>
      <c r="BT139" s="45"/>
      <c r="BU139" s="45"/>
      <c r="BV139" s="45"/>
      <c r="BW139" s="45"/>
      <c r="BX139" s="45"/>
      <c r="BY139" s="45"/>
      <c r="BZ139" s="45"/>
      <c r="CA139" s="45"/>
      <c r="CB139" s="45"/>
      <c r="CC139" s="45"/>
      <c r="CD139" s="45"/>
      <c r="CE139" s="45"/>
      <c r="CF139" s="45"/>
      <c r="CG139" s="45"/>
      <c r="CH139" s="45"/>
      <c r="CI139" s="45"/>
      <c r="CJ139" s="45"/>
      <c r="CK139" s="45"/>
      <c r="CL139" s="45"/>
      <c r="CM139" s="45"/>
      <c r="CN139" s="45"/>
      <c r="CO139" s="45"/>
      <c r="CP139" s="45"/>
      <c r="CQ139" s="45"/>
      <c r="CR139" s="45"/>
      <c r="CS139" s="45"/>
      <c r="CT139" s="45"/>
      <c r="CU139" s="45"/>
      <c r="CV139" s="45"/>
      <c r="CW139" s="45"/>
      <c r="CX139" s="24"/>
      <c r="CY139" s="24"/>
      <c r="CZ139" s="24"/>
      <c r="DA139" s="24"/>
      <c r="DB139" s="24"/>
      <c r="DC139" s="24"/>
      <c r="DD139" s="24"/>
      <c r="DE139" s="24"/>
      <c r="DF139" s="24"/>
      <c r="DG139" s="24"/>
      <c r="DH139" s="24"/>
      <c r="DI139" s="24"/>
      <c r="DJ139" s="24"/>
      <c r="DK139" s="24"/>
      <c r="DL139" s="24"/>
      <c r="DM139" s="24"/>
      <c r="DN139" s="24"/>
      <c r="DO139" s="24"/>
      <c r="DP139" s="24"/>
      <c r="DQ139" s="24"/>
      <c r="DR139" s="24"/>
      <c r="DS139" s="24"/>
      <c r="DT139" s="24"/>
      <c r="DU139" s="24"/>
      <c r="DV139" s="24"/>
      <c r="DW139" s="24"/>
      <c r="DX139" s="24"/>
      <c r="DY139" s="24"/>
      <c r="DZ139" s="24"/>
      <c r="EA139" s="24"/>
    </row>
    <row r="140" spans="1:131">
      <c r="A140" s="24"/>
      <c r="B140" s="24" t="s">
        <v>660</v>
      </c>
      <c r="C140" s="228">
        <v>0</v>
      </c>
      <c r="D140" s="228">
        <v>0</v>
      </c>
      <c r="E140" s="228">
        <v>0</v>
      </c>
      <c r="F140" s="228">
        <v>0</v>
      </c>
      <c r="G140" s="228">
        <v>0</v>
      </c>
      <c r="H140" s="228">
        <v>0</v>
      </c>
      <c r="I140" s="228">
        <v>0</v>
      </c>
      <c r="J140" s="228">
        <v>0</v>
      </c>
      <c r="K140" s="228">
        <v>0</v>
      </c>
      <c r="L140" s="229">
        <v>0</v>
      </c>
      <c r="M140" s="228">
        <v>0</v>
      </c>
      <c r="N140" s="228">
        <v>0</v>
      </c>
      <c r="O140" s="228">
        <v>0</v>
      </c>
      <c r="P140" s="228">
        <v>0</v>
      </c>
      <c r="Q140" s="228">
        <v>0</v>
      </c>
      <c r="R140" s="228">
        <v>0</v>
      </c>
      <c r="S140" s="228">
        <v>0</v>
      </c>
      <c r="T140" s="228">
        <v>0</v>
      </c>
      <c r="U140" s="228">
        <v>0</v>
      </c>
      <c r="V140" s="228">
        <v>0</v>
      </c>
      <c r="W140" s="228">
        <v>0</v>
      </c>
      <c r="X140" s="228">
        <v>0</v>
      </c>
      <c r="Y140" s="228">
        <v>0</v>
      </c>
      <c r="Z140" s="228"/>
      <c r="AA140" s="228">
        <v>0</v>
      </c>
      <c r="AB140" s="228">
        <v>0</v>
      </c>
      <c r="AC140" s="228">
        <v>0</v>
      </c>
      <c r="AD140" s="228">
        <v>0</v>
      </c>
      <c r="AE140" s="228">
        <v>0</v>
      </c>
      <c r="AF140" s="228">
        <v>0</v>
      </c>
      <c r="AG140" s="228">
        <v>0</v>
      </c>
      <c r="AH140" s="228">
        <v>0</v>
      </c>
      <c r="AI140" s="228">
        <v>0</v>
      </c>
      <c r="AJ140" s="228">
        <v>0</v>
      </c>
      <c r="AK140" s="228">
        <v>0</v>
      </c>
      <c r="AL140" s="228">
        <v>0</v>
      </c>
      <c r="AM140" s="45"/>
      <c r="AN140" s="45"/>
      <c r="AO140" s="45"/>
      <c r="AP140" s="45"/>
      <c r="AQ140" s="45"/>
      <c r="AR140" s="45"/>
      <c r="AS140" s="45"/>
      <c r="AT140" s="45"/>
      <c r="AU140" s="45"/>
      <c r="AV140" s="45"/>
      <c r="AW140" s="45"/>
      <c r="AX140" s="45"/>
      <c r="AY140" s="45"/>
      <c r="AZ140" s="45"/>
      <c r="BA140" s="45"/>
      <c r="BB140" s="45"/>
      <c r="BC140" s="45"/>
      <c r="BD140" s="45"/>
      <c r="BE140" s="45"/>
      <c r="BF140" s="45"/>
      <c r="BG140" s="45"/>
      <c r="BH140" s="45"/>
      <c r="BI140" s="45"/>
      <c r="BJ140" s="45"/>
      <c r="BK140" s="45"/>
      <c r="BL140" s="45"/>
      <c r="BM140" s="45"/>
      <c r="BN140" s="45"/>
      <c r="BO140" s="45"/>
      <c r="BP140" s="45"/>
      <c r="BQ140" s="45"/>
      <c r="BR140" s="45"/>
      <c r="BS140" s="45"/>
      <c r="BT140" s="45"/>
      <c r="BU140" s="45"/>
      <c r="BV140" s="45"/>
      <c r="BW140" s="45"/>
      <c r="BX140" s="45"/>
      <c r="BY140" s="45"/>
      <c r="BZ140" s="45"/>
      <c r="CA140" s="45"/>
      <c r="CB140" s="45"/>
      <c r="CC140" s="45"/>
      <c r="CD140" s="45"/>
      <c r="CE140" s="45"/>
      <c r="CF140" s="45"/>
      <c r="CG140" s="45"/>
      <c r="CH140" s="45"/>
      <c r="CI140" s="45"/>
      <c r="CJ140" s="45"/>
      <c r="CK140" s="45"/>
      <c r="CL140" s="45"/>
      <c r="CM140" s="45"/>
      <c r="CN140" s="45"/>
      <c r="CO140" s="45"/>
      <c r="CP140" s="45"/>
      <c r="CQ140" s="45"/>
      <c r="CR140" s="45"/>
      <c r="CS140" s="45"/>
      <c r="CT140" s="45"/>
      <c r="CU140" s="45"/>
      <c r="CV140" s="45"/>
      <c r="CW140" s="45"/>
      <c r="CX140" s="24"/>
      <c r="CY140" s="24"/>
      <c r="CZ140" s="24"/>
      <c r="DA140" s="24"/>
      <c r="DB140" s="24"/>
      <c r="DC140" s="24"/>
      <c r="DD140" s="24"/>
      <c r="DE140" s="24"/>
      <c r="DF140" s="24"/>
      <c r="DG140" s="24"/>
      <c r="DH140" s="24"/>
      <c r="DI140" s="24"/>
      <c r="DJ140" s="24"/>
      <c r="DK140" s="24"/>
      <c r="DL140" s="24"/>
      <c r="DM140" s="24"/>
      <c r="DN140" s="24"/>
      <c r="DO140" s="24"/>
      <c r="DP140" s="24"/>
      <c r="DQ140" s="24"/>
      <c r="DR140" s="24"/>
      <c r="DS140" s="24"/>
      <c r="DT140" s="24"/>
      <c r="DU140" s="24"/>
      <c r="DV140" s="24"/>
      <c r="DW140" s="24"/>
      <c r="DX140" s="24"/>
      <c r="DY140" s="24"/>
      <c r="DZ140" s="24"/>
      <c r="EA140" s="24"/>
    </row>
    <row r="141" spans="1:131">
      <c r="A141" s="24"/>
      <c r="B141" s="24" t="s">
        <v>661</v>
      </c>
      <c r="C141" s="228">
        <v>0</v>
      </c>
      <c r="D141" s="228">
        <v>0</v>
      </c>
      <c r="E141" s="228">
        <v>0</v>
      </c>
      <c r="F141" s="228">
        <v>0</v>
      </c>
      <c r="G141" s="228">
        <v>0</v>
      </c>
      <c r="H141" s="228">
        <v>0</v>
      </c>
      <c r="I141" s="228">
        <v>0</v>
      </c>
      <c r="J141" s="228">
        <v>0</v>
      </c>
      <c r="K141" s="228">
        <v>0</v>
      </c>
      <c r="L141" s="229">
        <v>0</v>
      </c>
      <c r="M141" s="228">
        <v>0</v>
      </c>
      <c r="N141" s="228">
        <v>0</v>
      </c>
      <c r="O141" s="228">
        <v>0</v>
      </c>
      <c r="P141" s="228">
        <v>0</v>
      </c>
      <c r="Q141" s="228">
        <v>0</v>
      </c>
      <c r="R141" s="228">
        <v>0</v>
      </c>
      <c r="S141" s="228">
        <v>0</v>
      </c>
      <c r="T141" s="228">
        <v>0</v>
      </c>
      <c r="U141" s="228">
        <v>0</v>
      </c>
      <c r="V141" s="228">
        <v>0</v>
      </c>
      <c r="W141" s="228">
        <v>0</v>
      </c>
      <c r="X141" s="228">
        <v>0</v>
      </c>
      <c r="Y141" s="228">
        <v>0</v>
      </c>
      <c r="Z141" s="228"/>
      <c r="AA141" s="228">
        <v>0</v>
      </c>
      <c r="AB141" s="228">
        <v>0</v>
      </c>
      <c r="AC141" s="228">
        <v>0</v>
      </c>
      <c r="AD141" s="228">
        <v>0</v>
      </c>
      <c r="AE141" s="228">
        <v>0</v>
      </c>
      <c r="AF141" s="228">
        <v>0</v>
      </c>
      <c r="AG141" s="228">
        <v>0</v>
      </c>
      <c r="AH141" s="228">
        <v>0</v>
      </c>
      <c r="AI141" s="228">
        <v>0</v>
      </c>
      <c r="AJ141" s="228">
        <v>0</v>
      </c>
      <c r="AK141" s="228">
        <v>0</v>
      </c>
      <c r="AL141" s="228">
        <v>0</v>
      </c>
      <c r="AM141" s="45"/>
      <c r="AN141" s="45"/>
      <c r="AO141" s="45"/>
      <c r="AP141" s="45"/>
      <c r="AQ141" s="45"/>
      <c r="AR141" s="45"/>
      <c r="AS141" s="45"/>
      <c r="AT141" s="45"/>
      <c r="AU141" s="45"/>
      <c r="AV141" s="45"/>
      <c r="AW141" s="45"/>
      <c r="AX141" s="45"/>
      <c r="AY141" s="45"/>
      <c r="AZ141" s="45"/>
      <c r="BA141" s="45"/>
      <c r="BB141" s="45"/>
      <c r="BC141" s="45"/>
      <c r="BD141" s="45"/>
      <c r="BE141" s="45"/>
      <c r="BF141" s="45"/>
      <c r="BG141" s="45"/>
      <c r="BH141" s="45"/>
      <c r="BI141" s="45"/>
      <c r="BJ141" s="45"/>
      <c r="BK141" s="45"/>
      <c r="BL141" s="45"/>
      <c r="BM141" s="45"/>
      <c r="BN141" s="45"/>
      <c r="BO141" s="45"/>
      <c r="BP141" s="45"/>
      <c r="BQ141" s="45"/>
      <c r="BR141" s="45"/>
      <c r="BS141" s="45"/>
      <c r="BT141" s="45"/>
      <c r="BU141" s="45"/>
      <c r="BV141" s="45"/>
      <c r="BW141" s="45"/>
      <c r="BX141" s="45"/>
      <c r="BY141" s="45"/>
      <c r="BZ141" s="45"/>
      <c r="CA141" s="45"/>
      <c r="CB141" s="45"/>
      <c r="CC141" s="45"/>
      <c r="CD141" s="45"/>
      <c r="CE141" s="45"/>
      <c r="CF141" s="45"/>
      <c r="CG141" s="45"/>
      <c r="CH141" s="45"/>
      <c r="CI141" s="45"/>
      <c r="CJ141" s="45"/>
      <c r="CK141" s="45"/>
      <c r="CL141" s="45"/>
      <c r="CM141" s="45"/>
      <c r="CN141" s="45"/>
      <c r="CO141" s="45"/>
      <c r="CP141" s="45"/>
      <c r="CQ141" s="45"/>
      <c r="CR141" s="45"/>
      <c r="CS141" s="45"/>
      <c r="CT141" s="45"/>
      <c r="CU141" s="45"/>
      <c r="CV141" s="45"/>
      <c r="CW141" s="45"/>
      <c r="CX141" s="24"/>
      <c r="CY141" s="24"/>
      <c r="CZ141" s="24"/>
      <c r="DA141" s="24"/>
      <c r="DB141" s="24"/>
      <c r="DC141" s="24"/>
      <c r="DD141" s="24"/>
      <c r="DE141" s="24"/>
      <c r="DF141" s="24"/>
      <c r="DG141" s="24"/>
      <c r="DH141" s="24"/>
      <c r="DI141" s="24"/>
      <c r="DJ141" s="24"/>
      <c r="DK141" s="24"/>
      <c r="DL141" s="24"/>
      <c r="DM141" s="24"/>
      <c r="DN141" s="24"/>
      <c r="DO141" s="24"/>
      <c r="DP141" s="24"/>
      <c r="DQ141" s="24"/>
      <c r="DR141" s="24"/>
      <c r="DS141" s="24"/>
      <c r="DT141" s="24"/>
      <c r="DU141" s="24"/>
      <c r="DV141" s="24"/>
      <c r="DW141" s="24"/>
      <c r="DX141" s="24"/>
      <c r="DY141" s="24"/>
      <c r="DZ141" s="24"/>
      <c r="EA141" s="24"/>
    </row>
    <row r="142" spans="1:131">
      <c r="A142" s="24"/>
      <c r="B142" s="24" t="s">
        <v>662</v>
      </c>
      <c r="C142" s="228">
        <v>0</v>
      </c>
      <c r="D142" s="228">
        <v>0</v>
      </c>
      <c r="E142" s="228">
        <v>0</v>
      </c>
      <c r="F142" s="228">
        <v>0</v>
      </c>
      <c r="G142" s="228">
        <v>0</v>
      </c>
      <c r="H142" s="228">
        <v>0</v>
      </c>
      <c r="I142" s="228">
        <v>0</v>
      </c>
      <c r="J142" s="228">
        <v>0</v>
      </c>
      <c r="K142" s="228">
        <v>0</v>
      </c>
      <c r="L142" s="229">
        <v>0</v>
      </c>
      <c r="M142" s="228">
        <v>0</v>
      </c>
      <c r="N142" s="228">
        <v>0</v>
      </c>
      <c r="O142" s="228">
        <v>0</v>
      </c>
      <c r="P142" s="228">
        <v>0</v>
      </c>
      <c r="Q142" s="228">
        <v>0</v>
      </c>
      <c r="R142" s="228">
        <v>0</v>
      </c>
      <c r="S142" s="228">
        <v>0</v>
      </c>
      <c r="T142" s="228">
        <v>0</v>
      </c>
      <c r="U142" s="228">
        <v>0</v>
      </c>
      <c r="V142" s="228">
        <v>0</v>
      </c>
      <c r="W142" s="228">
        <v>0</v>
      </c>
      <c r="X142" s="228">
        <v>0</v>
      </c>
      <c r="Y142" s="228">
        <v>0</v>
      </c>
      <c r="Z142" s="228"/>
      <c r="AA142" s="228">
        <v>0</v>
      </c>
      <c r="AB142" s="228">
        <v>0</v>
      </c>
      <c r="AC142" s="228">
        <v>0</v>
      </c>
      <c r="AD142" s="228">
        <v>0</v>
      </c>
      <c r="AE142" s="228">
        <v>0</v>
      </c>
      <c r="AF142" s="228">
        <v>0</v>
      </c>
      <c r="AG142" s="228">
        <v>0</v>
      </c>
      <c r="AH142" s="228">
        <v>0</v>
      </c>
      <c r="AI142" s="228">
        <v>0</v>
      </c>
      <c r="AJ142" s="228">
        <v>0</v>
      </c>
      <c r="AK142" s="228">
        <v>0</v>
      </c>
      <c r="AL142" s="228">
        <v>0</v>
      </c>
      <c r="AM142" s="45"/>
      <c r="AN142" s="45"/>
      <c r="AO142" s="45"/>
      <c r="AP142" s="45"/>
      <c r="AQ142" s="45"/>
      <c r="AR142" s="45"/>
      <c r="AS142" s="45"/>
      <c r="AT142" s="45"/>
      <c r="AU142" s="45"/>
      <c r="AV142" s="45"/>
      <c r="AW142" s="45"/>
      <c r="AX142" s="45"/>
      <c r="AY142" s="45"/>
      <c r="AZ142" s="45"/>
      <c r="BA142" s="45"/>
      <c r="BB142" s="45"/>
      <c r="BC142" s="45"/>
      <c r="BD142" s="45"/>
      <c r="BE142" s="45"/>
      <c r="BF142" s="45"/>
      <c r="BG142" s="45"/>
      <c r="BH142" s="45"/>
      <c r="BI142" s="45"/>
      <c r="BJ142" s="45"/>
      <c r="BK142" s="45"/>
      <c r="BL142" s="45"/>
      <c r="BM142" s="45"/>
      <c r="BN142" s="45"/>
      <c r="BO142" s="45"/>
      <c r="BP142" s="45"/>
      <c r="BQ142" s="45"/>
      <c r="BR142" s="45"/>
      <c r="BS142" s="45"/>
      <c r="BT142" s="45"/>
      <c r="BU142" s="45"/>
      <c r="BV142" s="45"/>
      <c r="BW142" s="45"/>
      <c r="BX142" s="45"/>
      <c r="BY142" s="45"/>
      <c r="BZ142" s="45"/>
      <c r="CA142" s="45"/>
      <c r="CB142" s="45"/>
      <c r="CC142" s="45"/>
      <c r="CD142" s="45"/>
      <c r="CE142" s="45"/>
      <c r="CF142" s="45"/>
      <c r="CG142" s="45"/>
      <c r="CH142" s="45"/>
      <c r="CI142" s="45"/>
      <c r="CJ142" s="45"/>
      <c r="CK142" s="45"/>
      <c r="CL142" s="45"/>
      <c r="CM142" s="45"/>
      <c r="CN142" s="45"/>
      <c r="CO142" s="45"/>
      <c r="CP142" s="45"/>
      <c r="CQ142" s="45"/>
      <c r="CR142" s="45"/>
      <c r="CS142" s="45"/>
      <c r="CT142" s="45"/>
      <c r="CU142" s="45"/>
      <c r="CV142" s="45"/>
      <c r="CW142" s="45"/>
      <c r="CX142" s="24"/>
      <c r="CY142" s="24"/>
      <c r="CZ142" s="24"/>
      <c r="DA142" s="24"/>
      <c r="DB142" s="24"/>
      <c r="DC142" s="24"/>
      <c r="DD142" s="24"/>
      <c r="DE142" s="24"/>
      <c r="DF142" s="24"/>
      <c r="DG142" s="24"/>
      <c r="DH142" s="24"/>
      <c r="DI142" s="24"/>
      <c r="DJ142" s="24"/>
      <c r="DK142" s="24"/>
      <c r="DL142" s="24"/>
      <c r="DM142" s="24"/>
      <c r="DN142" s="24"/>
      <c r="DO142" s="24"/>
      <c r="DP142" s="24"/>
      <c r="DQ142" s="24"/>
      <c r="DR142" s="24"/>
      <c r="DS142" s="24"/>
      <c r="DT142" s="24"/>
      <c r="DU142" s="24"/>
      <c r="DV142" s="24"/>
      <c r="DW142" s="24"/>
      <c r="DX142" s="24"/>
      <c r="DY142" s="24"/>
      <c r="DZ142" s="24"/>
      <c r="EA142" s="24"/>
    </row>
    <row r="143" spans="1:131">
      <c r="A143" s="24"/>
      <c r="B143" s="24"/>
      <c r="C143" s="45"/>
      <c r="D143" s="45"/>
      <c r="E143" s="45"/>
      <c r="F143" s="45"/>
      <c r="G143" s="45"/>
      <c r="H143" s="45"/>
      <c r="I143" s="45"/>
      <c r="J143" s="45"/>
      <c r="K143" s="45"/>
      <c r="L143" s="45"/>
      <c r="M143" s="45"/>
      <c r="N143" s="45"/>
      <c r="O143" s="45"/>
      <c r="P143" s="45"/>
      <c r="Q143" s="45"/>
      <c r="R143" s="45"/>
      <c r="S143" s="45"/>
      <c r="T143" s="45"/>
      <c r="U143" s="45"/>
      <c r="V143" s="45"/>
      <c r="W143" s="45"/>
      <c r="X143" s="45"/>
      <c r="Y143" s="45"/>
      <c r="Z143" s="45"/>
      <c r="AA143" s="45"/>
      <c r="AB143" s="45"/>
      <c r="AC143" s="45"/>
      <c r="AD143" s="45"/>
      <c r="AE143" s="45"/>
      <c r="AF143" s="45"/>
      <c r="AG143" s="45"/>
      <c r="AH143" s="45"/>
      <c r="AI143" s="45"/>
      <c r="AJ143" s="45"/>
      <c r="AK143" s="45"/>
      <c r="AL143" s="45"/>
      <c r="AM143" s="45"/>
      <c r="AN143" s="45"/>
      <c r="AO143" s="45"/>
      <c r="AP143" s="45"/>
      <c r="AQ143" s="45"/>
      <c r="AR143" s="45"/>
      <c r="AS143" s="45"/>
      <c r="AT143" s="45"/>
      <c r="AU143" s="45"/>
      <c r="AV143" s="45"/>
      <c r="AW143" s="45"/>
      <c r="AX143" s="45"/>
      <c r="AY143" s="45"/>
      <c r="AZ143" s="45"/>
      <c r="BA143" s="45"/>
      <c r="BB143" s="45"/>
      <c r="BC143" s="45"/>
      <c r="BD143" s="45"/>
      <c r="BE143" s="45"/>
      <c r="BF143" s="45"/>
      <c r="BG143" s="45"/>
      <c r="BH143" s="45"/>
      <c r="BI143" s="45"/>
      <c r="BJ143" s="45"/>
      <c r="BK143" s="45"/>
      <c r="BL143" s="45"/>
      <c r="BM143" s="45"/>
      <c r="BN143" s="45"/>
      <c r="BO143" s="45"/>
      <c r="BP143" s="45"/>
      <c r="BQ143" s="45"/>
      <c r="BR143" s="45"/>
      <c r="BS143" s="45"/>
      <c r="BT143" s="45"/>
      <c r="BU143" s="45"/>
      <c r="BV143" s="45"/>
      <c r="BW143" s="45"/>
      <c r="BX143" s="45"/>
      <c r="BY143" s="45"/>
      <c r="BZ143" s="45"/>
      <c r="CA143" s="45"/>
      <c r="CB143" s="45"/>
      <c r="CC143" s="45"/>
      <c r="CD143" s="45"/>
      <c r="CE143" s="45"/>
      <c r="CF143" s="45"/>
      <c r="CG143" s="45"/>
      <c r="CH143" s="45"/>
      <c r="CI143" s="45"/>
      <c r="CJ143" s="45"/>
      <c r="CK143" s="45"/>
      <c r="CL143" s="45"/>
      <c r="CM143" s="45"/>
      <c r="CN143" s="45"/>
      <c r="CO143" s="45"/>
      <c r="CP143" s="45"/>
      <c r="CQ143" s="45"/>
      <c r="CR143" s="45"/>
      <c r="CS143" s="45"/>
      <c r="CT143" s="45"/>
      <c r="CU143" s="45"/>
      <c r="CV143" s="45"/>
      <c r="CW143" s="45"/>
      <c r="CX143" s="24"/>
      <c r="CY143" s="24"/>
      <c r="CZ143" s="24"/>
      <c r="DA143" s="24"/>
      <c r="DB143" s="24"/>
      <c r="DC143" s="24"/>
      <c r="DD143" s="24"/>
      <c r="DE143" s="24"/>
      <c r="DF143" s="24"/>
      <c r="DG143" s="24"/>
      <c r="DH143" s="24"/>
      <c r="DI143" s="24"/>
      <c r="DJ143" s="24"/>
      <c r="DK143" s="24"/>
      <c r="DL143" s="24"/>
      <c r="DM143" s="24"/>
      <c r="DN143" s="24"/>
      <c r="DO143" s="24"/>
      <c r="DP143" s="24"/>
      <c r="DQ143" s="24"/>
      <c r="DR143" s="24"/>
      <c r="DS143" s="24"/>
      <c r="DT143" s="24"/>
      <c r="DU143" s="24"/>
      <c r="DV143" s="24"/>
      <c r="DW143" s="24"/>
      <c r="DX143" s="24"/>
      <c r="DY143" s="24"/>
      <c r="DZ143" s="24"/>
      <c r="EA143" s="24"/>
    </row>
    <row r="144" spans="1:131">
      <c r="A144" s="24"/>
      <c r="B144" s="24"/>
      <c r="C144" s="45"/>
      <c r="D144" s="45"/>
      <c r="E144" s="45"/>
      <c r="F144" s="45"/>
      <c r="G144" s="45"/>
      <c r="H144" s="45"/>
      <c r="I144" s="45"/>
      <c r="J144" s="45"/>
      <c r="K144" s="45"/>
      <c r="L144" s="45"/>
      <c r="M144" s="45"/>
      <c r="N144" s="45"/>
      <c r="O144" s="45"/>
      <c r="P144" s="45"/>
      <c r="Q144" s="45"/>
      <c r="R144" s="45"/>
      <c r="S144" s="45"/>
      <c r="T144" s="45"/>
      <c r="U144" s="45"/>
      <c r="V144" s="45"/>
      <c r="W144" s="45"/>
      <c r="X144" s="45"/>
      <c r="Y144" s="45"/>
      <c r="Z144" s="45"/>
      <c r="AA144" s="45"/>
      <c r="AB144" s="45"/>
      <c r="AC144" s="45"/>
      <c r="AD144" s="45"/>
      <c r="AE144" s="45"/>
      <c r="AF144" s="45"/>
      <c r="AG144" s="45"/>
      <c r="AH144" s="45"/>
      <c r="AI144" s="45"/>
      <c r="AJ144" s="45"/>
      <c r="AK144" s="45"/>
      <c r="AL144" s="45"/>
      <c r="AM144" s="45"/>
      <c r="AN144" s="45"/>
      <c r="AO144" s="45"/>
      <c r="AP144" s="45"/>
      <c r="AQ144" s="45"/>
      <c r="AR144" s="45"/>
      <c r="AS144" s="45"/>
      <c r="AT144" s="45"/>
      <c r="AU144" s="45"/>
      <c r="AV144" s="45"/>
      <c r="AW144" s="45"/>
      <c r="AX144" s="45"/>
      <c r="AY144" s="45"/>
      <c r="AZ144" s="45"/>
      <c r="BA144" s="45"/>
      <c r="BB144" s="45"/>
      <c r="BC144" s="45"/>
      <c r="BD144" s="45"/>
      <c r="BE144" s="45"/>
      <c r="BF144" s="45"/>
      <c r="BG144" s="45"/>
      <c r="BH144" s="45"/>
      <c r="BI144" s="45"/>
      <c r="BJ144" s="45"/>
      <c r="BK144" s="45"/>
      <c r="BL144" s="45"/>
      <c r="BM144" s="45"/>
      <c r="BN144" s="45"/>
      <c r="BO144" s="45"/>
      <c r="BP144" s="45"/>
      <c r="BQ144" s="45"/>
      <c r="BR144" s="45"/>
      <c r="BS144" s="45"/>
      <c r="BT144" s="45"/>
      <c r="BU144" s="45"/>
      <c r="BV144" s="45"/>
      <c r="BW144" s="45"/>
      <c r="BX144" s="45"/>
      <c r="BY144" s="45"/>
      <c r="BZ144" s="45"/>
      <c r="CA144" s="45"/>
      <c r="CB144" s="45"/>
      <c r="CC144" s="45"/>
      <c r="CD144" s="45"/>
      <c r="CE144" s="45"/>
      <c r="CF144" s="45"/>
      <c r="CG144" s="45"/>
      <c r="CH144" s="45"/>
      <c r="CI144" s="45"/>
      <c r="CJ144" s="45"/>
      <c r="CK144" s="45"/>
      <c r="CL144" s="45"/>
      <c r="CM144" s="45"/>
      <c r="CN144" s="45"/>
      <c r="CO144" s="45"/>
      <c r="CP144" s="45"/>
      <c r="CQ144" s="45"/>
      <c r="CR144" s="45"/>
      <c r="CS144" s="45"/>
      <c r="CT144" s="45"/>
      <c r="CU144" s="45"/>
      <c r="CV144" s="45"/>
      <c r="CW144" s="45"/>
      <c r="CX144" s="24"/>
      <c r="CY144" s="24"/>
      <c r="CZ144" s="24"/>
      <c r="DA144" s="24"/>
      <c r="DB144" s="24"/>
      <c r="DC144" s="24"/>
      <c r="DD144" s="24"/>
      <c r="DE144" s="24"/>
      <c r="DF144" s="24"/>
      <c r="DG144" s="24"/>
      <c r="DH144" s="24"/>
      <c r="DI144" s="24"/>
      <c r="DJ144" s="24"/>
      <c r="DK144" s="24"/>
      <c r="DL144" s="24"/>
      <c r="DM144" s="24"/>
      <c r="DN144" s="24"/>
      <c r="DO144" s="24"/>
      <c r="DP144" s="24"/>
      <c r="DQ144" s="24"/>
      <c r="DR144" s="24"/>
      <c r="DS144" s="24"/>
      <c r="DT144" s="24"/>
      <c r="DU144" s="24"/>
      <c r="DV144" s="24"/>
      <c r="DW144" s="24"/>
      <c r="DX144" s="24"/>
      <c r="DY144" s="24"/>
      <c r="DZ144" s="24"/>
      <c r="EA144" s="24"/>
    </row>
    <row r="145" spans="1:131" ht="13.5" thickBot="1">
      <c r="A145" s="187" t="s">
        <v>384</v>
      </c>
      <c r="B145" s="188"/>
      <c r="C145" s="45"/>
      <c r="D145" s="45"/>
      <c r="E145" s="45"/>
      <c r="F145" s="45"/>
      <c r="G145" s="45"/>
      <c r="H145" s="45"/>
      <c r="I145" s="45"/>
      <c r="J145" s="45"/>
      <c r="K145" s="45"/>
      <c r="L145" s="45"/>
      <c r="M145" s="45"/>
      <c r="N145" s="45"/>
      <c r="O145" s="45"/>
      <c r="P145" s="45"/>
      <c r="Q145" s="45"/>
      <c r="R145" s="45"/>
      <c r="S145" s="45"/>
      <c r="T145" s="45"/>
      <c r="U145" s="45"/>
      <c r="V145" s="45"/>
      <c r="W145" s="45"/>
      <c r="X145" s="45"/>
      <c r="Y145" s="45"/>
      <c r="Z145" s="45"/>
      <c r="AA145" s="45"/>
      <c r="AB145" s="45"/>
      <c r="AC145" s="45"/>
      <c r="AD145" s="45"/>
      <c r="AE145" s="45"/>
      <c r="AF145" s="45"/>
      <c r="AG145" s="45"/>
      <c r="AH145" s="45"/>
      <c r="AI145" s="45"/>
      <c r="AJ145" s="45"/>
      <c r="AK145" s="45"/>
      <c r="AL145" s="45"/>
      <c r="AM145" s="45"/>
      <c r="AN145" s="45"/>
      <c r="AO145" s="45"/>
      <c r="AP145" s="45"/>
      <c r="AQ145" s="45"/>
      <c r="AR145" s="45"/>
      <c r="AS145" s="45"/>
      <c r="AT145" s="45"/>
      <c r="AU145" s="45"/>
      <c r="AV145" s="45"/>
      <c r="AW145" s="45"/>
      <c r="AX145" s="45"/>
      <c r="AY145" s="45"/>
      <c r="AZ145" s="45"/>
      <c r="BA145" s="45"/>
      <c r="BB145" s="45"/>
      <c r="BC145" s="45"/>
      <c r="BD145" s="45"/>
      <c r="BE145" s="45"/>
      <c r="BF145" s="45"/>
      <c r="BG145" s="45"/>
      <c r="BH145" s="45"/>
      <c r="BI145" s="45"/>
      <c r="BJ145" s="45"/>
      <c r="BK145" s="45"/>
      <c r="BL145" s="45"/>
      <c r="BM145" s="45"/>
      <c r="BN145" s="45"/>
      <c r="BO145" s="45"/>
      <c r="BP145" s="45"/>
      <c r="BQ145" s="45"/>
      <c r="BR145" s="45"/>
      <c r="BS145" s="45"/>
      <c r="BT145" s="45"/>
      <c r="BU145" s="45"/>
      <c r="BV145" s="45"/>
      <c r="BW145" s="45"/>
      <c r="BX145" s="45"/>
      <c r="BY145" s="45"/>
      <c r="BZ145" s="45"/>
      <c r="CA145" s="45"/>
      <c r="CB145" s="45"/>
      <c r="CC145" s="45"/>
      <c r="CD145" s="45"/>
      <c r="CE145" s="45"/>
      <c r="CF145" s="45"/>
      <c r="CG145" s="45"/>
      <c r="CH145" s="45"/>
      <c r="CI145" s="45"/>
      <c r="CJ145" s="45"/>
      <c r="CK145" s="45"/>
      <c r="CL145" s="45"/>
      <c r="CM145" s="45"/>
      <c r="CN145" s="45"/>
      <c r="CO145" s="45"/>
      <c r="CP145" s="45"/>
      <c r="CQ145" s="45"/>
      <c r="CR145" s="45"/>
      <c r="CS145" s="45"/>
      <c r="CT145" s="45"/>
      <c r="CU145" s="45"/>
      <c r="CV145" s="45"/>
      <c r="CW145" s="45"/>
      <c r="CX145" s="24"/>
      <c r="CY145" s="24"/>
      <c r="CZ145" s="24"/>
      <c r="DA145" s="24"/>
      <c r="DB145" s="24"/>
      <c r="DC145" s="24"/>
      <c r="DD145" s="24"/>
      <c r="DE145" s="24"/>
      <c r="DF145" s="24"/>
      <c r="DG145" s="24"/>
      <c r="DH145" s="24"/>
      <c r="DI145" s="24"/>
      <c r="DJ145" s="24"/>
      <c r="DK145" s="24"/>
      <c r="DL145" s="24"/>
      <c r="DM145" s="24"/>
      <c r="DN145" s="24"/>
      <c r="DO145" s="24"/>
      <c r="DP145" s="24"/>
      <c r="DQ145" s="24"/>
      <c r="DR145" s="24"/>
      <c r="DS145" s="24"/>
      <c r="DT145" s="24"/>
      <c r="DU145" s="24"/>
      <c r="DV145" s="24"/>
      <c r="DW145" s="24"/>
      <c r="DX145" s="24"/>
      <c r="DY145" s="24"/>
      <c r="DZ145" s="24"/>
      <c r="EA145" s="24"/>
    </row>
    <row r="146" spans="1:131" ht="13.5" thickBot="1">
      <c r="A146" s="189"/>
      <c r="B146" s="190"/>
      <c r="C146" s="191"/>
      <c r="D146" s="191"/>
      <c r="E146" s="191"/>
      <c r="F146" s="191"/>
      <c r="G146" s="191"/>
      <c r="H146" s="191"/>
      <c r="I146" s="191"/>
      <c r="J146" s="191"/>
      <c r="K146" s="191"/>
      <c r="L146" s="191"/>
      <c r="M146" s="191"/>
      <c r="N146" s="191"/>
      <c r="O146" s="192" t="s">
        <v>385</v>
      </c>
      <c r="P146" s="193"/>
      <c r="Q146" s="193"/>
      <c r="R146" s="193"/>
      <c r="S146" s="193"/>
      <c r="T146" s="193"/>
      <c r="U146" s="193"/>
      <c r="V146" s="193"/>
      <c r="W146" s="193"/>
      <c r="X146" s="193"/>
      <c r="Y146" s="193"/>
      <c r="Z146" s="194"/>
      <c r="AA146" s="191"/>
      <c r="AB146" s="192" t="s">
        <v>386</v>
      </c>
      <c r="AC146" s="193"/>
      <c r="AD146" s="193"/>
      <c r="AE146" s="193"/>
      <c r="AF146" s="193"/>
      <c r="AG146" s="193"/>
      <c r="AH146" s="193"/>
      <c r="AI146" s="193"/>
      <c r="AJ146" s="193"/>
      <c r="AK146" s="193"/>
      <c r="AL146" s="193"/>
      <c r="AM146" s="194"/>
      <c r="AN146" s="45"/>
      <c r="AO146" s="45"/>
      <c r="AP146" s="45"/>
      <c r="AQ146" s="45"/>
      <c r="AR146" s="45"/>
      <c r="AS146" s="45"/>
      <c r="AT146" s="45"/>
      <c r="AU146" s="45"/>
      <c r="AV146" s="45"/>
      <c r="AW146" s="45"/>
      <c r="AX146" s="45"/>
      <c r="AY146" s="45"/>
      <c r="AZ146" s="45"/>
      <c r="BA146" s="45"/>
      <c r="BB146" s="45"/>
      <c r="BC146" s="45"/>
      <c r="BD146" s="45"/>
      <c r="BE146" s="45"/>
      <c r="BF146" s="45"/>
      <c r="BG146" s="45"/>
      <c r="BH146" s="45"/>
      <c r="BI146" s="45"/>
      <c r="BJ146" s="45"/>
      <c r="BK146" s="45"/>
      <c r="BL146" s="45"/>
      <c r="BM146" s="45"/>
      <c r="BN146" s="45"/>
      <c r="BO146" s="45"/>
      <c r="BP146" s="45"/>
      <c r="BQ146" s="45"/>
      <c r="BR146" s="45"/>
      <c r="BS146" s="45"/>
      <c r="BT146" s="45"/>
      <c r="BU146" s="45"/>
      <c r="BV146" s="45"/>
      <c r="BW146" s="45"/>
      <c r="BX146" s="45"/>
      <c r="BY146" s="45"/>
      <c r="BZ146" s="45"/>
      <c r="CA146" s="45"/>
      <c r="CB146" s="45"/>
      <c r="CC146" s="45"/>
      <c r="CD146" s="45"/>
      <c r="CE146" s="45"/>
      <c r="CF146" s="45"/>
      <c r="CG146" s="45"/>
      <c r="CH146" s="45"/>
      <c r="CI146" s="45"/>
      <c r="CJ146" s="45"/>
      <c r="CK146" s="45"/>
      <c r="CL146" s="45"/>
      <c r="CM146" s="45"/>
      <c r="CN146" s="45"/>
      <c r="CO146" s="45"/>
      <c r="CP146" s="45"/>
      <c r="CQ146" s="45"/>
      <c r="CR146" s="45"/>
      <c r="CS146" s="45"/>
      <c r="CT146" s="45"/>
      <c r="CU146" s="45"/>
      <c r="CV146" s="45"/>
      <c r="CW146" s="45"/>
      <c r="CX146" s="24"/>
      <c r="CY146" s="24"/>
      <c r="CZ146" s="24"/>
      <c r="DA146" s="24"/>
      <c r="DB146" s="24"/>
      <c r="DC146" s="24"/>
      <c r="DD146" s="24"/>
      <c r="DE146" s="24"/>
      <c r="DF146" s="24"/>
      <c r="DG146" s="24"/>
      <c r="DH146" s="24"/>
      <c r="DI146" s="24"/>
      <c r="DJ146" s="24"/>
      <c r="DK146" s="24"/>
      <c r="DL146" s="24"/>
      <c r="DM146" s="24"/>
      <c r="DN146" s="24"/>
      <c r="DO146" s="24"/>
      <c r="DP146" s="24"/>
      <c r="DQ146" s="24"/>
      <c r="DR146" s="24"/>
      <c r="DS146" s="24"/>
      <c r="DT146" s="24"/>
      <c r="DU146" s="24"/>
      <c r="DV146" s="24"/>
      <c r="DW146" s="24"/>
      <c r="DX146" s="24"/>
      <c r="DY146" s="24"/>
      <c r="DZ146" s="24"/>
      <c r="EA146" s="24"/>
    </row>
    <row r="147" spans="1:131" ht="102">
      <c r="A147" s="195" t="s">
        <v>387</v>
      </c>
      <c r="B147" s="196" t="s">
        <v>388</v>
      </c>
      <c r="C147" s="197" t="s">
        <v>389</v>
      </c>
      <c r="D147" s="197" t="s">
        <v>390</v>
      </c>
      <c r="E147" s="197" t="s">
        <v>391</v>
      </c>
      <c r="F147" s="197" t="s">
        <v>392</v>
      </c>
      <c r="G147" s="197" t="s">
        <v>393</v>
      </c>
      <c r="H147" s="197" t="s">
        <v>394</v>
      </c>
      <c r="I147" s="197" t="s">
        <v>395</v>
      </c>
      <c r="J147" s="197" t="s">
        <v>396</v>
      </c>
      <c r="K147" s="197" t="s">
        <v>397</v>
      </c>
      <c r="L147" s="197" t="s">
        <v>398</v>
      </c>
      <c r="M147" s="197" t="s">
        <v>399</v>
      </c>
      <c r="N147" s="197" t="s">
        <v>400</v>
      </c>
      <c r="O147" s="197" t="s">
        <v>401</v>
      </c>
      <c r="P147" s="197" t="s">
        <v>402</v>
      </c>
      <c r="Q147" s="197" t="s">
        <v>403</v>
      </c>
      <c r="R147" s="197" t="s">
        <v>404</v>
      </c>
      <c r="S147" s="197" t="s">
        <v>405</v>
      </c>
      <c r="T147" s="197" t="s">
        <v>406</v>
      </c>
      <c r="U147" s="197" t="s">
        <v>407</v>
      </c>
      <c r="V147" s="197" t="s">
        <v>408</v>
      </c>
      <c r="W147" s="197" t="s">
        <v>409</v>
      </c>
      <c r="X147" s="197" t="s">
        <v>410</v>
      </c>
      <c r="Y147" s="197" t="s">
        <v>411</v>
      </c>
      <c r="Z147" s="197" t="s">
        <v>412</v>
      </c>
      <c r="AA147" s="197"/>
      <c r="AB147" s="197" t="s">
        <v>401</v>
      </c>
      <c r="AC147" s="197" t="s">
        <v>402</v>
      </c>
      <c r="AD147" s="197" t="s">
        <v>403</v>
      </c>
      <c r="AE147" s="197" t="s">
        <v>404</v>
      </c>
      <c r="AF147" s="197" t="s">
        <v>405</v>
      </c>
      <c r="AG147" s="197" t="s">
        <v>406</v>
      </c>
      <c r="AH147" s="197" t="s">
        <v>407</v>
      </c>
      <c r="AI147" s="197" t="s">
        <v>408</v>
      </c>
      <c r="AJ147" s="197" t="s">
        <v>409</v>
      </c>
      <c r="AK147" s="197" t="s">
        <v>410</v>
      </c>
      <c r="AL147" s="197" t="s">
        <v>411</v>
      </c>
      <c r="AM147" s="197" t="s">
        <v>412</v>
      </c>
      <c r="AN147" s="45"/>
      <c r="AO147" s="45"/>
      <c r="AP147" s="45"/>
      <c r="AQ147" s="45"/>
      <c r="AR147" s="45"/>
      <c r="AS147" s="45"/>
      <c r="AT147" s="45"/>
      <c r="AU147" s="45"/>
      <c r="AV147" s="45"/>
      <c r="AW147" s="45"/>
      <c r="AX147" s="45"/>
      <c r="AY147" s="45"/>
      <c r="AZ147" s="45"/>
      <c r="BA147" s="45"/>
      <c r="BB147" s="45"/>
      <c r="BC147" s="45"/>
      <c r="BD147" s="45"/>
      <c r="BE147" s="45"/>
      <c r="BF147" s="45"/>
      <c r="BG147" s="45"/>
      <c r="BH147" s="45"/>
      <c r="BI147" s="45"/>
      <c r="BJ147" s="45"/>
      <c r="BK147" s="45"/>
      <c r="BL147" s="45"/>
      <c r="BM147" s="45"/>
      <c r="BN147" s="45"/>
      <c r="BO147" s="45"/>
      <c r="BP147" s="45"/>
      <c r="BQ147" s="45"/>
      <c r="BR147" s="45"/>
      <c r="BS147" s="45"/>
      <c r="BT147" s="45"/>
      <c r="BU147" s="45"/>
      <c r="BV147" s="45"/>
      <c r="BW147" s="45"/>
      <c r="BX147" s="45"/>
      <c r="BY147" s="45"/>
      <c r="BZ147" s="45"/>
      <c r="CA147" s="45"/>
      <c r="CB147" s="45"/>
      <c r="CC147" s="45"/>
      <c r="CD147" s="45"/>
      <c r="CE147" s="45"/>
      <c r="CF147" s="45"/>
      <c r="CG147" s="45"/>
      <c r="CH147" s="45"/>
      <c r="CI147" s="45"/>
      <c r="CJ147" s="45"/>
      <c r="CK147" s="45"/>
      <c r="CL147" s="45"/>
      <c r="CM147" s="45"/>
      <c r="CN147" s="45"/>
      <c r="CO147" s="45"/>
      <c r="CP147" s="45"/>
      <c r="CQ147" s="45"/>
      <c r="CR147" s="45"/>
      <c r="CS147" s="45"/>
      <c r="CT147" s="45"/>
      <c r="CU147" s="45"/>
      <c r="CV147" s="45"/>
      <c r="CW147" s="45"/>
      <c r="CX147" s="24"/>
      <c r="CY147" s="24"/>
      <c r="CZ147" s="24"/>
      <c r="DA147" s="24"/>
      <c r="DB147" s="24"/>
      <c r="DC147" s="24"/>
      <c r="DD147" s="24"/>
      <c r="DE147" s="24"/>
      <c r="DF147" s="24"/>
      <c r="DG147" s="24"/>
      <c r="DH147" s="24"/>
      <c r="DI147" s="24"/>
      <c r="DJ147" s="24"/>
      <c r="DK147" s="24"/>
      <c r="DL147" s="24"/>
      <c r="DM147" s="24"/>
      <c r="DN147" s="24"/>
      <c r="DO147" s="24"/>
      <c r="DP147" s="24"/>
      <c r="DQ147" s="24"/>
      <c r="DR147" s="24"/>
      <c r="DS147" s="24"/>
      <c r="DT147" s="24"/>
      <c r="DU147" s="24"/>
      <c r="DV147" s="24"/>
      <c r="DW147" s="24"/>
      <c r="DX147" s="24"/>
      <c r="DY147" s="24"/>
      <c r="DZ147" s="24"/>
      <c r="EA147" s="24"/>
    </row>
    <row r="148" spans="1:131">
      <c r="A148" s="24" t="s">
        <v>414</v>
      </c>
      <c r="B148" s="24"/>
      <c r="C148" s="198">
        <v>694.58425772131352</v>
      </c>
      <c r="D148" s="198">
        <v>6.6707622506870052</v>
      </c>
      <c r="E148" s="198">
        <v>1.3341524501374011</v>
      </c>
      <c r="F148" s="198">
        <v>8.0049147008244059</v>
      </c>
      <c r="G148" s="198">
        <v>-44.803350498813117</v>
      </c>
      <c r="H148" s="198">
        <v>458.01913323488742</v>
      </c>
      <c r="I148" s="198">
        <v>100.95687024245389</v>
      </c>
      <c r="J148" s="198">
        <v>-12.644513228249723</v>
      </c>
      <c r="K148" s="198">
        <v>-17.998720942754002</v>
      </c>
      <c r="L148" s="199">
        <v>53.08927981044544</v>
      </c>
      <c r="M148" s="198">
        <v>6.598567930696162</v>
      </c>
      <c r="N148" s="198">
        <v>0.16212621155567028</v>
      </c>
      <c r="O148" s="198">
        <v>28.448411197119828</v>
      </c>
      <c r="P148" s="198">
        <v>21.030843228651925</v>
      </c>
      <c r="Q148" s="198">
        <v>19.591200466866493</v>
      </c>
      <c r="R148" s="198">
        <v>11.246790967253286</v>
      </c>
      <c r="S148" s="198">
        <v>9.0344226035697073</v>
      </c>
      <c r="T148" s="198">
        <v>7.008069317481068</v>
      </c>
      <c r="U148" s="198">
        <v>7.3128656202634215</v>
      </c>
      <c r="V148" s="198">
        <v>10.644117359946245</v>
      </c>
      <c r="W148" s="198">
        <v>13.448006784018087</v>
      </c>
      <c r="X148" s="198">
        <v>21.938904793273181</v>
      </c>
      <c r="Y148" s="198">
        <v>25.405841397322472</v>
      </c>
      <c r="Z148" s="198">
        <v>29.927568864080122</v>
      </c>
      <c r="AA148" s="198"/>
      <c r="AB148" s="198">
        <v>47.14876842694138</v>
      </c>
      <c r="AC148" s="198">
        <v>40.897605854595454</v>
      </c>
      <c r="AD148" s="198">
        <v>41.229211825941405</v>
      </c>
      <c r="AE148" s="198">
        <v>39.260516357946884</v>
      </c>
      <c r="AF148" s="198">
        <v>36.160934041708259</v>
      </c>
      <c r="AG148" s="198">
        <v>32.855567114926686</v>
      </c>
      <c r="AH148" s="198">
        <v>35.877431576419603</v>
      </c>
      <c r="AI148" s="198">
        <v>38.740577219748644</v>
      </c>
      <c r="AJ148" s="198">
        <v>41.758348233872397</v>
      </c>
      <c r="AK148" s="198">
        <v>43.096981040231533</v>
      </c>
      <c r="AL148" s="198">
        <v>45.177671890782143</v>
      </c>
      <c r="AM148" s="45">
        <v>47.343601538353454</v>
      </c>
      <c r="AN148" s="45"/>
      <c r="AO148" s="45"/>
      <c r="AP148" s="45"/>
      <c r="AQ148" s="45"/>
      <c r="AR148" s="45"/>
      <c r="AS148" s="45"/>
      <c r="AT148" s="45"/>
      <c r="AU148" s="45"/>
      <c r="AV148" s="45"/>
      <c r="AW148" s="45"/>
      <c r="AX148" s="45"/>
      <c r="AY148" s="45"/>
      <c r="AZ148" s="45"/>
      <c r="BA148" s="45"/>
      <c r="BB148" s="45"/>
      <c r="BC148" s="45"/>
      <c r="BD148" s="45"/>
      <c r="BE148" s="45"/>
      <c r="BF148" s="45"/>
      <c r="BG148" s="45"/>
      <c r="BH148" s="45"/>
      <c r="BI148" s="45"/>
      <c r="BJ148" s="45"/>
      <c r="BK148" s="45"/>
      <c r="BL148" s="45"/>
      <c r="BM148" s="45"/>
      <c r="BN148" s="45"/>
      <c r="BO148" s="45"/>
      <c r="BP148" s="45"/>
      <c r="BQ148" s="45"/>
      <c r="BR148" s="45"/>
      <c r="BS148" s="45"/>
      <c r="BT148" s="45"/>
      <c r="BU148" s="45"/>
      <c r="BV148" s="45"/>
      <c r="BW148" s="45"/>
      <c r="BX148" s="45"/>
      <c r="BY148" s="45"/>
      <c r="BZ148" s="45"/>
      <c r="CA148" s="45"/>
      <c r="CB148" s="45"/>
      <c r="CC148" s="45"/>
      <c r="CD148" s="45"/>
      <c r="CE148" s="45"/>
      <c r="CF148" s="45"/>
      <c r="CG148" s="45"/>
      <c r="CH148" s="45"/>
      <c r="CI148" s="45"/>
      <c r="CJ148" s="45"/>
      <c r="CK148" s="45"/>
      <c r="CL148" s="45"/>
      <c r="CM148" s="45"/>
      <c r="CN148" s="45"/>
      <c r="CO148" s="45"/>
      <c r="CP148" s="45"/>
      <c r="CQ148" s="45"/>
      <c r="CR148" s="45"/>
      <c r="CS148" s="45"/>
      <c r="CT148" s="45"/>
      <c r="CU148" s="45"/>
      <c r="CV148" s="45"/>
      <c r="CW148" s="45"/>
      <c r="CX148" s="24"/>
      <c r="CY148" s="24"/>
      <c r="CZ148" s="24"/>
      <c r="DA148" s="24"/>
      <c r="DB148" s="24"/>
      <c r="DC148" s="24"/>
      <c r="DD148" s="24"/>
      <c r="DE148" s="24"/>
      <c r="DF148" s="24"/>
      <c r="DG148" s="24"/>
      <c r="DH148" s="24"/>
      <c r="DI148" s="24"/>
      <c r="DJ148" s="24"/>
      <c r="DK148" s="24"/>
      <c r="DL148" s="24"/>
      <c r="DM148" s="24"/>
      <c r="DN148" s="24"/>
      <c r="DO148" s="24"/>
      <c r="DP148" s="24"/>
      <c r="DQ148" s="24"/>
      <c r="DR148" s="24"/>
      <c r="DS148" s="24"/>
      <c r="DT148" s="24"/>
      <c r="DU148" s="24"/>
      <c r="DV148" s="24"/>
      <c r="DW148" s="24"/>
      <c r="DX148" s="24"/>
      <c r="DY148" s="24"/>
      <c r="DZ148" s="24"/>
      <c r="EA148" s="24"/>
    </row>
    <row r="149" spans="1:131">
      <c r="A149" s="24" t="s">
        <v>416</v>
      </c>
      <c r="B149" s="24"/>
      <c r="C149" s="198">
        <v>299.03666118432898</v>
      </c>
      <c r="D149" s="198">
        <v>4.7789999869194872</v>
      </c>
      <c r="E149" s="198">
        <v>0.95579999738389754</v>
      </c>
      <c r="F149" s="198">
        <v>5.7347999843033843</v>
      </c>
      <c r="G149" s="198">
        <v>-465.75460227714183</v>
      </c>
      <c r="H149" s="198">
        <v>197.18919747826337</v>
      </c>
      <c r="I149" s="198">
        <v>167.99561519826892</v>
      </c>
      <c r="J149" s="198">
        <v>-12.240845660188761</v>
      </c>
      <c r="K149" s="198">
        <v>-127.85722269419686</v>
      </c>
      <c r="L149" s="199">
        <v>49.519092126056584</v>
      </c>
      <c r="M149" s="198">
        <v>2.8408558078566108</v>
      </c>
      <c r="N149" s="198">
        <v>6.9799567806392765E-2</v>
      </c>
      <c r="O149" s="198">
        <v>12.24778391651785</v>
      </c>
      <c r="P149" s="198">
        <v>9.0543272051962393</v>
      </c>
      <c r="Q149" s="198">
        <v>8.434523401702565</v>
      </c>
      <c r="R149" s="198">
        <v>4.8420372078673042</v>
      </c>
      <c r="S149" s="198">
        <v>3.8895548539536353</v>
      </c>
      <c r="T149" s="198">
        <v>3.0171568485053668</v>
      </c>
      <c r="U149" s="198">
        <v>3.1483796162432629</v>
      </c>
      <c r="V149" s="198">
        <v>4.582570481822783</v>
      </c>
      <c r="W149" s="198">
        <v>5.789718099097044</v>
      </c>
      <c r="X149" s="198">
        <v>9.4452714217049714</v>
      </c>
      <c r="Y149" s="198">
        <v>10.937878164641846</v>
      </c>
      <c r="Z149" s="198">
        <v>12.884599918573686</v>
      </c>
      <c r="AA149" s="198"/>
      <c r="AB149" s="198">
        <v>20.298776041369273</v>
      </c>
      <c r="AC149" s="198">
        <v>17.607487312356941</v>
      </c>
      <c r="AD149" s="198">
        <v>17.750252342513821</v>
      </c>
      <c r="AE149" s="198">
        <v>16.90267753341988</v>
      </c>
      <c r="AF149" s="198">
        <v>15.568226404402379</v>
      </c>
      <c r="AG149" s="198">
        <v>14.14517962672771</v>
      </c>
      <c r="AH149" s="198">
        <v>15.446171189768565</v>
      </c>
      <c r="AI149" s="198">
        <v>16.678830156838185</v>
      </c>
      <c r="AJ149" s="198">
        <v>17.978059383891143</v>
      </c>
      <c r="AK149" s="198">
        <v>18.554375763819891</v>
      </c>
      <c r="AL149" s="198">
        <v>19.450167509729397</v>
      </c>
      <c r="AM149" s="45">
        <v>20.382656783665329</v>
      </c>
      <c r="AN149" s="45"/>
      <c r="AO149" s="45"/>
      <c r="AP149" s="45"/>
      <c r="AQ149" s="45"/>
      <c r="AR149" s="45"/>
      <c r="AS149" s="45"/>
      <c r="AT149" s="45"/>
      <c r="AU149" s="45"/>
      <c r="AV149" s="45"/>
      <c r="AW149" s="45"/>
      <c r="AX149" s="45"/>
      <c r="AY149" s="45"/>
      <c r="AZ149" s="45"/>
      <c r="BA149" s="45"/>
      <c r="BB149" s="45"/>
      <c r="BC149" s="45"/>
      <c r="BD149" s="45"/>
      <c r="BE149" s="45"/>
      <c r="BF149" s="45"/>
      <c r="BG149" s="45"/>
      <c r="BH149" s="45"/>
      <c r="BI149" s="45"/>
      <c r="BJ149" s="45"/>
      <c r="BK149" s="45"/>
      <c r="BL149" s="45"/>
      <c r="BM149" s="45"/>
      <c r="BN149" s="45"/>
      <c r="BO149" s="45"/>
      <c r="BP149" s="45"/>
      <c r="BQ149" s="45"/>
      <c r="BR149" s="45"/>
      <c r="BS149" s="45"/>
      <c r="BT149" s="45"/>
      <c r="BU149" s="45"/>
      <c r="BV149" s="45"/>
      <c r="BW149" s="45"/>
      <c r="BX149" s="45"/>
      <c r="BY149" s="45"/>
      <c r="BZ149" s="45"/>
      <c r="CA149" s="45"/>
      <c r="CB149" s="45"/>
      <c r="CC149" s="45"/>
      <c r="CD149" s="45"/>
      <c r="CE149" s="45"/>
      <c r="CF149" s="45"/>
      <c r="CG149" s="45"/>
      <c r="CH149" s="45"/>
      <c r="CI149" s="45"/>
      <c r="CJ149" s="45"/>
      <c r="CK149" s="45"/>
      <c r="CL149" s="45"/>
      <c r="CM149" s="45"/>
      <c r="CN149" s="45"/>
      <c r="CO149" s="45"/>
      <c r="CP149" s="45"/>
      <c r="CQ149" s="45"/>
      <c r="CR149" s="45"/>
      <c r="CS149" s="45"/>
      <c r="CT149" s="45"/>
      <c r="CU149" s="45"/>
      <c r="CV149" s="45"/>
      <c r="CW149" s="45"/>
      <c r="CX149" s="24"/>
      <c r="CY149" s="24"/>
      <c r="CZ149" s="24"/>
      <c r="DA149" s="24"/>
      <c r="DB149" s="24"/>
      <c r="DC149" s="24"/>
      <c r="DD149" s="24"/>
      <c r="DE149" s="24"/>
      <c r="DF149" s="24"/>
      <c r="DG149" s="24"/>
      <c r="DH149" s="24"/>
      <c r="DI149" s="24"/>
      <c r="DJ149" s="24"/>
      <c r="DK149" s="24"/>
      <c r="DL149" s="24"/>
      <c r="DM149" s="24"/>
      <c r="DN149" s="24"/>
      <c r="DO149" s="24"/>
      <c r="DP149" s="24"/>
      <c r="DQ149" s="24"/>
      <c r="DR149" s="24"/>
      <c r="DS149" s="24"/>
      <c r="DT149" s="24"/>
      <c r="DU149" s="24"/>
      <c r="DV149" s="24"/>
      <c r="DW149" s="24"/>
      <c r="DX149" s="24"/>
      <c r="DY149" s="24"/>
      <c r="DZ149" s="24"/>
      <c r="EA149" s="24"/>
    </row>
    <row r="150" spans="1:131">
      <c r="A150" s="24" t="s">
        <v>417</v>
      </c>
      <c r="B150" s="24"/>
      <c r="C150" s="198">
        <v>299.03666118432898</v>
      </c>
      <c r="D150" s="198">
        <v>4.7789999869194872</v>
      </c>
      <c r="E150" s="198">
        <v>0.95579999738389754</v>
      </c>
      <c r="F150" s="198">
        <v>5.7347999843033843</v>
      </c>
      <c r="G150" s="198">
        <v>-465.75460227714183</v>
      </c>
      <c r="H150" s="198">
        <v>197.18919747826337</v>
      </c>
      <c r="I150" s="198">
        <v>167.99561519826892</v>
      </c>
      <c r="J150" s="198">
        <v>-12.240845660188761</v>
      </c>
      <c r="K150" s="198">
        <v>-127.85722269419686</v>
      </c>
      <c r="L150" s="199">
        <v>49.519092126056584</v>
      </c>
      <c r="M150" s="198">
        <v>2.8408558078566108</v>
      </c>
      <c r="N150" s="198">
        <v>6.9799567806392765E-2</v>
      </c>
      <c r="O150" s="198">
        <v>12.24778391651785</v>
      </c>
      <c r="P150" s="198">
        <v>9.0543272051962393</v>
      </c>
      <c r="Q150" s="198">
        <v>8.434523401702565</v>
      </c>
      <c r="R150" s="198">
        <v>4.8420372078673042</v>
      </c>
      <c r="S150" s="198">
        <v>3.8895548539536353</v>
      </c>
      <c r="T150" s="198">
        <v>3.0171568485053668</v>
      </c>
      <c r="U150" s="198">
        <v>3.1483796162432629</v>
      </c>
      <c r="V150" s="198">
        <v>4.582570481822783</v>
      </c>
      <c r="W150" s="198">
        <v>5.789718099097044</v>
      </c>
      <c r="X150" s="198">
        <v>9.4452714217049714</v>
      </c>
      <c r="Y150" s="198">
        <v>10.937878164641846</v>
      </c>
      <c r="Z150" s="198">
        <v>12.884599918573686</v>
      </c>
      <c r="AA150" s="198"/>
      <c r="AB150" s="198">
        <v>20.298776041369273</v>
      </c>
      <c r="AC150" s="198">
        <v>17.607487312356941</v>
      </c>
      <c r="AD150" s="198">
        <v>17.750252342513821</v>
      </c>
      <c r="AE150" s="198">
        <v>16.90267753341988</v>
      </c>
      <c r="AF150" s="198">
        <v>15.568226404402379</v>
      </c>
      <c r="AG150" s="198">
        <v>14.14517962672771</v>
      </c>
      <c r="AH150" s="198">
        <v>15.446171189768565</v>
      </c>
      <c r="AI150" s="198">
        <v>16.678830156838185</v>
      </c>
      <c r="AJ150" s="198">
        <v>17.978059383891143</v>
      </c>
      <c r="AK150" s="198">
        <v>18.554375763819891</v>
      </c>
      <c r="AL150" s="198">
        <v>19.450167509729397</v>
      </c>
      <c r="AM150" s="45">
        <v>20.382656783665329</v>
      </c>
      <c r="AN150" s="45"/>
      <c r="AO150" s="45"/>
      <c r="AP150" s="45"/>
      <c r="AQ150" s="45"/>
      <c r="AR150" s="45"/>
      <c r="AS150" s="45"/>
      <c r="AT150" s="45"/>
      <c r="AU150" s="45"/>
      <c r="AV150" s="45"/>
      <c r="AW150" s="45"/>
      <c r="AX150" s="45"/>
      <c r="AY150" s="45"/>
      <c r="AZ150" s="45"/>
      <c r="BA150" s="45"/>
      <c r="BB150" s="45"/>
      <c r="BC150" s="45"/>
      <c r="BD150" s="45"/>
      <c r="BE150" s="45"/>
      <c r="BF150" s="45"/>
      <c r="BG150" s="45"/>
      <c r="BH150" s="45"/>
      <c r="BI150" s="45"/>
      <c r="BJ150" s="45"/>
      <c r="BK150" s="45"/>
      <c r="BL150" s="45"/>
      <c r="BM150" s="45"/>
      <c r="BN150" s="45"/>
      <c r="BO150" s="45"/>
      <c r="BP150" s="45"/>
      <c r="BQ150" s="45"/>
      <c r="BR150" s="45"/>
      <c r="BS150" s="45"/>
      <c r="BT150" s="45"/>
      <c r="BU150" s="45"/>
      <c r="BV150" s="45"/>
      <c r="BW150" s="45"/>
      <c r="BX150" s="45"/>
      <c r="BY150" s="45"/>
      <c r="BZ150" s="45"/>
      <c r="CA150" s="45"/>
      <c r="CB150" s="45"/>
      <c r="CC150" s="45"/>
      <c r="CD150" s="45"/>
      <c r="CE150" s="45"/>
      <c r="CF150" s="45"/>
      <c r="CG150" s="45"/>
      <c r="CH150" s="45"/>
      <c r="CI150" s="45"/>
      <c r="CJ150" s="45"/>
      <c r="CK150" s="45"/>
      <c r="CL150" s="45"/>
      <c r="CM150" s="45"/>
      <c r="CN150" s="45"/>
      <c r="CO150" s="45"/>
      <c r="CP150" s="45"/>
      <c r="CQ150" s="45"/>
      <c r="CR150" s="45"/>
      <c r="CS150" s="45"/>
      <c r="CT150" s="45"/>
      <c r="CU150" s="45"/>
      <c r="CV150" s="45"/>
      <c r="CW150" s="45"/>
      <c r="CX150" s="24"/>
      <c r="CY150" s="24"/>
      <c r="CZ150" s="24"/>
      <c r="DA150" s="24"/>
      <c r="DB150" s="24"/>
      <c r="DC150" s="24"/>
      <c r="DD150" s="24"/>
      <c r="DE150" s="24"/>
      <c r="DF150" s="24"/>
      <c r="DG150" s="24"/>
      <c r="DH150" s="24"/>
      <c r="DI150" s="24"/>
      <c r="DJ150" s="24"/>
      <c r="DK150" s="24"/>
      <c r="DL150" s="24"/>
      <c r="DM150" s="24"/>
      <c r="DN150" s="24"/>
      <c r="DO150" s="24"/>
      <c r="DP150" s="24"/>
      <c r="DQ150" s="24"/>
      <c r="DR150" s="24"/>
      <c r="DS150" s="24"/>
      <c r="DT150" s="24"/>
      <c r="DU150" s="24"/>
      <c r="DV150" s="24"/>
      <c r="DW150" s="24"/>
      <c r="DX150" s="24"/>
      <c r="DY150" s="24"/>
      <c r="DZ150" s="24"/>
      <c r="EA150" s="24"/>
    </row>
    <row r="151" spans="1:131">
      <c r="A151" s="24" t="s">
        <v>415</v>
      </c>
      <c r="B151" s="24"/>
      <c r="C151" s="198">
        <v>696.18365257841458</v>
      </c>
      <c r="D151" s="198">
        <v>7.3019593555087283</v>
      </c>
      <c r="E151" s="198">
        <v>1.4603918711017458</v>
      </c>
      <c r="F151" s="198">
        <v>8.7623512266104733</v>
      </c>
      <c r="G151" s="198">
        <v>-47.351248456566871</v>
      </c>
      <c r="H151" s="198">
        <v>459.073797860534</v>
      </c>
      <c r="I151" s="198">
        <v>110.25567242325056</v>
      </c>
      <c r="J151" s="198">
        <v>-12.588521355718758</v>
      </c>
      <c r="K151" s="198">
        <v>-18.257111921085425</v>
      </c>
      <c r="L151" s="199">
        <v>48.92751277875464</v>
      </c>
      <c r="M151" s="198">
        <v>6.6137622220945982</v>
      </c>
      <c r="N151" s="198">
        <v>0.16249953390797076</v>
      </c>
      <c r="O151" s="198">
        <v>28.513918357778262</v>
      </c>
      <c r="P151" s="198">
        <v>21.07927021519313</v>
      </c>
      <c r="Q151" s="198">
        <v>19.636312438413242</v>
      </c>
      <c r="R151" s="198">
        <v>11.272688559132099</v>
      </c>
      <c r="S151" s="198">
        <v>9.0552258522589746</v>
      </c>
      <c r="T151" s="198">
        <v>7.0242065533887157</v>
      </c>
      <c r="U151" s="198">
        <v>7.3297046999484285</v>
      </c>
      <c r="V151" s="198">
        <v>10.668627196405437</v>
      </c>
      <c r="W151" s="198">
        <v>13.478973038507039</v>
      </c>
      <c r="X151" s="198">
        <v>21.98942274139355</v>
      </c>
      <c r="Y151" s="198">
        <v>25.464342539004704</v>
      </c>
      <c r="Z151" s="198">
        <v>29.996482029321985</v>
      </c>
      <c r="AA151" s="198"/>
      <c r="AB151" s="198">
        <v>47.257336245607604</v>
      </c>
      <c r="AC151" s="198">
        <v>40.991779340021367</v>
      </c>
      <c r="AD151" s="198">
        <v>41.324148888830038</v>
      </c>
      <c r="AE151" s="198">
        <v>39.350920174693371</v>
      </c>
      <c r="AF151" s="198">
        <v>36.244200558752595</v>
      </c>
      <c r="AG151" s="198">
        <v>32.931222479249435</v>
      </c>
      <c r="AH151" s="198">
        <v>35.960045282260815</v>
      </c>
      <c r="AI151" s="198">
        <v>38.829783790841496</v>
      </c>
      <c r="AJ151" s="198">
        <v>41.854503720645738</v>
      </c>
      <c r="AK151" s="198">
        <v>43.196218949910715</v>
      </c>
      <c r="AL151" s="198">
        <v>45.281700934450605</v>
      </c>
      <c r="AM151" s="45">
        <v>47.452617992405401</v>
      </c>
      <c r="AN151" s="45"/>
      <c r="AO151" s="45"/>
      <c r="AP151" s="45"/>
      <c r="AQ151" s="45"/>
      <c r="AR151" s="45"/>
      <c r="AS151" s="45"/>
      <c r="AT151" s="45"/>
      <c r="AU151" s="45"/>
      <c r="AV151" s="45"/>
      <c r="AW151" s="45"/>
      <c r="AX151" s="45"/>
      <c r="AY151" s="45"/>
      <c r="AZ151" s="45"/>
      <c r="BA151" s="45"/>
      <c r="BB151" s="45"/>
      <c r="BC151" s="45"/>
      <c r="BD151" s="45"/>
      <c r="BE151" s="45"/>
      <c r="BF151" s="45"/>
      <c r="BG151" s="45"/>
      <c r="BH151" s="45"/>
      <c r="BI151" s="45"/>
      <c r="BJ151" s="45"/>
      <c r="BK151" s="45"/>
      <c r="BL151" s="45"/>
      <c r="BM151" s="45"/>
      <c r="BN151" s="45"/>
      <c r="BO151" s="45"/>
      <c r="BP151" s="45"/>
      <c r="BQ151" s="45"/>
      <c r="BR151" s="45"/>
      <c r="BS151" s="45"/>
      <c r="BT151" s="45"/>
      <c r="BU151" s="45"/>
      <c r="BV151" s="45"/>
      <c r="BW151" s="45"/>
      <c r="BX151" s="45"/>
      <c r="BY151" s="45"/>
      <c r="BZ151" s="45"/>
      <c r="CA151" s="45"/>
      <c r="CB151" s="45"/>
      <c r="CC151" s="45"/>
      <c r="CD151" s="45"/>
      <c r="CE151" s="45"/>
      <c r="CF151" s="45"/>
      <c r="CG151" s="45"/>
      <c r="CH151" s="45"/>
      <c r="CI151" s="45"/>
      <c r="CJ151" s="45"/>
      <c r="CK151" s="45"/>
      <c r="CL151" s="45"/>
      <c r="CM151" s="45"/>
      <c r="CN151" s="45"/>
      <c r="CO151" s="45"/>
      <c r="CP151" s="45"/>
      <c r="CQ151" s="45"/>
      <c r="CR151" s="45"/>
      <c r="CS151" s="45"/>
      <c r="CT151" s="45"/>
      <c r="CU151" s="45"/>
      <c r="CV151" s="45"/>
      <c r="CW151" s="45"/>
      <c r="CX151" s="24"/>
      <c r="CY151" s="24"/>
      <c r="CZ151" s="24"/>
      <c r="DA151" s="24"/>
      <c r="DB151" s="24"/>
      <c r="DC151" s="24"/>
      <c r="DD151" s="24"/>
      <c r="DE151" s="24"/>
      <c r="DF151" s="24"/>
      <c r="DG151" s="24"/>
      <c r="DH151" s="24"/>
      <c r="DI151" s="24"/>
      <c r="DJ151" s="24"/>
      <c r="DK151" s="24"/>
      <c r="DL151" s="24"/>
      <c r="DM151" s="24"/>
      <c r="DN151" s="24"/>
      <c r="DO151" s="24"/>
      <c r="DP151" s="24"/>
      <c r="DQ151" s="24"/>
      <c r="DR151" s="24"/>
      <c r="DS151" s="24"/>
      <c r="DT151" s="24"/>
      <c r="DU151" s="24"/>
      <c r="DV151" s="24"/>
      <c r="DW151" s="24"/>
      <c r="DX151" s="24"/>
      <c r="DY151" s="24"/>
      <c r="DZ151" s="24"/>
      <c r="EA151" s="24"/>
    </row>
    <row r="152" spans="1:131">
      <c r="A152" s="24" t="s">
        <v>418</v>
      </c>
      <c r="B152" s="24"/>
      <c r="C152" s="198">
        <v>1722.7756260529418</v>
      </c>
      <c r="D152" s="198">
        <v>51.863052062075326</v>
      </c>
      <c r="E152" s="198">
        <v>10.372610412415066</v>
      </c>
      <c r="F152" s="198">
        <v>62.23566247449039</v>
      </c>
      <c r="G152" s="198">
        <v>-31.40088446752727</v>
      </c>
      <c r="H152" s="198">
        <v>1136.0237296359132</v>
      </c>
      <c r="I152" s="198">
        <v>316.45699824858218</v>
      </c>
      <c r="J152" s="198">
        <v>-11.346899249253015</v>
      </c>
      <c r="K152" s="198">
        <v>-14.593583923608213</v>
      </c>
      <c r="L152" s="199">
        <v>16.555354087226934</v>
      </c>
      <c r="M152" s="198">
        <v>16.366411808916986</v>
      </c>
      <c r="N152" s="198">
        <v>0.40212124376201641</v>
      </c>
      <c r="O152" s="198">
        <v>70.56052432157756</v>
      </c>
      <c r="P152" s="198">
        <v>52.162748733356906</v>
      </c>
      <c r="Q152" s="198">
        <v>48.592006332191517</v>
      </c>
      <c r="R152" s="198">
        <v>27.89538797389563</v>
      </c>
      <c r="S152" s="198">
        <v>22.408056162908998</v>
      </c>
      <c r="T152" s="198">
        <v>17.382097091365431</v>
      </c>
      <c r="U152" s="198">
        <v>18.138082611491015</v>
      </c>
      <c r="V152" s="198">
        <v>26.400578108005242</v>
      </c>
      <c r="W152" s="198">
        <v>33.355058150189997</v>
      </c>
      <c r="X152" s="198">
        <v>54.415011598653045</v>
      </c>
      <c r="Y152" s="198">
        <v>63.014045930530052</v>
      </c>
      <c r="Z152" s="198">
        <v>74.229275444858786</v>
      </c>
      <c r="AA152" s="198"/>
      <c r="AB152" s="198">
        <v>116.94297436401092</v>
      </c>
      <c r="AC152" s="198">
        <v>101.43823121094492</v>
      </c>
      <c r="AD152" s="198">
        <v>102.26071268606873</v>
      </c>
      <c r="AE152" s="198">
        <v>97.37776215893102</v>
      </c>
      <c r="AF152" s="198">
        <v>89.689875763580062</v>
      </c>
      <c r="AG152" s="198">
        <v>81.491582304839497</v>
      </c>
      <c r="AH152" s="198">
        <v>88.986705296216584</v>
      </c>
      <c r="AI152" s="198">
        <v>96.088158393280608</v>
      </c>
      <c r="AJ152" s="198">
        <v>103.57312841721604</v>
      </c>
      <c r="AK152" s="198">
        <v>106.89333607437786</v>
      </c>
      <c r="AL152" s="198">
        <v>112.05406847340983</v>
      </c>
      <c r="AM152" s="45">
        <v>117.4262184510421</v>
      </c>
      <c r="AN152" s="45"/>
      <c r="AO152" s="45"/>
      <c r="AP152" s="45"/>
      <c r="AQ152" s="45"/>
      <c r="AR152" s="45"/>
      <c r="AS152" s="45"/>
      <c r="AT152" s="45"/>
      <c r="AU152" s="45"/>
      <c r="AV152" s="45"/>
      <c r="AW152" s="45"/>
      <c r="AX152" s="45"/>
      <c r="AY152" s="45"/>
      <c r="AZ152" s="45"/>
      <c r="BA152" s="45"/>
      <c r="BB152" s="45"/>
      <c r="BC152" s="45"/>
      <c r="BD152" s="45"/>
      <c r="BE152" s="45"/>
      <c r="BF152" s="45"/>
      <c r="BG152" s="45"/>
      <c r="BH152" s="45"/>
      <c r="BI152" s="45"/>
      <c r="BJ152" s="45"/>
      <c r="BK152" s="45"/>
      <c r="BL152" s="45"/>
      <c r="BM152" s="45"/>
      <c r="BN152" s="45"/>
      <c r="BO152" s="45"/>
      <c r="BP152" s="45"/>
      <c r="BQ152" s="45"/>
      <c r="BR152" s="45"/>
      <c r="BS152" s="45"/>
      <c r="BT152" s="45"/>
      <c r="BU152" s="45"/>
      <c r="BV152" s="45"/>
      <c r="BW152" s="45"/>
      <c r="BX152" s="45"/>
      <c r="BY152" s="45"/>
      <c r="BZ152" s="45"/>
      <c r="CA152" s="45"/>
      <c r="CB152" s="45"/>
      <c r="CC152" s="45"/>
      <c r="CD152" s="45"/>
      <c r="CE152" s="45"/>
      <c r="CF152" s="45"/>
      <c r="CG152" s="45"/>
      <c r="CH152" s="45"/>
      <c r="CI152" s="45"/>
      <c r="CJ152" s="45"/>
      <c r="CK152" s="45"/>
      <c r="CL152" s="45"/>
      <c r="CM152" s="45"/>
      <c r="CN152" s="45"/>
      <c r="CO152" s="45"/>
      <c r="CP152" s="45"/>
      <c r="CQ152" s="45"/>
      <c r="CR152" s="45"/>
      <c r="CS152" s="45"/>
      <c r="CT152" s="45"/>
      <c r="CU152" s="45"/>
      <c r="CV152" s="45"/>
      <c r="CW152" s="45"/>
      <c r="CX152" s="24"/>
      <c r="CY152" s="24"/>
      <c r="CZ152" s="24"/>
      <c r="DA152" s="24"/>
      <c r="DB152" s="24"/>
      <c r="DC152" s="24"/>
      <c r="DD152" s="24"/>
      <c r="DE152" s="24"/>
      <c r="DF152" s="24"/>
      <c r="DG152" s="24"/>
      <c r="DH152" s="24"/>
      <c r="DI152" s="24"/>
      <c r="DJ152" s="24"/>
      <c r="DK152" s="24"/>
      <c r="DL152" s="24"/>
      <c r="DM152" s="24"/>
      <c r="DN152" s="24"/>
      <c r="DO152" s="24"/>
      <c r="DP152" s="24"/>
      <c r="DQ152" s="24"/>
      <c r="DR152" s="24"/>
      <c r="DS152" s="24"/>
      <c r="DT152" s="24"/>
      <c r="DU152" s="24"/>
      <c r="DV152" s="24"/>
      <c r="DW152" s="24"/>
      <c r="DX152" s="24"/>
      <c r="DY152" s="24"/>
      <c r="DZ152" s="24"/>
      <c r="EA152" s="24"/>
    </row>
    <row r="153" spans="1:131">
      <c r="A153" s="24" t="s">
        <v>422</v>
      </c>
      <c r="B153" s="24"/>
      <c r="C153" s="198">
        <v>299.03666118432898</v>
      </c>
      <c r="D153" s="198">
        <v>30.451059986919489</v>
      </c>
      <c r="E153" s="198">
        <v>6.0902119973838982</v>
      </c>
      <c r="F153" s="198">
        <v>36.541271984303386</v>
      </c>
      <c r="G153" s="198">
        <v>-392.35600890525973</v>
      </c>
      <c r="H153" s="198">
        <v>197.18919747826337</v>
      </c>
      <c r="I153" s="198">
        <v>1070.4424712165446</v>
      </c>
      <c r="J153" s="198">
        <v>-6.8068458454061123</v>
      </c>
      <c r="K153" s="198">
        <v>-109.79657103171299</v>
      </c>
      <c r="L153" s="199">
        <v>7.7715436088052439</v>
      </c>
      <c r="M153" s="198">
        <v>2.8408558078566108</v>
      </c>
      <c r="N153" s="198">
        <v>6.9799567806392765E-2</v>
      </c>
      <c r="O153" s="198">
        <v>12.24778391651785</v>
      </c>
      <c r="P153" s="198">
        <v>9.0543272051962393</v>
      </c>
      <c r="Q153" s="198">
        <v>8.434523401702565</v>
      </c>
      <c r="R153" s="198">
        <v>4.8420372078673042</v>
      </c>
      <c r="S153" s="198">
        <v>3.8895548539536353</v>
      </c>
      <c r="T153" s="198">
        <v>3.0171568485053668</v>
      </c>
      <c r="U153" s="198">
        <v>3.1483796162432629</v>
      </c>
      <c r="V153" s="198">
        <v>4.582570481822783</v>
      </c>
      <c r="W153" s="198">
        <v>5.789718099097044</v>
      </c>
      <c r="X153" s="198">
        <v>9.4452714217049714</v>
      </c>
      <c r="Y153" s="198">
        <v>10.937878164641846</v>
      </c>
      <c r="Z153" s="198">
        <v>12.884599918573686</v>
      </c>
      <c r="AA153" s="198"/>
      <c r="AB153" s="198">
        <v>20.298776041369273</v>
      </c>
      <c r="AC153" s="198">
        <v>17.607487312356941</v>
      </c>
      <c r="AD153" s="198">
        <v>17.750252342513821</v>
      </c>
      <c r="AE153" s="198">
        <v>16.90267753341988</v>
      </c>
      <c r="AF153" s="198">
        <v>15.568226404402379</v>
      </c>
      <c r="AG153" s="198">
        <v>14.14517962672771</v>
      </c>
      <c r="AH153" s="198">
        <v>15.446171189768565</v>
      </c>
      <c r="AI153" s="198">
        <v>16.678830156838185</v>
      </c>
      <c r="AJ153" s="198">
        <v>17.978059383891143</v>
      </c>
      <c r="AK153" s="198">
        <v>18.554375763819891</v>
      </c>
      <c r="AL153" s="198">
        <v>19.450167509729397</v>
      </c>
      <c r="AM153" s="45">
        <v>20.382656783665329</v>
      </c>
      <c r="AN153" s="45"/>
      <c r="AO153" s="45"/>
      <c r="AP153" s="45"/>
      <c r="AQ153" s="45"/>
      <c r="AR153" s="45"/>
      <c r="AS153" s="45"/>
      <c r="AT153" s="45"/>
      <c r="AU153" s="45"/>
      <c r="AV153" s="45"/>
      <c r="AW153" s="45"/>
      <c r="AX153" s="45"/>
      <c r="AY153" s="45"/>
      <c r="AZ153" s="45"/>
      <c r="BA153" s="45"/>
      <c r="BB153" s="45"/>
      <c r="BC153" s="45"/>
      <c r="BD153" s="45"/>
      <c r="BE153" s="45"/>
      <c r="BF153" s="45"/>
      <c r="BG153" s="45"/>
      <c r="BH153" s="45"/>
      <c r="BI153" s="45"/>
      <c r="BJ153" s="45"/>
      <c r="BK153" s="45"/>
      <c r="BL153" s="45"/>
      <c r="BM153" s="45"/>
      <c r="BN153" s="45"/>
      <c r="BO153" s="45"/>
      <c r="BP153" s="45"/>
      <c r="BQ153" s="45"/>
      <c r="BR153" s="45"/>
      <c r="BS153" s="45"/>
      <c r="BT153" s="45"/>
      <c r="BU153" s="45"/>
      <c r="BV153" s="45"/>
      <c r="BW153" s="45"/>
      <c r="BX153" s="45"/>
      <c r="BY153" s="45"/>
      <c r="BZ153" s="45"/>
      <c r="CA153" s="45"/>
      <c r="CB153" s="45"/>
      <c r="CC153" s="45"/>
      <c r="CD153" s="45"/>
      <c r="CE153" s="45"/>
      <c r="CF153" s="45"/>
      <c r="CG153" s="45"/>
      <c r="CH153" s="45"/>
      <c r="CI153" s="45"/>
      <c r="CJ153" s="45"/>
      <c r="CK153" s="45"/>
      <c r="CL153" s="45"/>
      <c r="CM153" s="45"/>
      <c r="CN153" s="45"/>
      <c r="CO153" s="45"/>
      <c r="CP153" s="45"/>
      <c r="CQ153" s="45"/>
      <c r="CR153" s="45"/>
      <c r="CS153" s="45"/>
      <c r="CT153" s="45"/>
      <c r="CU153" s="45"/>
      <c r="CV153" s="45"/>
      <c r="CW153" s="45"/>
      <c r="CX153" s="24"/>
      <c r="CY153" s="24"/>
      <c r="CZ153" s="24"/>
      <c r="DA153" s="24"/>
      <c r="DB153" s="24"/>
      <c r="DC153" s="24"/>
      <c r="DD153" s="24"/>
      <c r="DE153" s="24"/>
      <c r="DF153" s="24"/>
      <c r="DG153" s="24"/>
      <c r="DH153" s="24"/>
      <c r="DI153" s="24"/>
      <c r="DJ153" s="24"/>
      <c r="DK153" s="24"/>
      <c r="DL153" s="24"/>
      <c r="DM153" s="24"/>
      <c r="DN153" s="24"/>
      <c r="DO153" s="24"/>
      <c r="DP153" s="24"/>
      <c r="DQ153" s="24"/>
      <c r="DR153" s="24"/>
      <c r="DS153" s="24"/>
      <c r="DT153" s="24"/>
      <c r="DU153" s="24"/>
      <c r="DV153" s="24"/>
      <c r="DW153" s="24"/>
      <c r="DX153" s="24"/>
      <c r="DY153" s="24"/>
      <c r="DZ153" s="24"/>
      <c r="EA153" s="24"/>
    </row>
    <row r="154" spans="1:131">
      <c r="A154" s="24" t="s">
        <v>420</v>
      </c>
      <c r="B154" s="24"/>
      <c r="C154" s="198">
        <v>73.145658131418585</v>
      </c>
      <c r="D154" s="198">
        <v>4.0008899869194874</v>
      </c>
      <c r="E154" s="198">
        <v>0.8001779973838975</v>
      </c>
      <c r="F154" s="198">
        <v>4.8010679843033852</v>
      </c>
      <c r="G154" s="198">
        <v>-27.342921404999061</v>
      </c>
      <c r="H154" s="198">
        <v>48.233328879575211</v>
      </c>
      <c r="I154" s="198">
        <v>574.98088904927863</v>
      </c>
      <c r="J154" s="198">
        <v>-9.7902216838547336</v>
      </c>
      <c r="K154" s="198">
        <v>-40.758354707123935</v>
      </c>
      <c r="L154" s="199">
        <v>7.6069605392943584</v>
      </c>
      <c r="M154" s="198">
        <v>0.69488559328866673</v>
      </c>
      <c r="N154" s="198">
        <v>1.7073275578542112E-2</v>
      </c>
      <c r="O154" s="198">
        <v>2.9958608141122793</v>
      </c>
      <c r="P154" s="198">
        <v>2.214727517817785</v>
      </c>
      <c r="Q154" s="198">
        <v>2.0631208320711307</v>
      </c>
      <c r="R154" s="198">
        <v>1.1843832019243763</v>
      </c>
      <c r="S154" s="198">
        <v>0.95140190672247182</v>
      </c>
      <c r="T154" s="198">
        <v>0.73800958884303935</v>
      </c>
      <c r="U154" s="198">
        <v>0.7701072442609419</v>
      </c>
      <c r="V154" s="198">
        <v>1.1209165207336302</v>
      </c>
      <c r="W154" s="198">
        <v>1.4161900386280537</v>
      </c>
      <c r="X154" s="198">
        <v>2.3103541607048128</v>
      </c>
      <c r="Y154" s="198">
        <v>2.6754522129339762</v>
      </c>
      <c r="Z154" s="198">
        <v>3.1516287570611889</v>
      </c>
      <c r="AA154" s="198"/>
      <c r="AB154" s="198">
        <v>4.9651682403349291</v>
      </c>
      <c r="AC154" s="198">
        <v>4.3068674001448626</v>
      </c>
      <c r="AD154" s="198">
        <v>4.3417883427731647</v>
      </c>
      <c r="AE154" s="198">
        <v>4.1344678858724881</v>
      </c>
      <c r="AF154" s="198">
        <v>3.8080553794941068</v>
      </c>
      <c r="AG154" s="198">
        <v>3.4599719950269212</v>
      </c>
      <c r="AH154" s="198">
        <v>3.7782001471376341</v>
      </c>
      <c r="AI154" s="198">
        <v>4.0797138513129365</v>
      </c>
      <c r="AJ154" s="198">
        <v>4.3975109284338041</v>
      </c>
      <c r="AK154" s="198">
        <v>4.53848040266098</v>
      </c>
      <c r="AL154" s="198">
        <v>4.7575949304374063</v>
      </c>
      <c r="AM154" s="45">
        <v>4.9856858319756912</v>
      </c>
      <c r="AN154" s="45"/>
      <c r="AO154" s="45"/>
      <c r="AP154" s="45"/>
      <c r="AQ154" s="45"/>
      <c r="AR154" s="45"/>
      <c r="AS154" s="45"/>
      <c r="AT154" s="45"/>
      <c r="AU154" s="45"/>
      <c r="AV154" s="45"/>
      <c r="AW154" s="45"/>
      <c r="AX154" s="45"/>
      <c r="AY154" s="45"/>
      <c r="AZ154" s="45"/>
      <c r="BA154" s="45"/>
      <c r="BB154" s="45"/>
      <c r="BC154" s="45"/>
      <c r="BD154" s="45"/>
      <c r="BE154" s="45"/>
      <c r="BF154" s="45"/>
      <c r="BG154" s="45"/>
      <c r="BH154" s="45"/>
      <c r="BI154" s="45"/>
      <c r="BJ154" s="45"/>
      <c r="BK154" s="45"/>
      <c r="BL154" s="45"/>
      <c r="BM154" s="45"/>
      <c r="BN154" s="45"/>
      <c r="BO154" s="45"/>
      <c r="BP154" s="45"/>
      <c r="BQ154" s="45"/>
      <c r="BR154" s="45"/>
      <c r="BS154" s="45"/>
      <c r="BT154" s="45"/>
      <c r="BU154" s="45"/>
      <c r="BV154" s="45"/>
      <c r="BW154" s="45"/>
      <c r="BX154" s="45"/>
      <c r="BY154" s="45"/>
      <c r="BZ154" s="45"/>
      <c r="CA154" s="45"/>
      <c r="CB154" s="45"/>
      <c r="CC154" s="45"/>
      <c r="CD154" s="45"/>
      <c r="CE154" s="45"/>
      <c r="CF154" s="45"/>
      <c r="CG154" s="45"/>
      <c r="CH154" s="45"/>
      <c r="CI154" s="45"/>
      <c r="CJ154" s="45"/>
      <c r="CK154" s="45"/>
      <c r="CL154" s="45"/>
      <c r="CM154" s="45"/>
      <c r="CN154" s="45"/>
      <c r="CO154" s="45"/>
      <c r="CP154" s="45"/>
      <c r="CQ154" s="45"/>
      <c r="CR154" s="45"/>
      <c r="CS154" s="45"/>
      <c r="CT154" s="45"/>
      <c r="CU154" s="45"/>
      <c r="CV154" s="45"/>
      <c r="CW154" s="45"/>
      <c r="CX154" s="24"/>
      <c r="CY154" s="24"/>
      <c r="CZ154" s="24"/>
      <c r="DA154" s="24"/>
      <c r="DB154" s="24"/>
      <c r="DC154" s="24"/>
      <c r="DD154" s="24"/>
      <c r="DE154" s="24"/>
      <c r="DF154" s="24"/>
      <c r="DG154" s="24"/>
      <c r="DH154" s="24"/>
      <c r="DI154" s="24"/>
      <c r="DJ154" s="24"/>
      <c r="DK154" s="24"/>
      <c r="DL154" s="24"/>
      <c r="DM154" s="24"/>
      <c r="DN154" s="24"/>
      <c r="DO154" s="24"/>
      <c r="DP154" s="24"/>
      <c r="DQ154" s="24"/>
      <c r="DR154" s="24"/>
      <c r="DS154" s="24"/>
      <c r="DT154" s="24"/>
      <c r="DU154" s="24"/>
      <c r="DV154" s="24"/>
      <c r="DW154" s="24"/>
      <c r="DX154" s="24"/>
      <c r="DY154" s="24"/>
      <c r="DZ154" s="24"/>
      <c r="EA154" s="24"/>
    </row>
    <row r="155" spans="1:131">
      <c r="A155" s="24" t="s">
        <v>421</v>
      </c>
      <c r="B155" s="24"/>
      <c r="C155" s="198">
        <v>73.145658131418585</v>
      </c>
      <c r="D155" s="198">
        <v>4.0008899869194874</v>
      </c>
      <c r="E155" s="198">
        <v>0.8001779973838975</v>
      </c>
      <c r="F155" s="198">
        <v>4.8010679843033852</v>
      </c>
      <c r="G155" s="198">
        <v>-27.342921404999061</v>
      </c>
      <c r="H155" s="198">
        <v>48.233328879575211</v>
      </c>
      <c r="I155" s="198">
        <v>574.98088904927863</v>
      </c>
      <c r="J155" s="198">
        <v>-9.7902216838547336</v>
      </c>
      <c r="K155" s="198">
        <v>-40.758354707123935</v>
      </c>
      <c r="L155" s="199">
        <v>7.6069605392943584</v>
      </c>
      <c r="M155" s="198">
        <v>0.69488559328866673</v>
      </c>
      <c r="N155" s="198">
        <v>1.7073275578542112E-2</v>
      </c>
      <c r="O155" s="198">
        <v>2.9958608141122793</v>
      </c>
      <c r="P155" s="198">
        <v>2.214727517817785</v>
      </c>
      <c r="Q155" s="198">
        <v>2.0631208320711307</v>
      </c>
      <c r="R155" s="198">
        <v>1.1843832019243763</v>
      </c>
      <c r="S155" s="198">
        <v>0.95140190672247182</v>
      </c>
      <c r="T155" s="198">
        <v>0.73800958884303935</v>
      </c>
      <c r="U155" s="198">
        <v>0.7701072442609419</v>
      </c>
      <c r="V155" s="198">
        <v>1.1209165207336302</v>
      </c>
      <c r="W155" s="198">
        <v>1.4161900386280537</v>
      </c>
      <c r="X155" s="198">
        <v>2.3103541607048128</v>
      </c>
      <c r="Y155" s="198">
        <v>2.6754522129339762</v>
      </c>
      <c r="Z155" s="198">
        <v>3.1516287570611889</v>
      </c>
      <c r="AA155" s="198"/>
      <c r="AB155" s="198">
        <v>4.9651682403349291</v>
      </c>
      <c r="AC155" s="198">
        <v>4.3068674001448626</v>
      </c>
      <c r="AD155" s="198">
        <v>4.3417883427731647</v>
      </c>
      <c r="AE155" s="198">
        <v>4.1344678858724881</v>
      </c>
      <c r="AF155" s="198">
        <v>3.8080553794941068</v>
      </c>
      <c r="AG155" s="198">
        <v>3.4599719950269212</v>
      </c>
      <c r="AH155" s="198">
        <v>3.7782001471376341</v>
      </c>
      <c r="AI155" s="198">
        <v>4.0797138513129365</v>
      </c>
      <c r="AJ155" s="198">
        <v>4.3975109284338041</v>
      </c>
      <c r="AK155" s="198">
        <v>4.53848040266098</v>
      </c>
      <c r="AL155" s="198">
        <v>4.7575949304374063</v>
      </c>
      <c r="AM155" s="45">
        <v>4.9856858319756912</v>
      </c>
      <c r="AN155" s="45"/>
      <c r="AO155" s="45"/>
      <c r="AP155" s="45"/>
      <c r="AQ155" s="45"/>
      <c r="AR155" s="45"/>
      <c r="AS155" s="45"/>
      <c r="AT155" s="45"/>
      <c r="AU155" s="45"/>
      <c r="AV155" s="45"/>
      <c r="AW155" s="45"/>
      <c r="AX155" s="45"/>
      <c r="AY155" s="45"/>
      <c r="AZ155" s="45"/>
      <c r="BA155" s="45"/>
      <c r="BB155" s="45"/>
      <c r="BC155" s="45"/>
      <c r="BD155" s="45"/>
      <c r="BE155" s="45"/>
      <c r="BF155" s="45"/>
      <c r="BG155" s="45"/>
      <c r="BH155" s="45"/>
      <c r="BI155" s="45"/>
      <c r="BJ155" s="45"/>
      <c r="BK155" s="45"/>
      <c r="BL155" s="45"/>
      <c r="BM155" s="45"/>
      <c r="BN155" s="45"/>
      <c r="BO155" s="45"/>
      <c r="BP155" s="45"/>
      <c r="BQ155" s="45"/>
      <c r="BR155" s="45"/>
      <c r="BS155" s="45"/>
      <c r="BT155" s="45"/>
      <c r="BU155" s="45"/>
      <c r="BV155" s="45"/>
      <c r="BW155" s="45"/>
      <c r="BX155" s="45"/>
      <c r="BY155" s="45"/>
      <c r="BZ155" s="45"/>
      <c r="CA155" s="45"/>
      <c r="CB155" s="45"/>
      <c r="CC155" s="45"/>
      <c r="CD155" s="45"/>
      <c r="CE155" s="45"/>
      <c r="CF155" s="45"/>
      <c r="CG155" s="45"/>
      <c r="CH155" s="45"/>
      <c r="CI155" s="45"/>
      <c r="CJ155" s="45"/>
      <c r="CK155" s="45"/>
      <c r="CL155" s="45"/>
      <c r="CM155" s="45"/>
      <c r="CN155" s="45"/>
      <c r="CO155" s="45"/>
      <c r="CP155" s="45"/>
      <c r="CQ155" s="45"/>
      <c r="CR155" s="45"/>
      <c r="CS155" s="45"/>
      <c r="CT155" s="45"/>
      <c r="CU155" s="45"/>
      <c r="CV155" s="45"/>
      <c r="CW155" s="45"/>
      <c r="CX155" s="24"/>
      <c r="CY155" s="24"/>
      <c r="CZ155" s="24"/>
      <c r="DA155" s="24"/>
      <c r="DB155" s="24"/>
      <c r="DC155" s="24"/>
      <c r="DD155" s="24"/>
      <c r="DE155" s="24"/>
      <c r="DF155" s="24"/>
      <c r="DG155" s="24"/>
      <c r="DH155" s="24"/>
      <c r="DI155" s="24"/>
      <c r="DJ155" s="24"/>
      <c r="DK155" s="24"/>
      <c r="DL155" s="24"/>
      <c r="DM155" s="24"/>
      <c r="DN155" s="24"/>
      <c r="DO155" s="24"/>
      <c r="DP155" s="24"/>
      <c r="DQ155" s="24"/>
      <c r="DR155" s="24"/>
      <c r="DS155" s="24"/>
      <c r="DT155" s="24"/>
      <c r="DU155" s="24"/>
      <c r="DV155" s="24"/>
      <c r="DW155" s="24"/>
      <c r="DX155" s="24"/>
      <c r="DY155" s="24"/>
      <c r="DZ155" s="24"/>
      <c r="EA155" s="24"/>
    </row>
    <row r="156" spans="1:131">
      <c r="A156" s="24" t="s">
        <v>423</v>
      </c>
      <c r="B156" s="24"/>
      <c r="C156" s="198">
        <v>1391.6616897786967</v>
      </c>
      <c r="D156" s="198">
        <v>134.02315442591345</v>
      </c>
      <c r="E156" s="198">
        <v>26.804630885182689</v>
      </c>
      <c r="F156" s="198">
        <v>160.82778531109614</v>
      </c>
      <c r="G156" s="198">
        <v>186.45985783564288</v>
      </c>
      <c r="H156" s="198">
        <v>917.6823025038716</v>
      </c>
      <c r="I156" s="198">
        <v>1012.3519312723475</v>
      </c>
      <c r="J156" s="198">
        <v>-7.1566326291843261</v>
      </c>
      <c r="K156" s="198">
        <v>-3.3936670549990158</v>
      </c>
      <c r="L156" s="199">
        <v>3.9720955455112055</v>
      </c>
      <c r="M156" s="198">
        <v>13.220821080336949</v>
      </c>
      <c r="N156" s="198">
        <v>0.32483436677816196</v>
      </c>
      <c r="O156" s="198">
        <v>56.998936497618999</v>
      </c>
      <c r="P156" s="198">
        <v>42.137175583382799</v>
      </c>
      <c r="Q156" s="198">
        <v>39.25272253643822</v>
      </c>
      <c r="R156" s="198">
        <v>22.533951710082377</v>
      </c>
      <c r="S156" s="198">
        <v>18.101273800684453</v>
      </c>
      <c r="T156" s="198">
        <v>14.04129373799465</v>
      </c>
      <c r="U156" s="198">
        <v>14.651980394153476</v>
      </c>
      <c r="V156" s="198">
        <v>21.326441229667118</v>
      </c>
      <c r="W156" s="198">
        <v>26.944284494151312</v>
      </c>
      <c r="X156" s="198">
        <v>43.956558152734004</v>
      </c>
      <c r="Y156" s="198">
        <v>50.902875750796674</v>
      </c>
      <c r="Z156" s="198">
        <v>59.962561191625518</v>
      </c>
      <c r="AA156" s="198"/>
      <c r="AB156" s="198">
        <v>94.466774924156596</v>
      </c>
      <c r="AC156" s="198">
        <v>81.94201155411956</v>
      </c>
      <c r="AD156" s="198">
        <v>82.606413779326871</v>
      </c>
      <c r="AE156" s="198">
        <v>78.661956312586852</v>
      </c>
      <c r="AF156" s="198">
        <v>72.451665889397404</v>
      </c>
      <c r="AG156" s="198">
        <v>65.829067591885916</v>
      </c>
      <c r="AH156" s="198">
        <v>71.883643341356404</v>
      </c>
      <c r="AI156" s="198">
        <v>77.620211741494984</v>
      </c>
      <c r="AJ156" s="198">
        <v>83.66658590300915</v>
      </c>
      <c r="AK156" s="198">
        <v>86.348656469080638</v>
      </c>
      <c r="AL156" s="198">
        <v>90.51750670257691</v>
      </c>
      <c r="AM156" s="45">
        <v>94.857140490376139</v>
      </c>
      <c r="AN156" s="45"/>
      <c r="AO156" s="45"/>
      <c r="AP156" s="45"/>
      <c r="AQ156" s="45"/>
      <c r="AR156" s="45"/>
      <c r="AS156" s="45"/>
      <c r="AT156" s="45"/>
      <c r="AU156" s="45"/>
      <c r="AV156" s="45"/>
      <c r="AW156" s="45"/>
      <c r="AX156" s="45"/>
      <c r="AY156" s="45"/>
      <c r="AZ156" s="45"/>
      <c r="BA156" s="45"/>
      <c r="BB156" s="45"/>
      <c r="BC156" s="45"/>
      <c r="BD156" s="45"/>
      <c r="BE156" s="45"/>
      <c r="BF156" s="45"/>
      <c r="BG156" s="45"/>
      <c r="BH156" s="45"/>
      <c r="BI156" s="45"/>
      <c r="BJ156" s="45"/>
      <c r="BK156" s="45"/>
      <c r="BL156" s="45"/>
      <c r="BM156" s="45"/>
      <c r="BN156" s="45"/>
      <c r="BO156" s="45"/>
      <c r="BP156" s="45"/>
      <c r="BQ156" s="45"/>
      <c r="BR156" s="45"/>
      <c r="BS156" s="45"/>
      <c r="BT156" s="45"/>
      <c r="BU156" s="45"/>
      <c r="BV156" s="45"/>
      <c r="BW156" s="45"/>
      <c r="BX156" s="45"/>
      <c r="BY156" s="45"/>
      <c r="BZ156" s="45"/>
      <c r="CA156" s="45"/>
      <c r="CB156" s="45"/>
      <c r="CC156" s="45"/>
      <c r="CD156" s="45"/>
      <c r="CE156" s="45"/>
      <c r="CF156" s="45"/>
      <c r="CG156" s="45"/>
      <c r="CH156" s="45"/>
      <c r="CI156" s="45"/>
      <c r="CJ156" s="45"/>
      <c r="CK156" s="45"/>
      <c r="CL156" s="45"/>
      <c r="CM156" s="45"/>
      <c r="CN156" s="45"/>
      <c r="CO156" s="45"/>
      <c r="CP156" s="45"/>
      <c r="CQ156" s="45"/>
      <c r="CR156" s="45"/>
      <c r="CS156" s="45"/>
      <c r="CT156" s="45"/>
      <c r="CU156" s="45"/>
      <c r="CV156" s="45"/>
      <c r="CW156" s="45"/>
      <c r="CX156" s="24"/>
      <c r="CY156" s="24"/>
      <c r="CZ156" s="24"/>
      <c r="DA156" s="24"/>
      <c r="DB156" s="24"/>
      <c r="DC156" s="24"/>
      <c r="DD156" s="24"/>
      <c r="DE156" s="24"/>
      <c r="DF156" s="24"/>
      <c r="DG156" s="24"/>
      <c r="DH156" s="24"/>
      <c r="DI156" s="24"/>
      <c r="DJ156" s="24"/>
      <c r="DK156" s="24"/>
      <c r="DL156" s="24"/>
      <c r="DM156" s="24"/>
      <c r="DN156" s="24"/>
      <c r="DO156" s="24"/>
      <c r="DP156" s="24"/>
      <c r="DQ156" s="24"/>
      <c r="DR156" s="24"/>
      <c r="DS156" s="24"/>
      <c r="DT156" s="24"/>
      <c r="DU156" s="24"/>
      <c r="DV156" s="24"/>
      <c r="DW156" s="24"/>
      <c r="DX156" s="24"/>
      <c r="DY156" s="24"/>
      <c r="DZ156" s="24"/>
      <c r="EA156" s="24"/>
    </row>
    <row r="157" spans="1:131">
      <c r="A157" s="24" t="s">
        <v>413</v>
      </c>
      <c r="B157" s="24"/>
      <c r="C157" s="198">
        <v>797.11017216400808</v>
      </c>
      <c r="D157" s="198">
        <v>83.017365819435099</v>
      </c>
      <c r="E157" s="198">
        <v>16.603473163887021</v>
      </c>
      <c r="F157" s="198">
        <v>99.620838983322116</v>
      </c>
      <c r="G157" s="198">
        <v>120.50399816609411</v>
      </c>
      <c r="H157" s="198">
        <v>525.62623769362187</v>
      </c>
      <c r="I157" s="198">
        <v>1094.8029268334883</v>
      </c>
      <c r="J157" s="198">
        <v>-6.6601616274627427</v>
      </c>
      <c r="K157" s="198">
        <v>-2.1286144119562285</v>
      </c>
      <c r="L157" s="199">
        <v>3.6583381548019998</v>
      </c>
      <c r="M157" s="198">
        <v>7.5725666984285294</v>
      </c>
      <c r="N157" s="198">
        <v>0.18605727234504985</v>
      </c>
      <c r="O157" s="198">
        <v>32.647612863444898</v>
      </c>
      <c r="P157" s="198">
        <v>24.135155498256541</v>
      </c>
      <c r="Q157" s="198">
        <v>22.483010525282101</v>
      </c>
      <c r="R157" s="198">
        <v>12.906902776073075</v>
      </c>
      <c r="S157" s="198">
        <v>10.367972030577274</v>
      </c>
      <c r="T157" s="198">
        <v>8.0425136016197722</v>
      </c>
      <c r="U157" s="198">
        <v>8.3923001547772653</v>
      </c>
      <c r="V157" s="198">
        <v>12.215269964734631</v>
      </c>
      <c r="W157" s="198">
        <v>15.433034773978974</v>
      </c>
      <c r="X157" s="198">
        <v>25.177253849989107</v>
      </c>
      <c r="Y157" s="198">
        <v>29.155936641334829</v>
      </c>
      <c r="Z157" s="198">
        <v>34.345105441863652</v>
      </c>
      <c r="AA157" s="198"/>
      <c r="AB157" s="198">
        <v>54.108284920559541</v>
      </c>
      <c r="AC157" s="198">
        <v>46.934403251235665</v>
      </c>
      <c r="AD157" s="198">
        <v>47.3149567837579</v>
      </c>
      <c r="AE157" s="198">
        <v>45.055666904975126</v>
      </c>
      <c r="AF157" s="198">
        <v>41.498562685770651</v>
      </c>
      <c r="AG157" s="198">
        <v>37.705298483792141</v>
      </c>
      <c r="AH157" s="198">
        <v>41.173213102328432</v>
      </c>
      <c r="AI157" s="198">
        <v>44.458980799068165</v>
      </c>
      <c r="AJ157" s="198">
        <v>47.92219774629833</v>
      </c>
      <c r="AK157" s="198">
        <v>49.458422926871663</v>
      </c>
      <c r="AL157" s="198">
        <v>51.846239557705708</v>
      </c>
      <c r="AM157" s="45">
        <v>54.331876879712809</v>
      </c>
      <c r="AN157" s="45"/>
      <c r="AO157" s="45"/>
      <c r="AP157" s="45"/>
      <c r="AQ157" s="45"/>
      <c r="AR157" s="45"/>
      <c r="AS157" s="45"/>
      <c r="AT157" s="45"/>
      <c r="AU157" s="45"/>
      <c r="AV157" s="45"/>
      <c r="AW157" s="45"/>
      <c r="AX157" s="45"/>
      <c r="AY157" s="45"/>
      <c r="AZ157" s="45"/>
      <c r="BA157" s="45"/>
      <c r="BB157" s="45"/>
      <c r="BC157" s="45"/>
      <c r="BD157" s="45"/>
      <c r="BE157" s="45"/>
      <c r="BF157" s="45"/>
      <c r="BG157" s="45"/>
      <c r="BH157" s="45"/>
      <c r="BI157" s="45"/>
      <c r="BJ157" s="45"/>
      <c r="BK157" s="45"/>
      <c r="BL157" s="45"/>
      <c r="BM157" s="45"/>
      <c r="BN157" s="45"/>
      <c r="BO157" s="45"/>
      <c r="BP157" s="45"/>
      <c r="BQ157" s="45"/>
      <c r="BR157" s="45"/>
      <c r="BS157" s="45"/>
      <c r="BT157" s="45"/>
      <c r="BU157" s="45"/>
      <c r="BV157" s="45"/>
      <c r="BW157" s="45"/>
      <c r="BX157" s="45"/>
      <c r="BY157" s="45"/>
      <c r="BZ157" s="45"/>
      <c r="CA157" s="45"/>
      <c r="CB157" s="45"/>
      <c r="CC157" s="45"/>
      <c r="CD157" s="45"/>
      <c r="CE157" s="45"/>
      <c r="CF157" s="45"/>
      <c r="CG157" s="45"/>
      <c r="CH157" s="45"/>
      <c r="CI157" s="45"/>
      <c r="CJ157" s="45"/>
      <c r="CK157" s="45"/>
      <c r="CL157" s="45"/>
      <c r="CM157" s="45"/>
      <c r="CN157" s="45"/>
      <c r="CO157" s="45"/>
      <c r="CP157" s="45"/>
      <c r="CQ157" s="45"/>
      <c r="CR157" s="45"/>
      <c r="CS157" s="45"/>
      <c r="CT157" s="45"/>
      <c r="CU157" s="45"/>
      <c r="CV157" s="45"/>
      <c r="CW157" s="45"/>
      <c r="CX157" s="24"/>
      <c r="CY157" s="24"/>
      <c r="CZ157" s="24"/>
      <c r="DA157" s="24"/>
      <c r="DB157" s="24"/>
      <c r="DC157" s="24"/>
      <c r="DD157" s="24"/>
      <c r="DE157" s="24"/>
      <c r="DF157" s="24"/>
      <c r="DG157" s="24"/>
      <c r="DH157" s="24"/>
      <c r="DI157" s="24"/>
      <c r="DJ157" s="24"/>
      <c r="DK157" s="24"/>
      <c r="DL157" s="24"/>
      <c r="DM157" s="24"/>
      <c r="DN157" s="24"/>
      <c r="DO157" s="24"/>
      <c r="DP157" s="24"/>
      <c r="DQ157" s="24"/>
      <c r="DR157" s="24"/>
      <c r="DS157" s="24"/>
      <c r="DT157" s="24"/>
      <c r="DU157" s="24"/>
      <c r="DV157" s="24"/>
      <c r="DW157" s="24"/>
      <c r="DX157" s="24"/>
      <c r="DY157" s="24"/>
      <c r="DZ157" s="24"/>
      <c r="EA157" s="24"/>
    </row>
    <row r="158" spans="1:131">
      <c r="A158" s="24" t="s">
        <v>425</v>
      </c>
      <c r="B158" s="24"/>
      <c r="C158" s="198">
        <v>1722.7756260529418</v>
      </c>
      <c r="D158" s="198">
        <v>332.28218672874203</v>
      </c>
      <c r="E158" s="198">
        <v>66.456437345748412</v>
      </c>
      <c r="F158" s="198">
        <v>398.73862407449042</v>
      </c>
      <c r="G158" s="198">
        <v>374.38647877826577</v>
      </c>
      <c r="H158" s="198">
        <v>1136.0237296359132</v>
      </c>
      <c r="I158" s="198">
        <v>2027.5132141817267</v>
      </c>
      <c r="J158" s="198">
        <v>-1.0439333754652007</v>
      </c>
      <c r="K158" s="198">
        <v>2.7380662328742038</v>
      </c>
      <c r="L158" s="199">
        <v>2.5839820045269768</v>
      </c>
      <c r="M158" s="198">
        <v>16.366411808916986</v>
      </c>
      <c r="N158" s="198">
        <v>0.40212124376201641</v>
      </c>
      <c r="O158" s="198">
        <v>70.56052432157756</v>
      </c>
      <c r="P158" s="198">
        <v>52.162748733356906</v>
      </c>
      <c r="Q158" s="198">
        <v>48.592006332191517</v>
      </c>
      <c r="R158" s="198">
        <v>27.89538797389563</v>
      </c>
      <c r="S158" s="198">
        <v>22.408056162908998</v>
      </c>
      <c r="T158" s="198">
        <v>17.382097091365431</v>
      </c>
      <c r="U158" s="198">
        <v>18.138082611491015</v>
      </c>
      <c r="V158" s="198">
        <v>26.400578108005242</v>
      </c>
      <c r="W158" s="198">
        <v>33.355058150189997</v>
      </c>
      <c r="X158" s="198">
        <v>54.415011598653045</v>
      </c>
      <c r="Y158" s="198">
        <v>63.014045930530052</v>
      </c>
      <c r="Z158" s="198">
        <v>74.229275444858786</v>
      </c>
      <c r="AA158" s="198"/>
      <c r="AB158" s="198">
        <v>116.94297436401092</v>
      </c>
      <c r="AC158" s="198">
        <v>101.43823121094492</v>
      </c>
      <c r="AD158" s="198">
        <v>102.26071268606873</v>
      </c>
      <c r="AE158" s="198">
        <v>97.37776215893102</v>
      </c>
      <c r="AF158" s="198">
        <v>89.689875763580062</v>
      </c>
      <c r="AG158" s="198">
        <v>81.491582304839497</v>
      </c>
      <c r="AH158" s="198">
        <v>88.986705296216584</v>
      </c>
      <c r="AI158" s="198">
        <v>96.088158393280608</v>
      </c>
      <c r="AJ158" s="198">
        <v>103.57312841721604</v>
      </c>
      <c r="AK158" s="198">
        <v>106.89333607437786</v>
      </c>
      <c r="AL158" s="198">
        <v>112.05406847340983</v>
      </c>
      <c r="AM158" s="45">
        <v>117.4262184510421</v>
      </c>
      <c r="AN158" s="45"/>
      <c r="AO158" s="45"/>
      <c r="AP158" s="45"/>
      <c r="AQ158" s="45"/>
      <c r="AR158" s="45"/>
      <c r="AS158" s="45"/>
      <c r="AT158" s="45"/>
      <c r="AU158" s="45"/>
      <c r="AV158" s="45"/>
      <c r="AW158" s="45"/>
      <c r="AX158" s="45"/>
      <c r="AY158" s="45"/>
      <c r="AZ158" s="45"/>
      <c r="BA158" s="45"/>
      <c r="BB158" s="45"/>
      <c r="BC158" s="45"/>
      <c r="BD158" s="45"/>
      <c r="BE158" s="45"/>
      <c r="BF158" s="45"/>
      <c r="BG158" s="45"/>
      <c r="BH158" s="45"/>
      <c r="BI158" s="45"/>
      <c r="BJ158" s="45"/>
      <c r="BK158" s="45"/>
      <c r="BL158" s="45"/>
      <c r="BM158" s="45"/>
      <c r="BN158" s="45"/>
      <c r="BO158" s="45"/>
      <c r="BP158" s="45"/>
      <c r="BQ158" s="45"/>
      <c r="BR158" s="45"/>
      <c r="BS158" s="45"/>
      <c r="BT158" s="45"/>
      <c r="BU158" s="45"/>
      <c r="BV158" s="45"/>
      <c r="BW158" s="45"/>
      <c r="BX158" s="45"/>
      <c r="BY158" s="45"/>
      <c r="BZ158" s="45"/>
      <c r="CA158" s="45"/>
      <c r="CB158" s="45"/>
      <c r="CC158" s="45"/>
      <c r="CD158" s="45"/>
      <c r="CE158" s="45"/>
      <c r="CF158" s="45"/>
      <c r="CG158" s="45"/>
      <c r="CH158" s="45"/>
      <c r="CI158" s="45"/>
      <c r="CJ158" s="45"/>
      <c r="CK158" s="45"/>
      <c r="CL158" s="45"/>
      <c r="CM158" s="45"/>
      <c r="CN158" s="45"/>
      <c r="CO158" s="45"/>
      <c r="CP158" s="45"/>
      <c r="CQ158" s="45"/>
      <c r="CR158" s="45"/>
      <c r="CS158" s="45"/>
      <c r="CT158" s="45"/>
      <c r="CU158" s="45"/>
      <c r="CV158" s="45"/>
      <c r="CW158" s="45"/>
      <c r="CX158" s="24"/>
      <c r="CY158" s="24"/>
      <c r="CZ158" s="24"/>
      <c r="DA158" s="24"/>
      <c r="DB158" s="24"/>
      <c r="DC158" s="24"/>
      <c r="DD158" s="24"/>
      <c r="DE158" s="24"/>
      <c r="DF158" s="24"/>
      <c r="DG158" s="24"/>
      <c r="DH158" s="24"/>
      <c r="DI158" s="24"/>
      <c r="DJ158" s="24"/>
      <c r="DK158" s="24"/>
      <c r="DL158" s="24"/>
      <c r="DM158" s="24"/>
      <c r="DN158" s="24"/>
      <c r="DO158" s="24"/>
      <c r="DP158" s="24"/>
      <c r="DQ158" s="24"/>
      <c r="DR158" s="24"/>
      <c r="DS158" s="24"/>
      <c r="DT158" s="24"/>
      <c r="DU158" s="24"/>
      <c r="DV158" s="24"/>
      <c r="DW158" s="24"/>
      <c r="DX158" s="24"/>
      <c r="DY158" s="24"/>
      <c r="DZ158" s="24"/>
      <c r="EA158" s="24"/>
    </row>
    <row r="159" spans="1:131">
      <c r="A159" s="24" t="s">
        <v>424</v>
      </c>
      <c r="B159" s="24"/>
      <c r="C159" s="198">
        <v>3387.6594304155228</v>
      </c>
      <c r="D159" s="198">
        <v>532.0694632777404</v>
      </c>
      <c r="E159" s="198">
        <v>106.41389265554808</v>
      </c>
      <c r="F159" s="198">
        <v>638.48335593328852</v>
      </c>
      <c r="G159" s="198">
        <v>913.03024039711443</v>
      </c>
      <c r="H159" s="198">
        <v>2233.8727357631246</v>
      </c>
      <c r="I159" s="198">
        <v>1651.0261178437197</v>
      </c>
      <c r="J159" s="198">
        <v>-3.3109154122748703</v>
      </c>
      <c r="K159" s="198">
        <v>6.5790829489429381</v>
      </c>
      <c r="L159" s="199">
        <v>2.3523085296231838</v>
      </c>
      <c r="M159" s="198">
        <v>32.182849854666841</v>
      </c>
      <c r="N159" s="198">
        <v>0.7907296823799802</v>
      </c>
      <c r="O159" s="198">
        <v>138.74994631814602</v>
      </c>
      <c r="P159" s="198">
        <v>102.57263046367333</v>
      </c>
      <c r="Q159" s="198">
        <v>95.551136204083235</v>
      </c>
      <c r="R159" s="198">
        <v>54.85338468096208</v>
      </c>
      <c r="S159" s="198">
        <v>44.063116304633951</v>
      </c>
      <c r="T159" s="198">
        <v>34.18008952615213</v>
      </c>
      <c r="U159" s="198">
        <v>35.666656573991425</v>
      </c>
      <c r="V159" s="198">
        <v>51.913996253193531</v>
      </c>
      <c r="W159" s="198">
        <v>65.589259324172076</v>
      </c>
      <c r="X159" s="198">
        <v>107.00147158494927</v>
      </c>
      <c r="Y159" s="198">
        <v>123.91057994840529</v>
      </c>
      <c r="Z159" s="198">
        <v>145.96416455566899</v>
      </c>
      <c r="AA159" s="198"/>
      <c r="AB159" s="198">
        <v>229.95621944845649</v>
      </c>
      <c r="AC159" s="198">
        <v>199.46775155725797</v>
      </c>
      <c r="AD159" s="198">
        <v>201.08507599777664</v>
      </c>
      <c r="AE159" s="198">
        <v>191.48326067641094</v>
      </c>
      <c r="AF159" s="198">
        <v>176.3658301455163</v>
      </c>
      <c r="AG159" s="198">
        <v>160.24473710889885</v>
      </c>
      <c r="AH159" s="198">
        <v>174.98311841629871</v>
      </c>
      <c r="AI159" s="198">
        <v>188.94738874269069</v>
      </c>
      <c r="AJ159" s="198">
        <v>203.66580529357771</v>
      </c>
      <c r="AK159" s="198">
        <v>210.19464898664282</v>
      </c>
      <c r="AL159" s="198">
        <v>220.34269352305554</v>
      </c>
      <c r="AM159" s="45">
        <v>230.90646878090988</v>
      </c>
      <c r="AN159" s="45"/>
      <c r="AO159" s="45"/>
      <c r="AP159" s="45"/>
      <c r="AQ159" s="45"/>
      <c r="AR159" s="45"/>
      <c r="AS159" s="45"/>
      <c r="AT159" s="45"/>
      <c r="AU159" s="45"/>
      <c r="AV159" s="45"/>
      <c r="AW159" s="45"/>
      <c r="AX159" s="45"/>
      <c r="AY159" s="45"/>
      <c r="AZ159" s="45"/>
      <c r="BA159" s="45"/>
      <c r="BB159" s="45"/>
      <c r="BC159" s="45"/>
      <c r="BD159" s="45"/>
      <c r="BE159" s="45"/>
      <c r="BF159" s="45"/>
      <c r="BG159" s="45"/>
      <c r="BH159" s="45"/>
      <c r="BI159" s="45"/>
      <c r="BJ159" s="45"/>
      <c r="BK159" s="45"/>
      <c r="BL159" s="45"/>
      <c r="BM159" s="45"/>
      <c r="BN159" s="45"/>
      <c r="BO159" s="45"/>
      <c r="BP159" s="45"/>
      <c r="BQ159" s="45"/>
      <c r="BR159" s="45"/>
      <c r="BS159" s="45"/>
      <c r="BT159" s="45"/>
      <c r="BU159" s="45"/>
      <c r="BV159" s="45"/>
      <c r="BW159" s="45"/>
      <c r="BX159" s="45"/>
      <c r="BY159" s="45"/>
      <c r="BZ159" s="45"/>
      <c r="CA159" s="45"/>
      <c r="CB159" s="45"/>
      <c r="CC159" s="45"/>
      <c r="CD159" s="45"/>
      <c r="CE159" s="45"/>
      <c r="CF159" s="45"/>
      <c r="CG159" s="45"/>
      <c r="CH159" s="45"/>
      <c r="CI159" s="45"/>
      <c r="CJ159" s="45"/>
      <c r="CK159" s="45"/>
      <c r="CL159" s="45"/>
      <c r="CM159" s="45"/>
      <c r="CN159" s="45"/>
      <c r="CO159" s="45"/>
      <c r="CP159" s="45"/>
      <c r="CQ159" s="45"/>
      <c r="CR159" s="45"/>
      <c r="CS159" s="45"/>
      <c r="CT159" s="45"/>
      <c r="CU159" s="45"/>
      <c r="CV159" s="45"/>
      <c r="CW159" s="45"/>
      <c r="CX159" s="24"/>
      <c r="CY159" s="24"/>
      <c r="CZ159" s="24"/>
      <c r="DA159" s="24"/>
      <c r="DB159" s="24"/>
      <c r="DC159" s="24"/>
      <c r="DD159" s="24"/>
      <c r="DE159" s="24"/>
      <c r="DF159" s="24"/>
      <c r="DG159" s="24"/>
      <c r="DH159" s="24"/>
      <c r="DI159" s="24"/>
      <c r="DJ159" s="24"/>
      <c r="DK159" s="24"/>
      <c r="DL159" s="24"/>
      <c r="DM159" s="24"/>
      <c r="DN159" s="24"/>
      <c r="DO159" s="24"/>
      <c r="DP159" s="24"/>
      <c r="DQ159" s="24"/>
      <c r="DR159" s="24"/>
      <c r="DS159" s="24"/>
      <c r="DT159" s="24"/>
      <c r="DU159" s="24"/>
      <c r="DV159" s="24"/>
      <c r="DW159" s="24"/>
      <c r="DX159" s="24"/>
      <c r="DY159" s="24"/>
      <c r="DZ159" s="24"/>
      <c r="EA159" s="24"/>
    </row>
    <row r="160" spans="1:131">
      <c r="A160" s="24" t="s">
        <v>426</v>
      </c>
      <c r="B160" s="24"/>
      <c r="C160" s="198">
        <v>1722.7756260529418</v>
      </c>
      <c r="D160" s="198">
        <v>371.54658006207535</v>
      </c>
      <c r="E160" s="198">
        <v>74.309316012415067</v>
      </c>
      <c r="F160" s="198">
        <v>445.85589607449043</v>
      </c>
      <c r="G160" s="198">
        <v>431.20497891064264</v>
      </c>
      <c r="H160" s="198">
        <v>1136.0237296359132</v>
      </c>
      <c r="I160" s="198">
        <v>2267.095952919241</v>
      </c>
      <c r="J160" s="198">
        <v>0.39869180433642498</v>
      </c>
      <c r="K160" s="198">
        <v>5.1648504452596447</v>
      </c>
      <c r="L160" s="199">
        <v>2.3109113015883271</v>
      </c>
      <c r="M160" s="198">
        <v>16.366411808916986</v>
      </c>
      <c r="N160" s="198">
        <v>0.40212124376201641</v>
      </c>
      <c r="O160" s="198">
        <v>70.56052432157756</v>
      </c>
      <c r="P160" s="198">
        <v>52.162748733356906</v>
      </c>
      <c r="Q160" s="198">
        <v>48.592006332191517</v>
      </c>
      <c r="R160" s="198">
        <v>27.89538797389563</v>
      </c>
      <c r="S160" s="198">
        <v>22.408056162908998</v>
      </c>
      <c r="T160" s="198">
        <v>17.382097091365431</v>
      </c>
      <c r="U160" s="198">
        <v>18.138082611491015</v>
      </c>
      <c r="V160" s="198">
        <v>26.400578108005242</v>
      </c>
      <c r="W160" s="198">
        <v>33.355058150189997</v>
      </c>
      <c r="X160" s="198">
        <v>54.415011598653045</v>
      </c>
      <c r="Y160" s="198">
        <v>63.014045930530052</v>
      </c>
      <c r="Z160" s="198">
        <v>74.229275444858786</v>
      </c>
      <c r="AA160" s="198"/>
      <c r="AB160" s="198">
        <v>116.94297436401092</v>
      </c>
      <c r="AC160" s="198">
        <v>101.43823121094492</v>
      </c>
      <c r="AD160" s="198">
        <v>102.26071268606873</v>
      </c>
      <c r="AE160" s="198">
        <v>97.37776215893102</v>
      </c>
      <c r="AF160" s="198">
        <v>89.689875763580062</v>
      </c>
      <c r="AG160" s="198">
        <v>81.491582304839497</v>
      </c>
      <c r="AH160" s="198">
        <v>88.986705296216584</v>
      </c>
      <c r="AI160" s="198">
        <v>96.088158393280608</v>
      </c>
      <c r="AJ160" s="198">
        <v>103.57312841721604</v>
      </c>
      <c r="AK160" s="198">
        <v>106.89333607437786</v>
      </c>
      <c r="AL160" s="198">
        <v>112.05406847340983</v>
      </c>
      <c r="AM160" s="45">
        <v>117.4262184510421</v>
      </c>
      <c r="AN160" s="45"/>
      <c r="AO160" s="45"/>
      <c r="AP160" s="45"/>
      <c r="AQ160" s="45"/>
      <c r="AR160" s="45"/>
      <c r="AS160" s="45"/>
      <c r="AT160" s="45"/>
      <c r="AU160" s="45"/>
      <c r="AV160" s="45"/>
      <c r="AW160" s="45"/>
      <c r="AX160" s="45"/>
      <c r="AY160" s="45"/>
      <c r="AZ160" s="45"/>
      <c r="BA160" s="45"/>
      <c r="BB160" s="45"/>
      <c r="BC160" s="45"/>
      <c r="BD160" s="45"/>
      <c r="BE160" s="45"/>
      <c r="BF160" s="45"/>
      <c r="BG160" s="45"/>
      <c r="BH160" s="45"/>
      <c r="BI160" s="45"/>
      <c r="BJ160" s="45"/>
      <c r="BK160" s="45"/>
      <c r="BL160" s="45"/>
      <c r="BM160" s="45"/>
      <c r="BN160" s="45"/>
      <c r="BO160" s="45"/>
      <c r="BP160" s="45"/>
      <c r="BQ160" s="45"/>
      <c r="BR160" s="45"/>
      <c r="BS160" s="45"/>
      <c r="BT160" s="45"/>
      <c r="BU160" s="45"/>
      <c r="BV160" s="45"/>
      <c r="BW160" s="45"/>
      <c r="BX160" s="45"/>
      <c r="BY160" s="45"/>
      <c r="BZ160" s="45"/>
      <c r="CA160" s="45"/>
      <c r="CB160" s="45"/>
      <c r="CC160" s="45"/>
      <c r="CD160" s="45"/>
      <c r="CE160" s="45"/>
      <c r="CF160" s="45"/>
      <c r="CG160" s="45"/>
      <c r="CH160" s="45"/>
      <c r="CI160" s="45"/>
      <c r="CJ160" s="45"/>
      <c r="CK160" s="45"/>
      <c r="CL160" s="45"/>
      <c r="CM160" s="45"/>
      <c r="CN160" s="45"/>
      <c r="CO160" s="45"/>
      <c r="CP160" s="45"/>
      <c r="CQ160" s="45"/>
      <c r="CR160" s="45"/>
      <c r="CS160" s="45"/>
      <c r="CT160" s="45"/>
      <c r="CU160" s="45"/>
      <c r="CV160" s="45"/>
      <c r="CW160" s="45"/>
      <c r="CX160" s="24"/>
      <c r="CY160" s="24"/>
      <c r="CZ160" s="24"/>
      <c r="DA160" s="24"/>
      <c r="DB160" s="24"/>
      <c r="DC160" s="24"/>
      <c r="DD160" s="24"/>
      <c r="DE160" s="24"/>
      <c r="DF160" s="24"/>
      <c r="DG160" s="24"/>
      <c r="DH160" s="24"/>
      <c r="DI160" s="24"/>
      <c r="DJ160" s="24"/>
      <c r="DK160" s="24"/>
      <c r="DL160" s="24"/>
      <c r="DM160" s="24"/>
      <c r="DN160" s="24"/>
      <c r="DO160" s="24"/>
      <c r="DP160" s="24"/>
      <c r="DQ160" s="24"/>
      <c r="DR160" s="24"/>
      <c r="DS160" s="24"/>
      <c r="DT160" s="24"/>
      <c r="DU160" s="24"/>
      <c r="DV160" s="24"/>
      <c r="DW160" s="24"/>
      <c r="DX160" s="24"/>
      <c r="DY160" s="24"/>
      <c r="DZ160" s="24"/>
      <c r="EA160" s="24"/>
    </row>
    <row r="161" spans="1:131">
      <c r="A161" s="24" t="s">
        <v>428</v>
      </c>
      <c r="B161" s="24"/>
      <c r="C161" s="198">
        <v>686.32071762629175</v>
      </c>
      <c r="D161" s="198">
        <v>154.26033291735365</v>
      </c>
      <c r="E161" s="198">
        <v>30.85206658347073</v>
      </c>
      <c r="F161" s="198">
        <v>185.11239950082438</v>
      </c>
      <c r="G161" s="198">
        <v>193.6295917161556</v>
      </c>
      <c r="H161" s="198">
        <v>452.5700326690461</v>
      </c>
      <c r="I161" s="198">
        <v>2362.7213604095077</v>
      </c>
      <c r="J161" s="198">
        <v>0.97449130225179015</v>
      </c>
      <c r="K161" s="198">
        <v>7.5069814065752984</v>
      </c>
      <c r="L161" s="199">
        <v>2.0437526010154135</v>
      </c>
      <c r="M161" s="198">
        <v>6.5200640918042199</v>
      </c>
      <c r="N161" s="198">
        <v>0.16019737940211778</v>
      </c>
      <c r="O161" s="198">
        <v>28.109957533717932</v>
      </c>
      <c r="P161" s="198">
        <v>20.780637131522365</v>
      </c>
      <c r="Q161" s="198">
        <v>19.358121947208314</v>
      </c>
      <c r="R161" s="198">
        <v>11.112986742546086</v>
      </c>
      <c r="S161" s="198">
        <v>8.9269391520084955</v>
      </c>
      <c r="T161" s="198">
        <v>6.9246935986248941</v>
      </c>
      <c r="U161" s="198">
        <v>7.2258637085575579</v>
      </c>
      <c r="V161" s="198">
        <v>10.517483204907098</v>
      </c>
      <c r="W161" s="198">
        <v>13.288014469158504</v>
      </c>
      <c r="X161" s="198">
        <v>21.67789539465128</v>
      </c>
      <c r="Y161" s="198">
        <v>25.103585498630952</v>
      </c>
      <c r="Z161" s="198">
        <v>29.571517510330498</v>
      </c>
      <c r="AA161" s="198"/>
      <c r="AB161" s="198">
        <v>46.587834697165938</v>
      </c>
      <c r="AC161" s="198">
        <v>40.4110428465616</v>
      </c>
      <c r="AD161" s="198">
        <v>40.738703667683502</v>
      </c>
      <c r="AE161" s="198">
        <v>38.793429971423393</v>
      </c>
      <c r="AF161" s="198">
        <v>35.730723703645879</v>
      </c>
      <c r="AG161" s="198">
        <v>32.464681065925831</v>
      </c>
      <c r="AH161" s="198">
        <v>35.450594096240067</v>
      </c>
      <c r="AI161" s="198">
        <v>38.279676602435593</v>
      </c>
      <c r="AJ161" s="198">
        <v>41.261544885543508</v>
      </c>
      <c r="AK161" s="198">
        <v>42.584251840222457</v>
      </c>
      <c r="AL161" s="198">
        <v>44.640188498495121</v>
      </c>
      <c r="AM161" s="45">
        <v>46.780349859085064</v>
      </c>
      <c r="AN161" s="45"/>
      <c r="AO161" s="45"/>
      <c r="AP161" s="45"/>
      <c r="AQ161" s="45"/>
      <c r="AR161" s="45"/>
      <c r="AS161" s="45"/>
      <c r="AT161" s="45"/>
      <c r="AU161" s="45"/>
      <c r="AV161" s="45"/>
      <c r="AW161" s="45"/>
      <c r="AX161" s="45"/>
      <c r="AY161" s="45"/>
      <c r="AZ161" s="45"/>
      <c r="BA161" s="45"/>
      <c r="BB161" s="45"/>
      <c r="BC161" s="45"/>
      <c r="BD161" s="45"/>
      <c r="BE161" s="45"/>
      <c r="BF161" s="45"/>
      <c r="BG161" s="45"/>
      <c r="BH161" s="45"/>
      <c r="BI161" s="45"/>
      <c r="BJ161" s="45"/>
      <c r="BK161" s="45"/>
      <c r="BL161" s="45"/>
      <c r="BM161" s="45"/>
      <c r="BN161" s="45"/>
      <c r="BO161" s="45"/>
      <c r="BP161" s="45"/>
      <c r="BQ161" s="45"/>
      <c r="BR161" s="45"/>
      <c r="BS161" s="45"/>
      <c r="BT161" s="45"/>
      <c r="BU161" s="45"/>
      <c r="BV161" s="45"/>
      <c r="BW161" s="45"/>
      <c r="BX161" s="45"/>
      <c r="BY161" s="45"/>
      <c r="BZ161" s="45"/>
      <c r="CA161" s="45"/>
      <c r="CB161" s="45"/>
      <c r="CC161" s="45"/>
      <c r="CD161" s="45"/>
      <c r="CE161" s="45"/>
      <c r="CF161" s="45"/>
      <c r="CG161" s="45"/>
      <c r="CH161" s="45"/>
      <c r="CI161" s="45"/>
      <c r="CJ161" s="45"/>
      <c r="CK161" s="45"/>
      <c r="CL161" s="45"/>
      <c r="CM161" s="45"/>
      <c r="CN161" s="45"/>
      <c r="CO161" s="45"/>
      <c r="CP161" s="45"/>
      <c r="CQ161" s="45"/>
      <c r="CR161" s="45"/>
      <c r="CS161" s="45"/>
      <c r="CT161" s="45"/>
      <c r="CU161" s="45"/>
      <c r="CV161" s="45"/>
      <c r="CW161" s="45"/>
      <c r="CX161" s="24"/>
      <c r="CY161" s="24"/>
      <c r="CZ161" s="24"/>
      <c r="DA161" s="24"/>
      <c r="DB161" s="24"/>
      <c r="DC161" s="24"/>
      <c r="DD161" s="24"/>
      <c r="DE161" s="24"/>
      <c r="DF161" s="24"/>
      <c r="DG161" s="24"/>
      <c r="DH161" s="24"/>
      <c r="DI161" s="24"/>
      <c r="DJ161" s="24"/>
      <c r="DK161" s="24"/>
      <c r="DL161" s="24"/>
      <c r="DM161" s="24"/>
      <c r="DN161" s="24"/>
      <c r="DO161" s="24"/>
      <c r="DP161" s="24"/>
      <c r="DQ161" s="24"/>
      <c r="DR161" s="24"/>
      <c r="DS161" s="24"/>
      <c r="DT161" s="24"/>
      <c r="DU161" s="24"/>
      <c r="DV161" s="24"/>
      <c r="DW161" s="24"/>
      <c r="DX161" s="24"/>
      <c r="DY161" s="24"/>
      <c r="DZ161" s="24"/>
      <c r="EA161" s="24"/>
    </row>
    <row r="162" spans="1:131">
      <c r="A162" s="24" t="s">
        <v>430</v>
      </c>
      <c r="B162" s="24"/>
      <c r="C162" s="198">
        <v>696.18365257841458</v>
      </c>
      <c r="D162" s="198">
        <v>186.95819668884204</v>
      </c>
      <c r="E162" s="198">
        <v>37.39163933776841</v>
      </c>
      <c r="F162" s="198">
        <v>224.34983602661043</v>
      </c>
      <c r="G162" s="198">
        <v>212.62470120468703</v>
      </c>
      <c r="H162" s="198">
        <v>459.073797860534</v>
      </c>
      <c r="I162" s="198">
        <v>2822.9685605433629</v>
      </c>
      <c r="J162" s="198">
        <v>3.7458270142695529</v>
      </c>
      <c r="K162" s="198">
        <v>9.22053043459732</v>
      </c>
      <c r="L162" s="199">
        <v>1.9109443501490648</v>
      </c>
      <c r="M162" s="198">
        <v>6.6137622220945982</v>
      </c>
      <c r="N162" s="198">
        <v>0.16249953390797076</v>
      </c>
      <c r="O162" s="198">
        <v>28.513918357778262</v>
      </c>
      <c r="P162" s="198">
        <v>21.07927021519313</v>
      </c>
      <c r="Q162" s="198">
        <v>19.636312438413242</v>
      </c>
      <c r="R162" s="198">
        <v>11.272688559132099</v>
      </c>
      <c r="S162" s="198">
        <v>9.0552258522589746</v>
      </c>
      <c r="T162" s="198">
        <v>7.0242065533887157</v>
      </c>
      <c r="U162" s="198">
        <v>7.3297046999484285</v>
      </c>
      <c r="V162" s="198">
        <v>10.668627196405437</v>
      </c>
      <c r="W162" s="198">
        <v>13.478973038507039</v>
      </c>
      <c r="X162" s="198">
        <v>21.98942274139355</v>
      </c>
      <c r="Y162" s="198">
        <v>25.464342539004704</v>
      </c>
      <c r="Z162" s="198">
        <v>29.996482029321985</v>
      </c>
      <c r="AA162" s="198"/>
      <c r="AB162" s="198">
        <v>47.257336245607604</v>
      </c>
      <c r="AC162" s="198">
        <v>40.991779340021367</v>
      </c>
      <c r="AD162" s="198">
        <v>41.324148888830038</v>
      </c>
      <c r="AE162" s="198">
        <v>39.350920174693371</v>
      </c>
      <c r="AF162" s="198">
        <v>36.244200558752595</v>
      </c>
      <c r="AG162" s="198">
        <v>32.931222479249435</v>
      </c>
      <c r="AH162" s="198">
        <v>35.960045282260815</v>
      </c>
      <c r="AI162" s="198">
        <v>38.829783790841496</v>
      </c>
      <c r="AJ162" s="198">
        <v>41.854503720645738</v>
      </c>
      <c r="AK162" s="198">
        <v>43.196218949910715</v>
      </c>
      <c r="AL162" s="198">
        <v>45.281700934450605</v>
      </c>
      <c r="AM162" s="45">
        <v>47.452617992405401</v>
      </c>
      <c r="AN162" s="45"/>
      <c r="AO162" s="45"/>
      <c r="AP162" s="45"/>
      <c r="AQ162" s="45"/>
      <c r="AR162" s="45"/>
      <c r="AS162" s="45"/>
      <c r="AT162" s="45"/>
      <c r="AU162" s="45"/>
      <c r="AV162" s="45"/>
      <c r="AW162" s="45"/>
      <c r="AX162" s="45"/>
      <c r="AY162" s="45"/>
      <c r="AZ162" s="45"/>
      <c r="BA162" s="45"/>
      <c r="BB162" s="45"/>
      <c r="BC162" s="45"/>
      <c r="BD162" s="45"/>
      <c r="BE162" s="45"/>
      <c r="BF162" s="45"/>
      <c r="BG162" s="45"/>
      <c r="BH162" s="45"/>
      <c r="BI162" s="45"/>
      <c r="BJ162" s="45"/>
      <c r="BK162" s="45"/>
      <c r="BL162" s="45"/>
      <c r="BM162" s="45"/>
      <c r="BN162" s="45"/>
      <c r="BO162" s="45"/>
      <c r="BP162" s="45"/>
      <c r="BQ162" s="45"/>
      <c r="BR162" s="45"/>
      <c r="BS162" s="45"/>
      <c r="BT162" s="45"/>
      <c r="BU162" s="45"/>
      <c r="BV162" s="45"/>
      <c r="BW162" s="45"/>
      <c r="BX162" s="45"/>
      <c r="BY162" s="45"/>
      <c r="BZ162" s="45"/>
      <c r="CA162" s="45"/>
      <c r="CB162" s="45"/>
      <c r="CC162" s="45"/>
      <c r="CD162" s="45"/>
      <c r="CE162" s="45"/>
      <c r="CF162" s="45"/>
      <c r="CG162" s="45"/>
      <c r="CH162" s="45"/>
      <c r="CI162" s="45"/>
      <c r="CJ162" s="45"/>
      <c r="CK162" s="45"/>
      <c r="CL162" s="45"/>
      <c r="CM162" s="45"/>
      <c r="CN162" s="45"/>
      <c r="CO162" s="45"/>
      <c r="CP162" s="45"/>
      <c r="CQ162" s="45"/>
      <c r="CR162" s="45"/>
      <c r="CS162" s="45"/>
      <c r="CT162" s="45"/>
      <c r="CU162" s="45"/>
      <c r="CV162" s="45"/>
      <c r="CW162" s="45"/>
      <c r="CX162" s="24"/>
      <c r="CY162" s="24"/>
      <c r="CZ162" s="24"/>
      <c r="DA162" s="24"/>
      <c r="DB162" s="24"/>
      <c r="DC162" s="24"/>
      <c r="DD162" s="24"/>
      <c r="DE162" s="24"/>
      <c r="DF162" s="24"/>
      <c r="DG162" s="24"/>
      <c r="DH162" s="24"/>
      <c r="DI162" s="24"/>
      <c r="DJ162" s="24"/>
      <c r="DK162" s="24"/>
      <c r="DL162" s="24"/>
      <c r="DM162" s="24"/>
      <c r="DN162" s="24"/>
      <c r="DO162" s="24"/>
      <c r="DP162" s="24"/>
      <c r="DQ162" s="24"/>
      <c r="DR162" s="24"/>
      <c r="DS162" s="24"/>
      <c r="DT162" s="24"/>
      <c r="DU162" s="24"/>
      <c r="DV162" s="24"/>
      <c r="DW162" s="24"/>
      <c r="DX162" s="24"/>
      <c r="DY162" s="24"/>
      <c r="DZ162" s="24"/>
      <c r="EA162" s="24"/>
    </row>
    <row r="163" spans="1:131">
      <c r="A163" s="24" t="s">
        <v>429</v>
      </c>
      <c r="B163" s="24"/>
      <c r="C163" s="198">
        <v>1391.6616897786967</v>
      </c>
      <c r="D163" s="198">
        <v>338.08982109258011</v>
      </c>
      <c r="E163" s="198">
        <v>67.617964218516022</v>
      </c>
      <c r="F163" s="198">
        <v>405.70778531109613</v>
      </c>
      <c r="G163" s="198">
        <v>561.06952601991736</v>
      </c>
      <c r="H163" s="198">
        <v>917.6823025038716</v>
      </c>
      <c r="I163" s="198">
        <v>2553.7817311694212</v>
      </c>
      <c r="J163" s="198">
        <v>2.1249435559196197</v>
      </c>
      <c r="K163" s="198">
        <v>16.413183473026297</v>
      </c>
      <c r="L163" s="199">
        <v>1.5745897731264602</v>
      </c>
      <c r="M163" s="198">
        <v>13.220821080336949</v>
      </c>
      <c r="N163" s="198">
        <v>0.32483436677816196</v>
      </c>
      <c r="O163" s="198">
        <v>56.998936497618999</v>
      </c>
      <c r="P163" s="198">
        <v>42.137175583382799</v>
      </c>
      <c r="Q163" s="198">
        <v>39.25272253643822</v>
      </c>
      <c r="R163" s="198">
        <v>22.533951710082377</v>
      </c>
      <c r="S163" s="198">
        <v>18.101273800684453</v>
      </c>
      <c r="T163" s="198">
        <v>14.04129373799465</v>
      </c>
      <c r="U163" s="198">
        <v>14.651980394153476</v>
      </c>
      <c r="V163" s="198">
        <v>21.326441229667118</v>
      </c>
      <c r="W163" s="198">
        <v>26.944284494151312</v>
      </c>
      <c r="X163" s="198">
        <v>43.956558152734004</v>
      </c>
      <c r="Y163" s="198">
        <v>50.902875750796674</v>
      </c>
      <c r="Z163" s="198">
        <v>59.962561191625518</v>
      </c>
      <c r="AA163" s="198"/>
      <c r="AB163" s="198">
        <v>94.466774924156596</v>
      </c>
      <c r="AC163" s="198">
        <v>81.94201155411956</v>
      </c>
      <c r="AD163" s="198">
        <v>82.606413779326871</v>
      </c>
      <c r="AE163" s="198">
        <v>78.661956312586852</v>
      </c>
      <c r="AF163" s="198">
        <v>72.451665889397404</v>
      </c>
      <c r="AG163" s="198">
        <v>65.829067591885916</v>
      </c>
      <c r="AH163" s="198">
        <v>71.883643341356404</v>
      </c>
      <c r="AI163" s="198">
        <v>77.620211741494984</v>
      </c>
      <c r="AJ163" s="198">
        <v>83.66658590300915</v>
      </c>
      <c r="AK163" s="198">
        <v>86.348656469080638</v>
      </c>
      <c r="AL163" s="198">
        <v>90.51750670257691</v>
      </c>
      <c r="AM163" s="45">
        <v>94.857140490376139</v>
      </c>
      <c r="AN163" s="45"/>
      <c r="AO163" s="45"/>
      <c r="AP163" s="45"/>
      <c r="AQ163" s="45"/>
      <c r="AR163" s="45"/>
      <c r="AS163" s="45"/>
      <c r="AT163" s="45"/>
      <c r="AU163" s="45"/>
      <c r="AV163" s="45"/>
      <c r="AW163" s="45"/>
      <c r="AX163" s="45"/>
      <c r="AY163" s="45"/>
      <c r="AZ163" s="45"/>
      <c r="BA163" s="45"/>
      <c r="BB163" s="45"/>
      <c r="BC163" s="45"/>
      <c r="BD163" s="45"/>
      <c r="BE163" s="45"/>
      <c r="BF163" s="45"/>
      <c r="BG163" s="45"/>
      <c r="BH163" s="45"/>
      <c r="BI163" s="45"/>
      <c r="BJ163" s="45"/>
      <c r="BK163" s="45"/>
      <c r="BL163" s="45"/>
      <c r="BM163" s="45"/>
      <c r="BN163" s="45"/>
      <c r="BO163" s="45"/>
      <c r="BP163" s="45"/>
      <c r="BQ163" s="45"/>
      <c r="BR163" s="45"/>
      <c r="BS163" s="45"/>
      <c r="BT163" s="45"/>
      <c r="BU163" s="45"/>
      <c r="BV163" s="45"/>
      <c r="BW163" s="45"/>
      <c r="BX163" s="45"/>
      <c r="BY163" s="45"/>
      <c r="BZ163" s="45"/>
      <c r="CA163" s="45"/>
      <c r="CB163" s="45"/>
      <c r="CC163" s="45"/>
      <c r="CD163" s="45"/>
      <c r="CE163" s="45"/>
      <c r="CF163" s="45"/>
      <c r="CG163" s="45"/>
      <c r="CH163" s="45"/>
      <c r="CI163" s="45"/>
      <c r="CJ163" s="45"/>
      <c r="CK163" s="45"/>
      <c r="CL163" s="45"/>
      <c r="CM163" s="45"/>
      <c r="CN163" s="45"/>
      <c r="CO163" s="45"/>
      <c r="CP163" s="45"/>
      <c r="CQ163" s="45"/>
      <c r="CR163" s="45"/>
      <c r="CS163" s="45"/>
      <c r="CT163" s="45"/>
      <c r="CU163" s="45"/>
      <c r="CV163" s="45"/>
      <c r="CW163" s="45"/>
      <c r="CX163" s="24"/>
      <c r="CY163" s="24"/>
      <c r="CZ163" s="24"/>
      <c r="DA163" s="24"/>
      <c r="DB163" s="24"/>
      <c r="DC163" s="24"/>
      <c r="DD163" s="24"/>
      <c r="DE163" s="24"/>
      <c r="DF163" s="24"/>
      <c r="DG163" s="24"/>
      <c r="DH163" s="24"/>
      <c r="DI163" s="24"/>
      <c r="DJ163" s="24"/>
      <c r="DK163" s="24"/>
      <c r="DL163" s="24"/>
      <c r="DM163" s="24"/>
      <c r="DN163" s="24"/>
      <c r="DO163" s="24"/>
      <c r="DP163" s="24"/>
      <c r="DQ163" s="24"/>
      <c r="DR163" s="24"/>
      <c r="DS163" s="24"/>
      <c r="DT163" s="24"/>
      <c r="DU163" s="24"/>
      <c r="DV163" s="24"/>
      <c r="DW163" s="24"/>
      <c r="DX163" s="24"/>
      <c r="DY163" s="24"/>
      <c r="DZ163" s="24"/>
      <c r="EA163" s="24"/>
    </row>
    <row r="164" spans="1:131">
      <c r="A164" s="24" t="s">
        <v>435</v>
      </c>
      <c r="B164" s="24"/>
      <c r="C164" s="198">
        <v>696.18365257841458</v>
      </c>
      <c r="D164" s="198">
        <v>228.79070335550873</v>
      </c>
      <c r="E164" s="198">
        <v>45.758140671101749</v>
      </c>
      <c r="F164" s="198">
        <v>274.54884402661048</v>
      </c>
      <c r="G164" s="198">
        <v>273.15945250975392</v>
      </c>
      <c r="H164" s="198">
        <v>459.073797860534</v>
      </c>
      <c r="I164" s="198">
        <v>3454.6169890167243</v>
      </c>
      <c r="J164" s="198">
        <v>7.5492392821964849</v>
      </c>
      <c r="K164" s="198">
        <v>15.618630907422439</v>
      </c>
      <c r="L164" s="199">
        <v>1.561543823402028</v>
      </c>
      <c r="M164" s="198">
        <v>6.6137622220945982</v>
      </c>
      <c r="N164" s="198">
        <v>0.16249953390797076</v>
      </c>
      <c r="O164" s="198">
        <v>28.513918357778262</v>
      </c>
      <c r="P164" s="198">
        <v>21.07927021519313</v>
      </c>
      <c r="Q164" s="198">
        <v>19.636312438413242</v>
      </c>
      <c r="R164" s="198">
        <v>11.272688559132099</v>
      </c>
      <c r="S164" s="198">
        <v>9.0552258522589746</v>
      </c>
      <c r="T164" s="198">
        <v>7.0242065533887157</v>
      </c>
      <c r="U164" s="198">
        <v>7.3297046999484285</v>
      </c>
      <c r="V164" s="198">
        <v>10.668627196405437</v>
      </c>
      <c r="W164" s="198">
        <v>13.478973038507039</v>
      </c>
      <c r="X164" s="198">
        <v>21.98942274139355</v>
      </c>
      <c r="Y164" s="198">
        <v>25.464342539004704</v>
      </c>
      <c r="Z164" s="198">
        <v>29.996482029321985</v>
      </c>
      <c r="AA164" s="198"/>
      <c r="AB164" s="198">
        <v>47.257336245607604</v>
      </c>
      <c r="AC164" s="198">
        <v>40.991779340021367</v>
      </c>
      <c r="AD164" s="198">
        <v>41.324148888830038</v>
      </c>
      <c r="AE164" s="198">
        <v>39.350920174693371</v>
      </c>
      <c r="AF164" s="198">
        <v>36.244200558752595</v>
      </c>
      <c r="AG164" s="198">
        <v>32.931222479249435</v>
      </c>
      <c r="AH164" s="198">
        <v>35.960045282260815</v>
      </c>
      <c r="AI164" s="198">
        <v>38.829783790841496</v>
      </c>
      <c r="AJ164" s="198">
        <v>41.854503720645738</v>
      </c>
      <c r="AK164" s="198">
        <v>43.196218949910715</v>
      </c>
      <c r="AL164" s="198">
        <v>45.281700934450605</v>
      </c>
      <c r="AM164" s="45">
        <v>47.452617992405401</v>
      </c>
      <c r="AN164" s="45"/>
      <c r="AO164" s="45"/>
      <c r="AP164" s="45"/>
      <c r="AQ164" s="45"/>
      <c r="AR164" s="45"/>
      <c r="AS164" s="45"/>
      <c r="AT164" s="45"/>
      <c r="AU164" s="45"/>
      <c r="AV164" s="45"/>
      <c r="AW164" s="45"/>
      <c r="AX164" s="45"/>
      <c r="AY164" s="45"/>
      <c r="AZ164" s="45"/>
      <c r="BA164" s="45"/>
      <c r="BB164" s="45"/>
      <c r="BC164" s="45"/>
      <c r="BD164" s="45"/>
      <c r="BE164" s="45"/>
      <c r="BF164" s="45"/>
      <c r="BG164" s="45"/>
      <c r="BH164" s="45"/>
      <c r="BI164" s="45"/>
      <c r="BJ164" s="45"/>
      <c r="BK164" s="45"/>
      <c r="BL164" s="45"/>
      <c r="BM164" s="45"/>
      <c r="BN164" s="45"/>
      <c r="BO164" s="45"/>
      <c r="BP164" s="45"/>
      <c r="BQ164" s="45"/>
      <c r="BR164" s="45"/>
      <c r="BS164" s="45"/>
      <c r="BT164" s="45"/>
      <c r="BU164" s="45"/>
      <c r="BV164" s="45"/>
      <c r="BW164" s="45"/>
      <c r="BX164" s="45"/>
      <c r="BY164" s="45"/>
      <c r="BZ164" s="45"/>
      <c r="CA164" s="45"/>
      <c r="CB164" s="45"/>
      <c r="CC164" s="45"/>
      <c r="CD164" s="45"/>
      <c r="CE164" s="45"/>
      <c r="CF164" s="45"/>
      <c r="CG164" s="45"/>
      <c r="CH164" s="45"/>
      <c r="CI164" s="45"/>
      <c r="CJ164" s="45"/>
      <c r="CK164" s="45"/>
      <c r="CL164" s="45"/>
      <c r="CM164" s="45"/>
      <c r="CN164" s="45"/>
      <c r="CO164" s="45"/>
      <c r="CP164" s="45"/>
      <c r="CQ164" s="45"/>
      <c r="CR164" s="45"/>
      <c r="CS164" s="45"/>
      <c r="CT164" s="45"/>
      <c r="CU164" s="45"/>
      <c r="CV164" s="45"/>
      <c r="CW164" s="45"/>
      <c r="CX164" s="24"/>
      <c r="CY164" s="24"/>
      <c r="CZ164" s="24"/>
      <c r="DA164" s="24"/>
      <c r="DB164" s="24"/>
      <c r="DC164" s="24"/>
      <c r="DD164" s="24"/>
      <c r="DE164" s="24"/>
      <c r="DF164" s="24"/>
      <c r="DG164" s="24"/>
      <c r="DH164" s="24"/>
      <c r="DI164" s="24"/>
      <c r="DJ164" s="24"/>
      <c r="DK164" s="24"/>
      <c r="DL164" s="24"/>
      <c r="DM164" s="24"/>
      <c r="DN164" s="24"/>
      <c r="DO164" s="24"/>
      <c r="DP164" s="24"/>
      <c r="DQ164" s="24"/>
      <c r="DR164" s="24"/>
      <c r="DS164" s="24"/>
      <c r="DT164" s="24"/>
      <c r="DU164" s="24"/>
      <c r="DV164" s="24"/>
      <c r="DW164" s="24"/>
      <c r="DX164" s="24"/>
      <c r="DY164" s="24"/>
      <c r="DZ164" s="24"/>
      <c r="EA164" s="24"/>
    </row>
    <row r="165" spans="1:131">
      <c r="A165" s="24" t="s">
        <v>419</v>
      </c>
      <c r="B165" s="24"/>
      <c r="C165" s="198">
        <v>686.32071762629175</v>
      </c>
      <c r="D165" s="198">
        <v>210.259506250687</v>
      </c>
      <c r="E165" s="198">
        <v>42.051901250137405</v>
      </c>
      <c r="F165" s="198">
        <v>252.3114075008244</v>
      </c>
      <c r="G165" s="198">
        <v>283.68911922308496</v>
      </c>
      <c r="H165" s="198">
        <v>452.5700326690461</v>
      </c>
      <c r="I165" s="198">
        <v>3220.4301472226912</v>
      </c>
      <c r="J165" s="198">
        <v>6.1391049940145992</v>
      </c>
      <c r="K165" s="198">
        <v>17.162434750091414</v>
      </c>
      <c r="L165" s="199">
        <v>1.4994325928714816</v>
      </c>
      <c r="M165" s="198">
        <v>6.5200640918042199</v>
      </c>
      <c r="N165" s="198">
        <v>0.16019737940211778</v>
      </c>
      <c r="O165" s="198">
        <v>28.109957533717932</v>
      </c>
      <c r="P165" s="198">
        <v>20.780637131522365</v>
      </c>
      <c r="Q165" s="198">
        <v>19.358121947208314</v>
      </c>
      <c r="R165" s="198">
        <v>11.112986742546086</v>
      </c>
      <c r="S165" s="198">
        <v>8.9269391520084955</v>
      </c>
      <c r="T165" s="198">
        <v>6.9246935986248941</v>
      </c>
      <c r="U165" s="198">
        <v>7.2258637085575579</v>
      </c>
      <c r="V165" s="198">
        <v>10.517483204907098</v>
      </c>
      <c r="W165" s="198">
        <v>13.288014469158504</v>
      </c>
      <c r="X165" s="198">
        <v>21.67789539465128</v>
      </c>
      <c r="Y165" s="198">
        <v>25.103585498630952</v>
      </c>
      <c r="Z165" s="198">
        <v>29.571517510330498</v>
      </c>
      <c r="AA165" s="198"/>
      <c r="AB165" s="198">
        <v>46.587834697165938</v>
      </c>
      <c r="AC165" s="198">
        <v>40.4110428465616</v>
      </c>
      <c r="AD165" s="198">
        <v>40.738703667683502</v>
      </c>
      <c r="AE165" s="198">
        <v>38.793429971423393</v>
      </c>
      <c r="AF165" s="198">
        <v>35.730723703645879</v>
      </c>
      <c r="AG165" s="198">
        <v>32.464681065925831</v>
      </c>
      <c r="AH165" s="198">
        <v>35.450594096240067</v>
      </c>
      <c r="AI165" s="198">
        <v>38.279676602435593</v>
      </c>
      <c r="AJ165" s="198">
        <v>41.261544885543508</v>
      </c>
      <c r="AK165" s="198">
        <v>42.584251840222457</v>
      </c>
      <c r="AL165" s="198">
        <v>44.640188498495121</v>
      </c>
      <c r="AM165" s="45">
        <v>46.780349859085064</v>
      </c>
      <c r="AN165" s="45"/>
      <c r="AO165" s="45"/>
      <c r="AP165" s="45"/>
      <c r="AQ165" s="45"/>
      <c r="AR165" s="45"/>
      <c r="AS165" s="45"/>
      <c r="AT165" s="45"/>
      <c r="AU165" s="45"/>
      <c r="AV165" s="45"/>
      <c r="AW165" s="45"/>
      <c r="AX165" s="45"/>
      <c r="AY165" s="45"/>
      <c r="AZ165" s="45"/>
      <c r="BA165" s="45"/>
      <c r="BB165" s="45"/>
      <c r="BC165" s="45"/>
      <c r="BD165" s="45"/>
      <c r="BE165" s="45"/>
      <c r="BF165" s="45"/>
      <c r="BG165" s="45"/>
      <c r="BH165" s="45"/>
      <c r="BI165" s="45"/>
      <c r="BJ165" s="45"/>
      <c r="BK165" s="45"/>
      <c r="BL165" s="45"/>
      <c r="BM165" s="45"/>
      <c r="BN165" s="45"/>
      <c r="BO165" s="45"/>
      <c r="BP165" s="45"/>
      <c r="BQ165" s="45"/>
      <c r="BR165" s="45"/>
      <c r="BS165" s="45"/>
      <c r="BT165" s="45"/>
      <c r="BU165" s="45"/>
      <c r="BV165" s="45"/>
      <c r="BW165" s="45"/>
      <c r="BX165" s="45"/>
      <c r="BY165" s="45"/>
      <c r="BZ165" s="45"/>
      <c r="CA165" s="45"/>
      <c r="CB165" s="45"/>
      <c r="CC165" s="45"/>
      <c r="CD165" s="45"/>
      <c r="CE165" s="45"/>
      <c r="CF165" s="45"/>
      <c r="CG165" s="45"/>
      <c r="CH165" s="45"/>
      <c r="CI165" s="45"/>
      <c r="CJ165" s="45"/>
      <c r="CK165" s="45"/>
      <c r="CL165" s="45"/>
      <c r="CM165" s="45"/>
      <c r="CN165" s="45"/>
      <c r="CO165" s="45"/>
      <c r="CP165" s="45"/>
      <c r="CQ165" s="45"/>
      <c r="CR165" s="45"/>
      <c r="CS165" s="45"/>
      <c r="CT165" s="45"/>
      <c r="CU165" s="45"/>
      <c r="CV165" s="45"/>
      <c r="CW165" s="45"/>
      <c r="CX165" s="24"/>
      <c r="CY165" s="24"/>
      <c r="CZ165" s="24"/>
      <c r="DA165" s="24"/>
      <c r="DB165" s="24"/>
      <c r="DC165" s="24"/>
      <c r="DD165" s="24"/>
      <c r="DE165" s="24"/>
      <c r="DF165" s="24"/>
      <c r="DG165" s="24"/>
      <c r="DH165" s="24"/>
      <c r="DI165" s="24"/>
      <c r="DJ165" s="24"/>
      <c r="DK165" s="24"/>
      <c r="DL165" s="24"/>
      <c r="DM165" s="24"/>
      <c r="DN165" s="24"/>
      <c r="DO165" s="24"/>
      <c r="DP165" s="24"/>
      <c r="DQ165" s="24"/>
      <c r="DR165" s="24"/>
      <c r="DS165" s="24"/>
      <c r="DT165" s="24"/>
      <c r="DU165" s="24"/>
      <c r="DV165" s="24"/>
      <c r="DW165" s="24"/>
      <c r="DX165" s="24"/>
      <c r="DY165" s="24"/>
      <c r="DZ165" s="24"/>
      <c r="EA165" s="24"/>
    </row>
    <row r="166" spans="1:131">
      <c r="A166" s="24" t="s">
        <v>432</v>
      </c>
      <c r="B166" s="24"/>
      <c r="C166" s="198">
        <v>1391.6616897786967</v>
      </c>
      <c r="D166" s="198">
        <v>366.92315442591342</v>
      </c>
      <c r="E166" s="198">
        <v>73.384630885182688</v>
      </c>
      <c r="F166" s="198">
        <v>440.3077853110961</v>
      </c>
      <c r="G166" s="198">
        <v>613.99951017205683</v>
      </c>
      <c r="H166" s="198">
        <v>917.6823025038716</v>
      </c>
      <c r="I166" s="198">
        <v>2771.5760429810789</v>
      </c>
      <c r="J166" s="198">
        <v>3.4363717493392349</v>
      </c>
      <c r="K166" s="198">
        <v>19.211766567887768</v>
      </c>
      <c r="L166" s="199">
        <v>1.4508563121982538</v>
      </c>
      <c r="M166" s="198">
        <v>13.220821080336949</v>
      </c>
      <c r="N166" s="198">
        <v>0.32483436677816196</v>
      </c>
      <c r="O166" s="198">
        <v>56.998936497618999</v>
      </c>
      <c r="P166" s="198">
        <v>42.137175583382799</v>
      </c>
      <c r="Q166" s="198">
        <v>39.25272253643822</v>
      </c>
      <c r="R166" s="198">
        <v>22.533951710082377</v>
      </c>
      <c r="S166" s="198">
        <v>18.101273800684453</v>
      </c>
      <c r="T166" s="198">
        <v>14.04129373799465</v>
      </c>
      <c r="U166" s="198">
        <v>14.651980394153476</v>
      </c>
      <c r="V166" s="198">
        <v>21.326441229667118</v>
      </c>
      <c r="W166" s="198">
        <v>26.944284494151312</v>
      </c>
      <c r="X166" s="198">
        <v>43.956558152734004</v>
      </c>
      <c r="Y166" s="198">
        <v>50.902875750796674</v>
      </c>
      <c r="Z166" s="198">
        <v>59.962561191625518</v>
      </c>
      <c r="AA166" s="198"/>
      <c r="AB166" s="198">
        <v>94.466774924156596</v>
      </c>
      <c r="AC166" s="198">
        <v>81.94201155411956</v>
      </c>
      <c r="AD166" s="198">
        <v>82.606413779326871</v>
      </c>
      <c r="AE166" s="198">
        <v>78.661956312586852</v>
      </c>
      <c r="AF166" s="198">
        <v>72.451665889397404</v>
      </c>
      <c r="AG166" s="198">
        <v>65.829067591885916</v>
      </c>
      <c r="AH166" s="198">
        <v>71.883643341356404</v>
      </c>
      <c r="AI166" s="198">
        <v>77.620211741494984</v>
      </c>
      <c r="AJ166" s="198">
        <v>83.66658590300915</v>
      </c>
      <c r="AK166" s="198">
        <v>86.348656469080638</v>
      </c>
      <c r="AL166" s="198">
        <v>90.51750670257691</v>
      </c>
      <c r="AM166" s="45">
        <v>94.857140490376139</v>
      </c>
      <c r="AN166" s="45"/>
      <c r="AO166" s="45"/>
      <c r="AP166" s="45"/>
      <c r="AQ166" s="45"/>
      <c r="AR166" s="45"/>
      <c r="AS166" s="45"/>
      <c r="AT166" s="45"/>
      <c r="AU166" s="45"/>
      <c r="AV166" s="45"/>
      <c r="AW166" s="45"/>
      <c r="AX166" s="45"/>
      <c r="AY166" s="45"/>
      <c r="AZ166" s="45"/>
      <c r="BA166" s="45"/>
      <c r="BB166" s="45"/>
      <c r="BC166" s="45"/>
      <c r="BD166" s="45"/>
      <c r="BE166" s="45"/>
      <c r="BF166" s="45"/>
      <c r="BG166" s="45"/>
      <c r="BH166" s="45"/>
      <c r="BI166" s="45"/>
      <c r="BJ166" s="45"/>
      <c r="BK166" s="45"/>
      <c r="BL166" s="45"/>
      <c r="BM166" s="45"/>
      <c r="BN166" s="45"/>
      <c r="BO166" s="45"/>
      <c r="BP166" s="45"/>
      <c r="BQ166" s="45"/>
      <c r="BR166" s="45"/>
      <c r="BS166" s="45"/>
      <c r="BT166" s="45"/>
      <c r="BU166" s="45"/>
      <c r="BV166" s="45"/>
      <c r="BW166" s="45"/>
      <c r="BX166" s="45"/>
      <c r="BY166" s="45"/>
      <c r="BZ166" s="45"/>
      <c r="CA166" s="45"/>
      <c r="CB166" s="45"/>
      <c r="CC166" s="45"/>
      <c r="CD166" s="45"/>
      <c r="CE166" s="45"/>
      <c r="CF166" s="45"/>
      <c r="CG166" s="45"/>
      <c r="CH166" s="45"/>
      <c r="CI166" s="45"/>
      <c r="CJ166" s="45"/>
      <c r="CK166" s="45"/>
      <c r="CL166" s="45"/>
      <c r="CM166" s="45"/>
      <c r="CN166" s="45"/>
      <c r="CO166" s="45"/>
      <c r="CP166" s="45"/>
      <c r="CQ166" s="45"/>
      <c r="CR166" s="45"/>
      <c r="CS166" s="45"/>
      <c r="CT166" s="45"/>
      <c r="CU166" s="45"/>
      <c r="CV166" s="45"/>
      <c r="CW166" s="45"/>
      <c r="CX166" s="24"/>
      <c r="CY166" s="24"/>
      <c r="CZ166" s="24"/>
      <c r="DA166" s="24"/>
      <c r="DB166" s="24"/>
      <c r="DC166" s="24"/>
      <c r="DD166" s="24"/>
      <c r="DE166" s="24"/>
      <c r="DF166" s="24"/>
      <c r="DG166" s="24"/>
      <c r="DH166" s="24"/>
      <c r="DI166" s="24"/>
      <c r="DJ166" s="24"/>
      <c r="DK166" s="24"/>
      <c r="DL166" s="24"/>
      <c r="DM166" s="24"/>
      <c r="DN166" s="24"/>
      <c r="DO166" s="24"/>
      <c r="DP166" s="24"/>
      <c r="DQ166" s="24"/>
      <c r="DR166" s="24"/>
      <c r="DS166" s="24"/>
      <c r="DT166" s="24"/>
      <c r="DU166" s="24"/>
      <c r="DV166" s="24"/>
      <c r="DW166" s="24"/>
      <c r="DX166" s="24"/>
      <c r="DY166" s="24"/>
      <c r="DZ166" s="24"/>
      <c r="EA166" s="24"/>
    </row>
    <row r="167" spans="1:131">
      <c r="A167" s="24" t="s">
        <v>433</v>
      </c>
      <c r="B167" s="24"/>
      <c r="C167" s="198">
        <v>3387.6594304155228</v>
      </c>
      <c r="D167" s="198">
        <v>984.136129944407</v>
      </c>
      <c r="E167" s="198">
        <v>196.82722598888142</v>
      </c>
      <c r="F167" s="198">
        <v>1180.9633559332883</v>
      </c>
      <c r="G167" s="198">
        <v>1742.8989630229121</v>
      </c>
      <c r="H167" s="198">
        <v>2233.8727357631246</v>
      </c>
      <c r="I167" s="198">
        <v>3053.8013665401668</v>
      </c>
      <c r="J167" s="198">
        <v>5.1357652878281117</v>
      </c>
      <c r="K167" s="198">
        <v>24.604269484975486</v>
      </c>
      <c r="L167" s="199">
        <v>1.2717666781433574</v>
      </c>
      <c r="M167" s="198">
        <v>32.182849854666841</v>
      </c>
      <c r="N167" s="198">
        <v>0.7907296823799802</v>
      </c>
      <c r="O167" s="198">
        <v>138.74994631814602</v>
      </c>
      <c r="P167" s="198">
        <v>102.57263046367333</v>
      </c>
      <c r="Q167" s="198">
        <v>95.551136204083235</v>
      </c>
      <c r="R167" s="198">
        <v>54.85338468096208</v>
      </c>
      <c r="S167" s="198">
        <v>44.063116304633951</v>
      </c>
      <c r="T167" s="198">
        <v>34.18008952615213</v>
      </c>
      <c r="U167" s="198">
        <v>35.666656573991425</v>
      </c>
      <c r="V167" s="198">
        <v>51.913996253193531</v>
      </c>
      <c r="W167" s="198">
        <v>65.589259324172076</v>
      </c>
      <c r="X167" s="198">
        <v>107.00147158494927</v>
      </c>
      <c r="Y167" s="198">
        <v>123.91057994840529</v>
      </c>
      <c r="Z167" s="198">
        <v>145.96416455566899</v>
      </c>
      <c r="AA167" s="198"/>
      <c r="AB167" s="198">
        <v>229.95621944845649</v>
      </c>
      <c r="AC167" s="198">
        <v>199.46775155725797</v>
      </c>
      <c r="AD167" s="198">
        <v>201.08507599777664</v>
      </c>
      <c r="AE167" s="198">
        <v>191.48326067641094</v>
      </c>
      <c r="AF167" s="198">
        <v>176.3658301455163</v>
      </c>
      <c r="AG167" s="198">
        <v>160.24473710889885</v>
      </c>
      <c r="AH167" s="198">
        <v>174.98311841629871</v>
      </c>
      <c r="AI167" s="198">
        <v>188.94738874269069</v>
      </c>
      <c r="AJ167" s="198">
        <v>203.66580529357771</v>
      </c>
      <c r="AK167" s="198">
        <v>210.19464898664282</v>
      </c>
      <c r="AL167" s="198">
        <v>220.34269352305554</v>
      </c>
      <c r="AM167" s="45">
        <v>230.90646878090988</v>
      </c>
      <c r="AN167" s="45"/>
      <c r="AO167" s="45"/>
      <c r="AP167" s="45"/>
      <c r="AQ167" s="45"/>
      <c r="AR167" s="45"/>
      <c r="AS167" s="45"/>
      <c r="AT167" s="45"/>
      <c r="AU167" s="45"/>
      <c r="AV167" s="45"/>
      <c r="AW167" s="45"/>
      <c r="AX167" s="45"/>
      <c r="AY167" s="45"/>
      <c r="AZ167" s="45"/>
      <c r="BA167" s="45"/>
      <c r="BB167" s="45"/>
      <c r="BC167" s="45"/>
      <c r="BD167" s="45"/>
      <c r="BE167" s="45"/>
      <c r="BF167" s="45"/>
      <c r="BG167" s="45"/>
      <c r="BH167" s="45"/>
      <c r="BI167" s="45"/>
      <c r="BJ167" s="45"/>
      <c r="BK167" s="45"/>
      <c r="BL167" s="45"/>
      <c r="BM167" s="45"/>
      <c r="BN167" s="45"/>
      <c r="BO167" s="45"/>
      <c r="BP167" s="45"/>
      <c r="BQ167" s="45"/>
      <c r="BR167" s="45"/>
      <c r="BS167" s="45"/>
      <c r="BT167" s="45"/>
      <c r="BU167" s="45"/>
      <c r="BV167" s="45"/>
      <c r="BW167" s="45"/>
      <c r="BX167" s="45"/>
      <c r="BY167" s="45"/>
      <c r="BZ167" s="45"/>
      <c r="CA167" s="45"/>
      <c r="CB167" s="45"/>
      <c r="CC167" s="45"/>
      <c r="CD167" s="45"/>
      <c r="CE167" s="45"/>
      <c r="CF167" s="45"/>
      <c r="CG167" s="45"/>
      <c r="CH167" s="45"/>
      <c r="CI167" s="45"/>
      <c r="CJ167" s="45"/>
      <c r="CK167" s="45"/>
      <c r="CL167" s="45"/>
      <c r="CM167" s="45"/>
      <c r="CN167" s="45"/>
      <c r="CO167" s="45"/>
      <c r="CP167" s="45"/>
      <c r="CQ167" s="45"/>
      <c r="CR167" s="45"/>
      <c r="CS167" s="45"/>
      <c r="CT167" s="45"/>
      <c r="CU167" s="45"/>
      <c r="CV167" s="45"/>
      <c r="CW167" s="45"/>
      <c r="CX167" s="24"/>
      <c r="CY167" s="24"/>
      <c r="CZ167" s="24"/>
      <c r="DA167" s="24"/>
      <c r="DB167" s="24"/>
      <c r="DC167" s="24"/>
      <c r="DD167" s="24"/>
      <c r="DE167" s="24"/>
      <c r="DF167" s="24"/>
      <c r="DG167" s="24"/>
      <c r="DH167" s="24"/>
      <c r="DI167" s="24"/>
      <c r="DJ167" s="24"/>
      <c r="DK167" s="24"/>
      <c r="DL167" s="24"/>
      <c r="DM167" s="24"/>
      <c r="DN167" s="24"/>
      <c r="DO167" s="24"/>
      <c r="DP167" s="24"/>
      <c r="DQ167" s="24"/>
      <c r="DR167" s="24"/>
      <c r="DS167" s="24"/>
      <c r="DT167" s="24"/>
      <c r="DU167" s="24"/>
      <c r="DV167" s="24"/>
      <c r="DW167" s="24"/>
      <c r="DX167" s="24"/>
      <c r="DY167" s="24"/>
      <c r="DZ167" s="24"/>
      <c r="EA167" s="24"/>
    </row>
    <row r="168" spans="1:131">
      <c r="A168" s="24" t="s">
        <v>434</v>
      </c>
      <c r="B168" s="24"/>
      <c r="C168" s="198">
        <v>3387.6594304155228</v>
      </c>
      <c r="D168" s="198">
        <v>1014.9694632777404</v>
      </c>
      <c r="E168" s="198">
        <v>202.99389265554808</v>
      </c>
      <c r="F168" s="198">
        <v>1217.9633559332885</v>
      </c>
      <c r="G168" s="198">
        <v>1799.5003911624831</v>
      </c>
      <c r="H168" s="198">
        <v>2233.8727357631246</v>
      </c>
      <c r="I168" s="198">
        <v>3149.4780443933018</v>
      </c>
      <c r="J168" s="198">
        <v>5.7118735054652721</v>
      </c>
      <c r="K168" s="198">
        <v>25.833682369935676</v>
      </c>
      <c r="L168" s="199">
        <v>1.2331322094936441</v>
      </c>
      <c r="M168" s="198">
        <v>32.182849854666841</v>
      </c>
      <c r="N168" s="198">
        <v>0.7907296823799802</v>
      </c>
      <c r="O168" s="198">
        <v>138.74994631814602</v>
      </c>
      <c r="P168" s="198">
        <v>102.57263046367333</v>
      </c>
      <c r="Q168" s="198">
        <v>95.551136204083235</v>
      </c>
      <c r="R168" s="198">
        <v>54.85338468096208</v>
      </c>
      <c r="S168" s="198">
        <v>44.063116304633951</v>
      </c>
      <c r="T168" s="198">
        <v>34.18008952615213</v>
      </c>
      <c r="U168" s="198">
        <v>35.666656573991425</v>
      </c>
      <c r="V168" s="198">
        <v>51.913996253193531</v>
      </c>
      <c r="W168" s="198">
        <v>65.589259324172076</v>
      </c>
      <c r="X168" s="198">
        <v>107.00147158494927</v>
      </c>
      <c r="Y168" s="198">
        <v>123.91057994840529</v>
      </c>
      <c r="Z168" s="198">
        <v>145.96416455566899</v>
      </c>
      <c r="AA168" s="198"/>
      <c r="AB168" s="198">
        <v>229.95621944845649</v>
      </c>
      <c r="AC168" s="198">
        <v>199.46775155725797</v>
      </c>
      <c r="AD168" s="198">
        <v>201.08507599777664</v>
      </c>
      <c r="AE168" s="198">
        <v>191.48326067641094</v>
      </c>
      <c r="AF168" s="198">
        <v>176.3658301455163</v>
      </c>
      <c r="AG168" s="198">
        <v>160.24473710889885</v>
      </c>
      <c r="AH168" s="198">
        <v>174.98311841629871</v>
      </c>
      <c r="AI168" s="198">
        <v>188.94738874269069</v>
      </c>
      <c r="AJ168" s="198">
        <v>203.66580529357771</v>
      </c>
      <c r="AK168" s="198">
        <v>210.19464898664282</v>
      </c>
      <c r="AL168" s="198">
        <v>220.34269352305554</v>
      </c>
      <c r="AM168" s="45">
        <v>230.90646878090988</v>
      </c>
      <c r="AN168" s="45"/>
      <c r="AO168" s="45"/>
      <c r="AP168" s="45"/>
      <c r="AQ168" s="45"/>
      <c r="AR168" s="45"/>
      <c r="AS168" s="45"/>
      <c r="AT168" s="45"/>
      <c r="AU168" s="45"/>
      <c r="AV168" s="45"/>
      <c r="AW168" s="45"/>
      <c r="AX168" s="45"/>
      <c r="AY168" s="45"/>
      <c r="AZ168" s="45"/>
      <c r="BA168" s="45"/>
      <c r="BB168" s="45"/>
      <c r="BC168" s="45"/>
      <c r="BD168" s="45"/>
      <c r="BE168" s="45"/>
      <c r="BF168" s="45"/>
      <c r="BG168" s="45"/>
      <c r="BH168" s="45"/>
      <c r="BI168" s="45"/>
      <c r="BJ168" s="45"/>
      <c r="BK168" s="45"/>
      <c r="BL168" s="45"/>
      <c r="BM168" s="45"/>
      <c r="BN168" s="45"/>
      <c r="BO168" s="45"/>
      <c r="BP168" s="45"/>
      <c r="BQ168" s="45"/>
      <c r="BR168" s="45"/>
      <c r="BS168" s="45"/>
      <c r="BT168" s="45"/>
      <c r="BU168" s="45"/>
      <c r="BV168" s="45"/>
      <c r="BW168" s="45"/>
      <c r="BX168" s="45"/>
      <c r="BY168" s="45"/>
      <c r="BZ168" s="45"/>
      <c r="CA168" s="45"/>
      <c r="CB168" s="45"/>
      <c r="CC168" s="45"/>
      <c r="CD168" s="45"/>
      <c r="CE168" s="45"/>
      <c r="CF168" s="45"/>
      <c r="CG168" s="45"/>
      <c r="CH168" s="45"/>
      <c r="CI168" s="45"/>
      <c r="CJ168" s="45"/>
      <c r="CK168" s="45"/>
      <c r="CL168" s="45"/>
      <c r="CM168" s="45"/>
      <c r="CN168" s="45"/>
      <c r="CO168" s="45"/>
      <c r="CP168" s="45"/>
      <c r="CQ168" s="45"/>
      <c r="CR168" s="45"/>
      <c r="CS168" s="45"/>
      <c r="CT168" s="45"/>
      <c r="CU168" s="45"/>
      <c r="CV168" s="45"/>
      <c r="CW168" s="45"/>
      <c r="CX168" s="24"/>
      <c r="CY168" s="24"/>
      <c r="CZ168" s="24"/>
      <c r="DA168" s="24"/>
      <c r="DB168" s="24"/>
      <c r="DC168" s="24"/>
      <c r="DD168" s="24"/>
      <c r="DE168" s="24"/>
      <c r="DF168" s="24"/>
      <c r="DG168" s="24"/>
      <c r="DH168" s="24"/>
      <c r="DI168" s="24"/>
      <c r="DJ168" s="24"/>
      <c r="DK168" s="24"/>
      <c r="DL168" s="24"/>
      <c r="DM168" s="24"/>
      <c r="DN168" s="24"/>
      <c r="DO168" s="24"/>
      <c r="DP168" s="24"/>
      <c r="DQ168" s="24"/>
      <c r="DR168" s="24"/>
      <c r="DS168" s="24"/>
      <c r="DT168" s="24"/>
      <c r="DU168" s="24"/>
      <c r="DV168" s="24"/>
      <c r="DW168" s="24"/>
      <c r="DX168" s="24"/>
      <c r="DY168" s="24"/>
      <c r="DZ168" s="24"/>
      <c r="EA168" s="24"/>
    </row>
    <row r="169" spans="1:131">
      <c r="A169" s="24" t="s">
        <v>427</v>
      </c>
      <c r="B169" s="24"/>
      <c r="C169" s="198">
        <v>797.11017216400808</v>
      </c>
      <c r="D169" s="198">
        <v>260.08403248610176</v>
      </c>
      <c r="E169" s="198">
        <v>52.016806497220358</v>
      </c>
      <c r="F169" s="198">
        <v>312.10083898332209</v>
      </c>
      <c r="G169" s="198">
        <v>445.54917252004157</v>
      </c>
      <c r="H169" s="198">
        <v>525.62623769362187</v>
      </c>
      <c r="I169" s="198">
        <v>3429.8939405974252</v>
      </c>
      <c r="J169" s="198">
        <v>7.4003717454153373</v>
      </c>
      <c r="K169" s="198">
        <v>27.876513737276213</v>
      </c>
      <c r="L169" s="199">
        <v>1.1677210399474411</v>
      </c>
      <c r="M169" s="198">
        <v>7.5725666984285294</v>
      </c>
      <c r="N169" s="198">
        <v>0.18605727234504985</v>
      </c>
      <c r="O169" s="198">
        <v>32.647612863444898</v>
      </c>
      <c r="P169" s="198">
        <v>24.135155498256541</v>
      </c>
      <c r="Q169" s="198">
        <v>22.483010525282101</v>
      </c>
      <c r="R169" s="198">
        <v>12.906902776073075</v>
      </c>
      <c r="S169" s="198">
        <v>10.367972030577274</v>
      </c>
      <c r="T169" s="198">
        <v>8.0425136016197722</v>
      </c>
      <c r="U169" s="198">
        <v>8.3923001547772653</v>
      </c>
      <c r="V169" s="198">
        <v>12.215269964734631</v>
      </c>
      <c r="W169" s="198">
        <v>15.433034773978974</v>
      </c>
      <c r="X169" s="198">
        <v>25.177253849989107</v>
      </c>
      <c r="Y169" s="198">
        <v>29.155936641334829</v>
      </c>
      <c r="Z169" s="198">
        <v>34.345105441863652</v>
      </c>
      <c r="AA169" s="198"/>
      <c r="AB169" s="198">
        <v>54.108284920559541</v>
      </c>
      <c r="AC169" s="198">
        <v>46.934403251235665</v>
      </c>
      <c r="AD169" s="198">
        <v>47.3149567837579</v>
      </c>
      <c r="AE169" s="198">
        <v>45.055666904975126</v>
      </c>
      <c r="AF169" s="198">
        <v>41.498562685770651</v>
      </c>
      <c r="AG169" s="198">
        <v>37.705298483792141</v>
      </c>
      <c r="AH169" s="198">
        <v>41.173213102328432</v>
      </c>
      <c r="AI169" s="198">
        <v>44.458980799068165</v>
      </c>
      <c r="AJ169" s="198">
        <v>47.92219774629833</v>
      </c>
      <c r="AK169" s="198">
        <v>49.458422926871663</v>
      </c>
      <c r="AL169" s="198">
        <v>51.846239557705708</v>
      </c>
      <c r="AM169" s="45">
        <v>54.331876879712809</v>
      </c>
      <c r="AN169" s="45"/>
      <c r="AO169" s="45"/>
      <c r="AP169" s="45"/>
      <c r="AQ169" s="45"/>
      <c r="AR169" s="45"/>
      <c r="AS169" s="45"/>
      <c r="AT169" s="45"/>
      <c r="AU169" s="45"/>
      <c r="AV169" s="45"/>
      <c r="AW169" s="45"/>
      <c r="AX169" s="45"/>
      <c r="AY169" s="45"/>
      <c r="AZ169" s="45"/>
      <c r="BA169" s="45"/>
      <c r="BB169" s="45"/>
      <c r="BC169" s="45"/>
      <c r="BD169" s="45"/>
      <c r="BE169" s="45"/>
      <c r="BF169" s="45"/>
      <c r="BG169" s="45"/>
      <c r="BH169" s="45"/>
      <c r="BI169" s="45"/>
      <c r="BJ169" s="45"/>
      <c r="BK169" s="45"/>
      <c r="BL169" s="45"/>
      <c r="BM169" s="45"/>
      <c r="BN169" s="45"/>
      <c r="BO169" s="45"/>
      <c r="BP169" s="45"/>
      <c r="BQ169" s="45"/>
      <c r="BR169" s="45"/>
      <c r="BS169" s="45"/>
      <c r="BT169" s="45"/>
      <c r="BU169" s="45"/>
      <c r="BV169" s="45"/>
      <c r="BW169" s="45"/>
      <c r="BX169" s="45"/>
      <c r="BY169" s="45"/>
      <c r="BZ169" s="45"/>
      <c r="CA169" s="45"/>
      <c r="CB169" s="45"/>
      <c r="CC169" s="45"/>
      <c r="CD169" s="45"/>
      <c r="CE169" s="45"/>
      <c r="CF169" s="45"/>
      <c r="CG169" s="45"/>
      <c r="CH169" s="45"/>
      <c r="CI169" s="45"/>
      <c r="CJ169" s="45"/>
      <c r="CK169" s="45"/>
      <c r="CL169" s="45"/>
      <c r="CM169" s="45"/>
      <c r="CN169" s="45"/>
      <c r="CO169" s="45"/>
      <c r="CP169" s="45"/>
      <c r="CQ169" s="45"/>
      <c r="CR169" s="45"/>
      <c r="CS169" s="45"/>
      <c r="CT169" s="45"/>
      <c r="CU169" s="45"/>
      <c r="CV169" s="45"/>
      <c r="CW169" s="45"/>
      <c r="CX169" s="24"/>
      <c r="CY169" s="24"/>
      <c r="CZ169" s="24"/>
      <c r="DA169" s="24"/>
      <c r="DB169" s="24"/>
      <c r="DC169" s="24"/>
      <c r="DD169" s="24"/>
      <c r="DE169" s="24"/>
      <c r="DF169" s="24"/>
      <c r="DG169" s="24"/>
      <c r="DH169" s="24"/>
      <c r="DI169" s="24"/>
      <c r="DJ169" s="24"/>
      <c r="DK169" s="24"/>
      <c r="DL169" s="24"/>
      <c r="DM169" s="24"/>
      <c r="DN169" s="24"/>
      <c r="DO169" s="24"/>
      <c r="DP169" s="24"/>
      <c r="DQ169" s="24"/>
      <c r="DR169" s="24"/>
      <c r="DS169" s="24"/>
      <c r="DT169" s="24"/>
      <c r="DU169" s="24"/>
      <c r="DV169" s="24"/>
      <c r="DW169" s="24"/>
      <c r="DX169" s="24"/>
      <c r="DY169" s="24"/>
      <c r="DZ169" s="24"/>
      <c r="EA169" s="24"/>
    </row>
    <row r="170" spans="1:131">
      <c r="A170" s="24" t="s">
        <v>431</v>
      </c>
      <c r="B170" s="24"/>
      <c r="C170" s="198">
        <v>797.11017216400808</v>
      </c>
      <c r="D170" s="198">
        <v>285.91736581943508</v>
      </c>
      <c r="E170" s="198">
        <v>57.183473163887015</v>
      </c>
      <c r="F170" s="198">
        <v>343.10083898332209</v>
      </c>
      <c r="G170" s="198">
        <v>492.97199069103345</v>
      </c>
      <c r="H170" s="198">
        <v>525.62623769362187</v>
      </c>
      <c r="I170" s="198">
        <v>3770.574576076915</v>
      </c>
      <c r="J170" s="198">
        <v>9.4517485082128658</v>
      </c>
      <c r="K170" s="198">
        <v>32.254144444289594</v>
      </c>
      <c r="L170" s="199">
        <v>1.0622145878337224</v>
      </c>
      <c r="M170" s="198">
        <v>7.5725666984285294</v>
      </c>
      <c r="N170" s="198">
        <v>0.18605727234504985</v>
      </c>
      <c r="O170" s="198">
        <v>32.647612863444898</v>
      </c>
      <c r="P170" s="198">
        <v>24.135155498256541</v>
      </c>
      <c r="Q170" s="198">
        <v>22.483010525282101</v>
      </c>
      <c r="R170" s="198">
        <v>12.906902776073075</v>
      </c>
      <c r="S170" s="198">
        <v>10.367972030577274</v>
      </c>
      <c r="T170" s="198">
        <v>8.0425136016197722</v>
      </c>
      <c r="U170" s="198">
        <v>8.3923001547772653</v>
      </c>
      <c r="V170" s="198">
        <v>12.215269964734631</v>
      </c>
      <c r="W170" s="198">
        <v>15.433034773978974</v>
      </c>
      <c r="X170" s="198">
        <v>25.177253849989107</v>
      </c>
      <c r="Y170" s="198">
        <v>29.155936641334829</v>
      </c>
      <c r="Z170" s="198">
        <v>34.345105441863652</v>
      </c>
      <c r="AA170" s="198"/>
      <c r="AB170" s="198">
        <v>54.108284920559541</v>
      </c>
      <c r="AC170" s="198">
        <v>46.934403251235665</v>
      </c>
      <c r="AD170" s="198">
        <v>47.3149567837579</v>
      </c>
      <c r="AE170" s="198">
        <v>45.055666904975126</v>
      </c>
      <c r="AF170" s="198">
        <v>41.498562685770651</v>
      </c>
      <c r="AG170" s="198">
        <v>37.705298483792141</v>
      </c>
      <c r="AH170" s="198">
        <v>41.173213102328432</v>
      </c>
      <c r="AI170" s="198">
        <v>44.458980799068165</v>
      </c>
      <c r="AJ170" s="198">
        <v>47.92219774629833</v>
      </c>
      <c r="AK170" s="198">
        <v>49.458422926871663</v>
      </c>
      <c r="AL170" s="198">
        <v>51.846239557705708</v>
      </c>
      <c r="AM170" s="45">
        <v>54.331876879712809</v>
      </c>
      <c r="AN170" s="45"/>
      <c r="AO170" s="45"/>
      <c r="AP170" s="45"/>
      <c r="AQ170" s="45"/>
      <c r="AR170" s="45"/>
      <c r="AS170" s="45"/>
      <c r="AT170" s="45"/>
      <c r="AU170" s="45"/>
      <c r="AV170" s="45"/>
      <c r="AW170" s="45"/>
      <c r="AX170" s="45"/>
      <c r="AY170" s="45"/>
      <c r="AZ170" s="45"/>
      <c r="BA170" s="45"/>
      <c r="BB170" s="45"/>
      <c r="BC170" s="45"/>
      <c r="BD170" s="45"/>
      <c r="BE170" s="45"/>
      <c r="BF170" s="45"/>
      <c r="BG170" s="45"/>
      <c r="BH170" s="45"/>
      <c r="BI170" s="45"/>
      <c r="BJ170" s="45"/>
      <c r="BK170" s="45"/>
      <c r="BL170" s="45"/>
      <c r="BM170" s="45"/>
      <c r="BN170" s="45"/>
      <c r="BO170" s="45"/>
      <c r="BP170" s="45"/>
      <c r="BQ170" s="45"/>
      <c r="BR170" s="45"/>
      <c r="BS170" s="45"/>
      <c r="BT170" s="45"/>
      <c r="BU170" s="45"/>
      <c r="BV170" s="45"/>
      <c r="BW170" s="45"/>
      <c r="BX170" s="45"/>
      <c r="BY170" s="45"/>
      <c r="BZ170" s="45"/>
      <c r="CA170" s="45"/>
      <c r="CB170" s="45"/>
      <c r="CC170" s="45"/>
      <c r="CD170" s="45"/>
      <c r="CE170" s="45"/>
      <c r="CF170" s="45"/>
      <c r="CG170" s="45"/>
      <c r="CH170" s="45"/>
      <c r="CI170" s="45"/>
      <c r="CJ170" s="45"/>
      <c r="CK170" s="45"/>
      <c r="CL170" s="45"/>
      <c r="CM170" s="45"/>
      <c r="CN170" s="45"/>
      <c r="CO170" s="45"/>
      <c r="CP170" s="45"/>
      <c r="CQ170" s="45"/>
      <c r="CR170" s="45"/>
      <c r="CS170" s="45"/>
      <c r="CT170" s="45"/>
      <c r="CU170" s="45"/>
      <c r="CV170" s="45"/>
      <c r="CW170" s="45"/>
      <c r="CX170" s="24"/>
      <c r="CY170" s="24"/>
      <c r="CZ170" s="24"/>
      <c r="DA170" s="24"/>
      <c r="DB170" s="24"/>
      <c r="DC170" s="24"/>
      <c r="DD170" s="24"/>
      <c r="DE170" s="24"/>
      <c r="DF170" s="24"/>
      <c r="DG170" s="24"/>
      <c r="DH170" s="24"/>
      <c r="DI170" s="24"/>
      <c r="DJ170" s="24"/>
      <c r="DK170" s="24"/>
      <c r="DL170" s="24"/>
      <c r="DM170" s="24"/>
      <c r="DN170" s="24"/>
      <c r="DO170" s="24"/>
      <c r="DP170" s="24"/>
      <c r="DQ170" s="24"/>
      <c r="DR170" s="24"/>
      <c r="DS170" s="24"/>
      <c r="DT170" s="24"/>
      <c r="DU170" s="24"/>
      <c r="DV170" s="24"/>
      <c r="DW170" s="24"/>
      <c r="DX170" s="24"/>
      <c r="DY170" s="24"/>
      <c r="DZ170" s="24"/>
      <c r="EA170" s="24"/>
    </row>
    <row r="171" spans="1:131">
      <c r="A171" s="24" t="s">
        <v>436</v>
      </c>
      <c r="B171" s="24"/>
      <c r="C171" s="198">
        <v>73.145658131418585</v>
      </c>
      <c r="D171" s="198">
        <v>30.451059986919489</v>
      </c>
      <c r="E171" s="198">
        <v>6.0902119973838982</v>
      </c>
      <c r="F171" s="198">
        <v>36.541271984303386</v>
      </c>
      <c r="G171" s="198">
        <v>48.28035434486889</v>
      </c>
      <c r="H171" s="198">
        <v>48.233328879575211</v>
      </c>
      <c r="I171" s="198">
        <v>4376.2206911499916</v>
      </c>
      <c r="J171" s="198">
        <v>13.09859026424895</v>
      </c>
      <c r="K171" s="198">
        <v>35.315784721114987</v>
      </c>
      <c r="L171" s="200">
        <v>0.99945986332258718</v>
      </c>
      <c r="M171" s="198">
        <v>0.69488559328866673</v>
      </c>
      <c r="N171" s="198">
        <v>1.7073275578542112E-2</v>
      </c>
      <c r="O171" s="198">
        <v>2.9958608141122793</v>
      </c>
      <c r="P171" s="198">
        <v>2.214727517817785</v>
      </c>
      <c r="Q171" s="198">
        <v>2.0631208320711307</v>
      </c>
      <c r="R171" s="198">
        <v>1.1843832019243763</v>
      </c>
      <c r="S171" s="198">
        <v>0.95140190672247182</v>
      </c>
      <c r="T171" s="198">
        <v>0.73800958884303935</v>
      </c>
      <c r="U171" s="198">
        <v>0.7701072442609419</v>
      </c>
      <c r="V171" s="198">
        <v>1.1209165207336302</v>
      </c>
      <c r="W171" s="198">
        <v>1.4161900386280537</v>
      </c>
      <c r="X171" s="198">
        <v>2.3103541607048128</v>
      </c>
      <c r="Y171" s="198">
        <v>2.6754522129339762</v>
      </c>
      <c r="Z171" s="198">
        <v>3.1516287570611889</v>
      </c>
      <c r="AA171" s="198"/>
      <c r="AB171" s="198">
        <v>4.9651682403349291</v>
      </c>
      <c r="AC171" s="198">
        <v>4.3068674001448626</v>
      </c>
      <c r="AD171" s="198">
        <v>4.3417883427731647</v>
      </c>
      <c r="AE171" s="198">
        <v>4.1344678858724881</v>
      </c>
      <c r="AF171" s="198">
        <v>3.8080553794941068</v>
      </c>
      <c r="AG171" s="198">
        <v>3.4599719950269212</v>
      </c>
      <c r="AH171" s="198">
        <v>3.7782001471376341</v>
      </c>
      <c r="AI171" s="198">
        <v>4.0797138513129365</v>
      </c>
      <c r="AJ171" s="198">
        <v>4.3975109284338041</v>
      </c>
      <c r="AK171" s="198">
        <v>4.53848040266098</v>
      </c>
      <c r="AL171" s="198">
        <v>4.7575949304374063</v>
      </c>
      <c r="AM171" s="45">
        <v>4.9856858319756912</v>
      </c>
      <c r="AN171" s="45"/>
      <c r="AO171" s="45"/>
      <c r="AP171" s="45"/>
      <c r="AQ171" s="45"/>
      <c r="AR171" s="45"/>
      <c r="AS171" s="45"/>
      <c r="AT171" s="45"/>
      <c r="AU171" s="45"/>
      <c r="AV171" s="45"/>
      <c r="AW171" s="45"/>
      <c r="AX171" s="45"/>
      <c r="AY171" s="45"/>
      <c r="AZ171" s="45"/>
      <c r="BA171" s="45"/>
      <c r="BB171" s="45"/>
      <c r="BC171" s="45"/>
      <c r="BD171" s="45"/>
      <c r="BE171" s="45"/>
      <c r="BF171" s="45"/>
      <c r="BG171" s="45"/>
      <c r="BH171" s="45"/>
      <c r="BI171" s="45"/>
      <c r="BJ171" s="45"/>
      <c r="BK171" s="45"/>
      <c r="BL171" s="45"/>
      <c r="BM171" s="45"/>
      <c r="BN171" s="45"/>
      <c r="BO171" s="45"/>
      <c r="BP171" s="45"/>
      <c r="BQ171" s="45"/>
      <c r="BR171" s="45"/>
      <c r="BS171" s="45"/>
      <c r="BT171" s="45"/>
      <c r="BU171" s="45"/>
      <c r="BV171" s="45"/>
      <c r="BW171" s="45"/>
      <c r="BX171" s="45"/>
      <c r="BY171" s="45"/>
      <c r="BZ171" s="45"/>
      <c r="CA171" s="45"/>
      <c r="CB171" s="45"/>
      <c r="CC171" s="45"/>
      <c r="CD171" s="45"/>
      <c r="CE171" s="45"/>
      <c r="CF171" s="45"/>
      <c r="CG171" s="45"/>
      <c r="CH171" s="45"/>
      <c r="CI171" s="45"/>
      <c r="CJ171" s="45"/>
      <c r="CK171" s="45"/>
      <c r="CL171" s="45"/>
      <c r="CM171" s="45"/>
      <c r="CN171" s="45"/>
      <c r="CO171" s="45"/>
      <c r="CP171" s="45"/>
      <c r="CQ171" s="45"/>
      <c r="CR171" s="45"/>
      <c r="CS171" s="45"/>
      <c r="CT171" s="45"/>
      <c r="CU171" s="45"/>
      <c r="CV171" s="45"/>
      <c r="CW171" s="45"/>
      <c r="CX171" s="24"/>
      <c r="CY171" s="24"/>
      <c r="CZ171" s="24"/>
      <c r="DA171" s="24"/>
      <c r="DB171" s="24"/>
      <c r="DC171" s="24"/>
      <c r="DD171" s="24"/>
      <c r="DE171" s="24"/>
      <c r="DF171" s="24"/>
      <c r="DG171" s="24"/>
      <c r="DH171" s="24"/>
      <c r="DI171" s="24"/>
      <c r="DJ171" s="24"/>
      <c r="DK171" s="24"/>
      <c r="DL171" s="24"/>
      <c r="DM171" s="24"/>
      <c r="DN171" s="24"/>
      <c r="DO171" s="24"/>
      <c r="DP171" s="24"/>
      <c r="DQ171" s="24"/>
      <c r="DR171" s="24"/>
      <c r="DS171" s="24"/>
      <c r="DT171" s="24"/>
      <c r="DU171" s="24"/>
      <c r="DV171" s="24"/>
      <c r="DW171" s="24"/>
      <c r="DX171" s="24"/>
      <c r="DY171" s="24"/>
      <c r="DZ171" s="24"/>
      <c r="EA171" s="24"/>
    </row>
    <row r="172" spans="1:131">
      <c r="A172" s="24"/>
      <c r="B172" s="24"/>
      <c r="C172" s="45"/>
      <c r="D172" s="45"/>
      <c r="E172" s="45"/>
      <c r="F172" s="45"/>
      <c r="G172" s="45"/>
      <c r="H172" s="45"/>
      <c r="I172" s="45"/>
      <c r="J172" s="45"/>
      <c r="K172" s="45"/>
      <c r="L172" s="45"/>
      <c r="M172" s="45"/>
      <c r="N172" s="45"/>
      <c r="O172" s="45"/>
      <c r="P172" s="45"/>
      <c r="Q172" s="45"/>
      <c r="R172" s="45"/>
      <c r="S172" s="45"/>
      <c r="T172" s="45"/>
      <c r="U172" s="45"/>
      <c r="V172" s="45"/>
      <c r="W172" s="45"/>
      <c r="X172" s="45"/>
      <c r="Y172" s="45"/>
      <c r="Z172" s="45"/>
      <c r="AA172" s="45"/>
      <c r="AB172" s="45"/>
      <c r="AC172" s="45"/>
      <c r="AD172" s="45"/>
      <c r="AE172" s="45"/>
      <c r="AF172" s="45"/>
      <c r="AG172" s="45"/>
      <c r="AH172" s="45"/>
      <c r="AI172" s="45"/>
      <c r="AJ172" s="45"/>
      <c r="AK172" s="45"/>
      <c r="AL172" s="45"/>
      <c r="AM172" s="45"/>
      <c r="AN172" s="45"/>
      <c r="AO172" s="45"/>
      <c r="AP172" s="45"/>
      <c r="AQ172" s="45"/>
      <c r="AR172" s="45"/>
      <c r="AS172" s="45"/>
      <c r="AT172" s="45"/>
      <c r="AU172" s="45"/>
      <c r="AV172" s="45"/>
      <c r="AW172" s="45"/>
      <c r="AX172" s="45"/>
      <c r="AY172" s="45"/>
      <c r="AZ172" s="45"/>
      <c r="BA172" s="45"/>
      <c r="BB172" s="45"/>
      <c r="BC172" s="45"/>
      <c r="BD172" s="45"/>
      <c r="BE172" s="45"/>
      <c r="BF172" s="45"/>
      <c r="BG172" s="45"/>
      <c r="BH172" s="45"/>
      <c r="BI172" s="45"/>
      <c r="BJ172" s="45"/>
      <c r="BK172" s="45"/>
      <c r="BL172" s="45"/>
      <c r="BM172" s="45"/>
      <c r="BN172" s="45"/>
      <c r="BO172" s="45"/>
      <c r="BP172" s="45"/>
      <c r="BQ172" s="45"/>
      <c r="BR172" s="45"/>
      <c r="BS172" s="45"/>
      <c r="BT172" s="45"/>
      <c r="BU172" s="45"/>
      <c r="BV172" s="45"/>
      <c r="BW172" s="45"/>
      <c r="BX172" s="45"/>
      <c r="BY172" s="45"/>
      <c r="BZ172" s="45"/>
      <c r="CA172" s="45"/>
      <c r="CB172" s="45"/>
      <c r="CC172" s="45"/>
      <c r="CD172" s="45"/>
      <c r="CE172" s="45"/>
      <c r="CF172" s="45"/>
      <c r="CG172" s="45"/>
      <c r="CH172" s="45"/>
      <c r="CI172" s="45"/>
      <c r="CJ172" s="45"/>
      <c r="CK172" s="45"/>
      <c r="CL172" s="45"/>
      <c r="CM172" s="45"/>
      <c r="CN172" s="45"/>
      <c r="CO172" s="45"/>
      <c r="CP172" s="45"/>
      <c r="CQ172" s="45"/>
      <c r="CR172" s="45"/>
      <c r="CS172" s="45"/>
      <c r="CT172" s="45"/>
      <c r="CU172" s="45"/>
      <c r="CV172" s="45"/>
      <c r="CW172" s="45"/>
      <c r="CX172" s="24"/>
      <c r="CY172" s="24"/>
      <c r="CZ172" s="24"/>
      <c r="DA172" s="24"/>
      <c r="DB172" s="24"/>
      <c r="DC172" s="24"/>
      <c r="DD172" s="24"/>
      <c r="DE172" s="24"/>
      <c r="DF172" s="24"/>
      <c r="DG172" s="24"/>
      <c r="DH172" s="24"/>
      <c r="DI172" s="24"/>
      <c r="DJ172" s="24"/>
      <c r="DK172" s="24"/>
      <c r="DL172" s="24"/>
      <c r="DM172" s="24"/>
      <c r="DN172" s="24"/>
      <c r="DO172" s="24"/>
      <c r="DP172" s="24"/>
      <c r="DQ172" s="24"/>
      <c r="DR172" s="24"/>
      <c r="DS172" s="24"/>
      <c r="DT172" s="24"/>
      <c r="DU172" s="24"/>
      <c r="DV172" s="24"/>
      <c r="DW172" s="24"/>
      <c r="DX172" s="24"/>
      <c r="DY172" s="24"/>
      <c r="DZ172" s="24"/>
      <c r="EA172" s="24"/>
    </row>
  </sheetData>
  <mergeCells count="3">
    <mergeCell ref="I6:N6"/>
    <mergeCell ref="O6:P6"/>
    <mergeCell ref="R6:T6"/>
  </mergeCells>
  <pageMargins left="0.7" right="0.7" top="0.75" bottom="0.75" header="0.3" footer="0.3"/>
  <legacyDrawing r:id="rId1"/>
</worksheet>
</file>

<file path=xl/worksheets/sheet9.xml><?xml version="1.0" encoding="utf-8"?>
<worksheet xmlns="http://schemas.openxmlformats.org/spreadsheetml/2006/main" xmlns:r="http://schemas.openxmlformats.org/officeDocument/2006/relationships">
  <sheetPr>
    <tabColor rgb="FFFFFF00"/>
  </sheetPr>
  <dimension ref="A1:EA28"/>
  <sheetViews>
    <sheetView zoomScale="90" zoomScaleNormal="90" workbookViewId="0">
      <selection sqref="A1:EA28"/>
    </sheetView>
  </sheetViews>
  <sheetFormatPr defaultRowHeight="12.75"/>
  <cols>
    <col min="1" max="1" width="44.28515625" customWidth="1"/>
    <col min="9" max="9" width="17" customWidth="1"/>
    <col min="10" max="10" width="20.42578125" customWidth="1"/>
    <col min="13" max="13" width="12" customWidth="1"/>
  </cols>
  <sheetData>
    <row r="1" spans="1:131" ht="13.5" thickBot="1">
      <c r="A1" s="187" t="s">
        <v>384</v>
      </c>
      <c r="B1" s="188"/>
      <c r="C1" s="45"/>
      <c r="D1" s="45"/>
      <c r="E1" s="45"/>
      <c r="F1" s="45"/>
      <c r="G1" s="45"/>
      <c r="H1" s="45"/>
      <c r="I1" s="45"/>
      <c r="J1" s="45"/>
      <c r="K1" s="45"/>
      <c r="L1" s="45"/>
      <c r="M1" s="45"/>
      <c r="N1" s="45"/>
      <c r="O1" s="45"/>
      <c r="P1" s="45"/>
      <c r="Q1" s="45"/>
      <c r="R1" s="45"/>
      <c r="S1" s="45"/>
      <c r="T1" s="45"/>
      <c r="U1" s="45"/>
      <c r="V1" s="45"/>
      <c r="W1" s="45"/>
      <c r="X1" s="45"/>
      <c r="Y1" s="45"/>
      <c r="Z1" s="45"/>
      <c r="AA1" s="45"/>
      <c r="AB1" s="45"/>
      <c r="AC1" s="45"/>
      <c r="AD1" s="45"/>
      <c r="AE1" s="45"/>
      <c r="AF1" s="45"/>
      <c r="AG1" s="45"/>
      <c r="AH1" s="45"/>
      <c r="AI1" s="45"/>
      <c r="AJ1" s="45"/>
      <c r="AK1" s="45"/>
      <c r="AL1" s="45"/>
      <c r="AM1" s="45"/>
      <c r="AN1" s="45"/>
      <c r="AO1" s="45"/>
      <c r="AP1" s="45"/>
      <c r="AQ1" s="45"/>
      <c r="AR1" s="45"/>
      <c r="AS1" s="45"/>
      <c r="AT1" s="45"/>
      <c r="AU1" s="45"/>
      <c r="AV1" s="45"/>
      <c r="AW1" s="45"/>
      <c r="AX1" s="45"/>
      <c r="AY1" s="45"/>
      <c r="AZ1" s="45"/>
      <c r="BA1" s="45"/>
      <c r="BB1" s="45"/>
      <c r="BC1" s="45"/>
      <c r="BD1" s="45"/>
      <c r="BE1" s="45"/>
      <c r="BF1" s="45"/>
      <c r="BG1" s="45"/>
      <c r="BH1" s="45"/>
      <c r="BI1" s="45"/>
      <c r="BJ1" s="45"/>
      <c r="BK1" s="45"/>
      <c r="BL1" s="45"/>
      <c r="BM1" s="45"/>
      <c r="BN1" s="45"/>
      <c r="BO1" s="45"/>
      <c r="BP1" s="45"/>
      <c r="BQ1" s="45"/>
      <c r="BR1" s="45"/>
      <c r="BS1" s="45"/>
      <c r="BT1" s="45"/>
      <c r="BU1" s="45"/>
      <c r="BV1" s="45"/>
      <c r="BW1" s="45"/>
      <c r="BX1" s="45"/>
      <c r="BY1" s="45"/>
      <c r="BZ1" s="45"/>
      <c r="CA1" s="45"/>
      <c r="CB1" s="45"/>
      <c r="CC1" s="45"/>
      <c r="CD1" s="45"/>
      <c r="CE1" s="45"/>
      <c r="CF1" s="45"/>
      <c r="CG1" s="45"/>
      <c r="CH1" s="45"/>
      <c r="CI1" s="45"/>
      <c r="CJ1" s="45"/>
      <c r="CK1" s="45"/>
      <c r="CL1" s="45"/>
      <c r="CM1" s="45"/>
      <c r="CN1" s="45"/>
      <c r="CO1" s="45"/>
      <c r="CP1" s="45"/>
      <c r="CQ1" s="45"/>
      <c r="CR1" s="45"/>
      <c r="CS1" s="45"/>
      <c r="CT1" s="45"/>
      <c r="CU1" s="45"/>
      <c r="CV1" s="45"/>
      <c r="CW1" s="45"/>
      <c r="CX1" s="24"/>
      <c r="CY1" s="24"/>
      <c r="CZ1" s="24"/>
      <c r="DA1" s="24"/>
      <c r="DB1" s="24"/>
      <c r="DC1" s="24"/>
      <c r="DD1" s="24"/>
      <c r="DE1" s="24"/>
      <c r="DF1" s="24"/>
      <c r="DG1" s="24"/>
      <c r="DH1" s="24"/>
      <c r="DI1" s="24"/>
      <c r="DJ1" s="24"/>
      <c r="DK1" s="24"/>
      <c r="DL1" s="24"/>
      <c r="DM1" s="24"/>
      <c r="DN1" s="24"/>
      <c r="DO1" s="24"/>
      <c r="DP1" s="24"/>
      <c r="DQ1" s="24"/>
      <c r="DR1" s="24"/>
      <c r="DS1" s="24"/>
      <c r="DT1" s="24"/>
      <c r="DU1" s="24"/>
      <c r="DV1" s="24"/>
      <c r="DW1" s="24"/>
      <c r="DX1" s="24"/>
      <c r="DY1" s="24"/>
      <c r="DZ1" s="24"/>
      <c r="EA1" s="24"/>
    </row>
    <row r="2" spans="1:131" ht="13.5" thickBot="1">
      <c r="A2" s="189"/>
      <c r="B2" s="190"/>
      <c r="C2" s="191"/>
      <c r="D2" s="191"/>
      <c r="E2" s="191"/>
      <c r="F2" s="191"/>
      <c r="G2" s="191"/>
      <c r="H2" s="191"/>
      <c r="I2" s="191"/>
      <c r="J2" s="191"/>
      <c r="K2" s="191"/>
      <c r="L2" s="191"/>
      <c r="M2" s="191"/>
      <c r="N2" s="191"/>
      <c r="O2" s="192" t="s">
        <v>385</v>
      </c>
      <c r="P2" s="193"/>
      <c r="Q2" s="193"/>
      <c r="R2" s="193"/>
      <c r="S2" s="193"/>
      <c r="T2" s="193"/>
      <c r="U2" s="193"/>
      <c r="V2" s="193"/>
      <c r="W2" s="193"/>
      <c r="X2" s="193"/>
      <c r="Y2" s="193"/>
      <c r="Z2" s="194"/>
      <c r="AA2" s="191"/>
      <c r="AB2" s="192" t="s">
        <v>386</v>
      </c>
      <c r="AC2" s="193"/>
      <c r="AD2" s="193"/>
      <c r="AE2" s="193"/>
      <c r="AF2" s="193"/>
      <c r="AG2" s="193"/>
      <c r="AH2" s="193"/>
      <c r="AI2" s="193"/>
      <c r="AJ2" s="193"/>
      <c r="AK2" s="193"/>
      <c r="AL2" s="193"/>
      <c r="AM2" s="194"/>
      <c r="AN2" s="45"/>
      <c r="AO2" s="45"/>
      <c r="AP2" s="45"/>
      <c r="AQ2" s="45"/>
      <c r="AR2" s="45"/>
      <c r="AS2" s="45"/>
      <c r="AT2" s="45"/>
      <c r="AU2" s="45"/>
      <c r="AV2" s="45"/>
      <c r="AW2" s="45"/>
      <c r="AX2" s="45"/>
      <c r="AY2" s="45"/>
      <c r="AZ2" s="45"/>
      <c r="BA2" s="45"/>
      <c r="BB2" s="45"/>
      <c r="BC2" s="45"/>
      <c r="BD2" s="45"/>
      <c r="BE2" s="45"/>
      <c r="BF2" s="45"/>
      <c r="BG2" s="45"/>
      <c r="BH2" s="45"/>
      <c r="BI2" s="45"/>
      <c r="BJ2" s="45"/>
      <c r="BK2" s="45"/>
      <c r="BL2" s="45"/>
      <c r="BM2" s="45"/>
      <c r="BN2" s="45"/>
      <c r="BO2" s="45"/>
      <c r="BP2" s="45"/>
      <c r="BQ2" s="45"/>
      <c r="BR2" s="45"/>
      <c r="BS2" s="45"/>
      <c r="BT2" s="45"/>
      <c r="BU2" s="45"/>
      <c r="BV2" s="45"/>
      <c r="BW2" s="45"/>
      <c r="BX2" s="45"/>
      <c r="BY2" s="45"/>
      <c r="BZ2" s="45"/>
      <c r="CA2" s="45"/>
      <c r="CB2" s="45"/>
      <c r="CC2" s="45"/>
      <c r="CD2" s="45"/>
      <c r="CE2" s="45"/>
      <c r="CF2" s="45"/>
      <c r="CG2" s="45"/>
      <c r="CH2" s="45"/>
      <c r="CI2" s="45"/>
      <c r="CJ2" s="45"/>
      <c r="CK2" s="45"/>
      <c r="CL2" s="45"/>
      <c r="CM2" s="45"/>
      <c r="CN2" s="45"/>
      <c r="CO2" s="45"/>
      <c r="CP2" s="45"/>
      <c r="CQ2" s="45"/>
      <c r="CR2" s="45"/>
      <c r="CS2" s="45"/>
      <c r="CT2" s="45"/>
      <c r="CU2" s="45"/>
      <c r="CV2" s="45"/>
      <c r="CW2" s="45"/>
      <c r="CX2" s="24"/>
      <c r="CY2" s="24"/>
      <c r="CZ2" s="24"/>
      <c r="DA2" s="24"/>
      <c r="DB2" s="24"/>
      <c r="DC2" s="24"/>
      <c r="DD2" s="24"/>
      <c r="DE2" s="24"/>
      <c r="DF2" s="24"/>
      <c r="DG2" s="24"/>
      <c r="DH2" s="24"/>
      <c r="DI2" s="24"/>
      <c r="DJ2" s="24"/>
      <c r="DK2" s="24"/>
      <c r="DL2" s="24"/>
      <c r="DM2" s="24"/>
      <c r="DN2" s="24"/>
      <c r="DO2" s="24"/>
      <c r="DP2" s="24"/>
      <c r="DQ2" s="24"/>
      <c r="DR2" s="24"/>
      <c r="DS2" s="24"/>
      <c r="DT2" s="24"/>
      <c r="DU2" s="24"/>
      <c r="DV2" s="24"/>
      <c r="DW2" s="24"/>
      <c r="DX2" s="24"/>
      <c r="DY2" s="24"/>
      <c r="DZ2" s="24"/>
      <c r="EA2" s="24"/>
    </row>
    <row r="3" spans="1:131" ht="102">
      <c r="A3" s="195" t="s">
        <v>387</v>
      </c>
      <c r="B3" s="196" t="s">
        <v>388</v>
      </c>
      <c r="C3" s="197" t="s">
        <v>389</v>
      </c>
      <c r="D3" s="197" t="s">
        <v>390</v>
      </c>
      <c r="E3" s="197" t="s">
        <v>391</v>
      </c>
      <c r="F3" s="197" t="s">
        <v>392</v>
      </c>
      <c r="G3" s="197" t="s">
        <v>393</v>
      </c>
      <c r="H3" s="197" t="s">
        <v>394</v>
      </c>
      <c r="I3" s="197" t="s">
        <v>395</v>
      </c>
      <c r="J3" s="197" t="s">
        <v>396</v>
      </c>
      <c r="K3" s="197" t="s">
        <v>397</v>
      </c>
      <c r="L3" s="197" t="s">
        <v>398</v>
      </c>
      <c r="M3" s="197" t="s">
        <v>399</v>
      </c>
      <c r="N3" s="197" t="s">
        <v>400</v>
      </c>
      <c r="O3" s="197" t="s">
        <v>401</v>
      </c>
      <c r="P3" s="197" t="s">
        <v>402</v>
      </c>
      <c r="Q3" s="197" t="s">
        <v>403</v>
      </c>
      <c r="R3" s="197" t="s">
        <v>404</v>
      </c>
      <c r="S3" s="197" t="s">
        <v>405</v>
      </c>
      <c r="T3" s="197" t="s">
        <v>406</v>
      </c>
      <c r="U3" s="197" t="s">
        <v>407</v>
      </c>
      <c r="V3" s="197" t="s">
        <v>408</v>
      </c>
      <c r="W3" s="197" t="s">
        <v>409</v>
      </c>
      <c r="X3" s="197" t="s">
        <v>410</v>
      </c>
      <c r="Y3" s="197" t="s">
        <v>411</v>
      </c>
      <c r="Z3" s="197" t="s">
        <v>412</v>
      </c>
      <c r="AA3" s="197"/>
      <c r="AB3" s="197" t="s">
        <v>401</v>
      </c>
      <c r="AC3" s="197" t="s">
        <v>402</v>
      </c>
      <c r="AD3" s="197" t="s">
        <v>403</v>
      </c>
      <c r="AE3" s="197" t="s">
        <v>404</v>
      </c>
      <c r="AF3" s="197" t="s">
        <v>405</v>
      </c>
      <c r="AG3" s="197" t="s">
        <v>406</v>
      </c>
      <c r="AH3" s="197" t="s">
        <v>407</v>
      </c>
      <c r="AI3" s="197" t="s">
        <v>408</v>
      </c>
      <c r="AJ3" s="197" t="s">
        <v>409</v>
      </c>
      <c r="AK3" s="197" t="s">
        <v>410</v>
      </c>
      <c r="AL3" s="197" t="s">
        <v>411</v>
      </c>
      <c r="AM3" s="197" t="s">
        <v>412</v>
      </c>
      <c r="AN3" s="45"/>
      <c r="AO3" s="45"/>
      <c r="AP3" s="45"/>
      <c r="AQ3" s="45"/>
      <c r="AR3" s="45"/>
      <c r="AS3" s="45"/>
      <c r="AT3" s="45"/>
      <c r="AU3" s="45"/>
      <c r="AV3" s="45"/>
      <c r="AW3" s="45"/>
      <c r="AX3" s="45"/>
      <c r="AY3" s="45"/>
      <c r="AZ3" s="45"/>
      <c r="BA3" s="45"/>
      <c r="BB3" s="45"/>
      <c r="BC3" s="45"/>
      <c r="BD3" s="45"/>
      <c r="BE3" s="45"/>
      <c r="BF3" s="45"/>
      <c r="BG3" s="45"/>
      <c r="BH3" s="45"/>
      <c r="BI3" s="45"/>
      <c r="BJ3" s="45"/>
      <c r="BK3" s="45"/>
      <c r="BL3" s="45"/>
      <c r="BM3" s="45"/>
      <c r="BN3" s="45"/>
      <c r="BO3" s="45"/>
      <c r="BP3" s="45"/>
      <c r="BQ3" s="45"/>
      <c r="BR3" s="45"/>
      <c r="BS3" s="45"/>
      <c r="BT3" s="45"/>
      <c r="BU3" s="45"/>
      <c r="BV3" s="45"/>
      <c r="BW3" s="45"/>
      <c r="BX3" s="45"/>
      <c r="BY3" s="45"/>
      <c r="BZ3" s="45"/>
      <c r="CA3" s="45"/>
      <c r="CB3" s="45"/>
      <c r="CC3" s="45"/>
      <c r="CD3" s="45"/>
      <c r="CE3" s="45"/>
      <c r="CF3" s="45"/>
      <c r="CG3" s="45"/>
      <c r="CH3" s="45"/>
      <c r="CI3" s="45"/>
      <c r="CJ3" s="45"/>
      <c r="CK3" s="45"/>
      <c r="CL3" s="45"/>
      <c r="CM3" s="45"/>
      <c r="CN3" s="45"/>
      <c r="CO3" s="45"/>
      <c r="CP3" s="45"/>
      <c r="CQ3" s="45"/>
      <c r="CR3" s="45"/>
      <c r="CS3" s="45"/>
      <c r="CT3" s="45"/>
      <c r="CU3" s="45"/>
      <c r="CV3" s="45"/>
      <c r="CW3" s="45"/>
      <c r="CX3" s="24"/>
      <c r="CY3" s="24"/>
      <c r="CZ3" s="24"/>
      <c r="DA3" s="24"/>
      <c r="DB3" s="24"/>
      <c r="DC3" s="24"/>
      <c r="DD3" s="24"/>
      <c r="DE3" s="24"/>
      <c r="DF3" s="24"/>
      <c r="DG3" s="24"/>
      <c r="DH3" s="24"/>
      <c r="DI3" s="24"/>
      <c r="DJ3" s="24"/>
      <c r="DK3" s="24"/>
      <c r="DL3" s="24"/>
      <c r="DM3" s="24"/>
      <c r="DN3" s="24"/>
      <c r="DO3" s="24"/>
      <c r="DP3" s="24"/>
      <c r="DQ3" s="24"/>
      <c r="DR3" s="24"/>
      <c r="DS3" s="24"/>
      <c r="DT3" s="24"/>
      <c r="DU3" s="24"/>
      <c r="DV3" s="24"/>
      <c r="DW3" s="24"/>
      <c r="DX3" s="24"/>
      <c r="DY3" s="24"/>
      <c r="DZ3" s="24"/>
      <c r="EA3" s="24"/>
    </row>
    <row r="4" spans="1:131">
      <c r="A4" s="24" t="s">
        <v>414</v>
      </c>
      <c r="B4" s="24"/>
      <c r="C4" s="198">
        <v>694.58425772131352</v>
      </c>
      <c r="D4" s="198">
        <v>6.6707622506870052</v>
      </c>
      <c r="E4" s="198">
        <v>1.3341524501374011</v>
      </c>
      <c r="F4" s="198">
        <v>8.0049147008244059</v>
      </c>
      <c r="G4" s="198">
        <v>9.6530895716640295</v>
      </c>
      <c r="H4" s="198">
        <v>458.01913323488742</v>
      </c>
      <c r="I4" s="198">
        <v>100.95687024245389</v>
      </c>
      <c r="J4" s="198">
        <v>-12.644513228249723</v>
      </c>
      <c r="K4" s="198">
        <v>-12.229802150673471</v>
      </c>
      <c r="L4" s="199">
        <v>47.447931549228613</v>
      </c>
      <c r="M4" s="198">
        <v>6.598567930696162</v>
      </c>
      <c r="N4" s="198">
        <v>0.16212621155567028</v>
      </c>
      <c r="O4" s="198">
        <v>28.448411197119828</v>
      </c>
      <c r="P4" s="198">
        <v>21.030843228651925</v>
      </c>
      <c r="Q4" s="198">
        <v>19.591200466866493</v>
      </c>
      <c r="R4" s="198">
        <v>11.246790967253286</v>
      </c>
      <c r="S4" s="198">
        <v>9.0344226035697073</v>
      </c>
      <c r="T4" s="198">
        <v>7.008069317481068</v>
      </c>
      <c r="U4" s="198">
        <v>7.3128656202634215</v>
      </c>
      <c r="V4" s="198">
        <v>10.644117359946245</v>
      </c>
      <c r="W4" s="198">
        <v>13.448006784018087</v>
      </c>
      <c r="X4" s="198">
        <v>21.938904793273181</v>
      </c>
      <c r="Y4" s="198">
        <v>25.405841397322472</v>
      </c>
      <c r="Z4" s="198">
        <v>29.927568864080122</v>
      </c>
      <c r="AA4" s="198"/>
      <c r="AB4" s="198">
        <v>47.14876842694138</v>
      </c>
      <c r="AC4" s="198">
        <v>40.897605854595454</v>
      </c>
      <c r="AD4" s="198">
        <v>41.229211825941405</v>
      </c>
      <c r="AE4" s="198">
        <v>39.260516357946884</v>
      </c>
      <c r="AF4" s="198">
        <v>36.160934041708259</v>
      </c>
      <c r="AG4" s="198">
        <v>32.855567114926686</v>
      </c>
      <c r="AH4" s="198">
        <v>35.877431576419603</v>
      </c>
      <c r="AI4" s="198">
        <v>38.740577219748644</v>
      </c>
      <c r="AJ4" s="198">
        <v>41.758348233872397</v>
      </c>
      <c r="AK4" s="198">
        <v>43.096981040231533</v>
      </c>
      <c r="AL4" s="198">
        <v>45.177671890782143</v>
      </c>
      <c r="AM4" s="45">
        <v>47.343601538353454</v>
      </c>
      <c r="AN4" s="45"/>
      <c r="AO4" s="45"/>
      <c r="AP4" s="45"/>
      <c r="AQ4" s="45"/>
      <c r="AR4" s="45"/>
      <c r="AS4" s="45"/>
      <c r="AT4" s="45"/>
      <c r="AU4" s="45"/>
      <c r="AV4" s="45"/>
      <c r="AW4" s="45"/>
      <c r="AX4" s="45"/>
      <c r="AY4" s="45"/>
      <c r="AZ4" s="45"/>
      <c r="BA4" s="45"/>
      <c r="BB4" s="45"/>
      <c r="BC4" s="45"/>
      <c r="BD4" s="45"/>
      <c r="BE4" s="45"/>
      <c r="BF4" s="45"/>
      <c r="BG4" s="45"/>
      <c r="BH4" s="45"/>
      <c r="BI4" s="45"/>
      <c r="BJ4" s="45"/>
      <c r="BK4" s="45"/>
      <c r="BL4" s="45"/>
      <c r="BM4" s="45"/>
      <c r="BN4" s="45"/>
      <c r="BO4" s="45"/>
      <c r="BP4" s="45"/>
      <c r="BQ4" s="45"/>
      <c r="BR4" s="45"/>
      <c r="BS4" s="45"/>
      <c r="BT4" s="45"/>
      <c r="BU4" s="45"/>
      <c r="BV4" s="45"/>
      <c r="BW4" s="45"/>
      <c r="BX4" s="45"/>
      <c r="BY4" s="45"/>
      <c r="BZ4" s="45"/>
      <c r="CA4" s="45"/>
      <c r="CB4" s="45"/>
      <c r="CC4" s="45"/>
      <c r="CD4" s="45"/>
      <c r="CE4" s="45"/>
      <c r="CF4" s="45"/>
      <c r="CG4" s="45"/>
      <c r="CH4" s="45"/>
      <c r="CI4" s="45"/>
      <c r="CJ4" s="45"/>
      <c r="CK4" s="45"/>
      <c r="CL4" s="45"/>
      <c r="CM4" s="45"/>
      <c r="CN4" s="45"/>
      <c r="CO4" s="45"/>
      <c r="CP4" s="45"/>
      <c r="CQ4" s="45"/>
      <c r="CR4" s="45"/>
      <c r="CS4" s="45"/>
      <c r="CT4" s="45"/>
      <c r="CU4" s="45"/>
      <c r="CV4" s="45"/>
      <c r="CW4" s="45"/>
      <c r="CX4" s="24"/>
      <c r="CY4" s="24"/>
      <c r="CZ4" s="24"/>
      <c r="DA4" s="24"/>
      <c r="DB4" s="24"/>
      <c r="DC4" s="24"/>
      <c r="DD4" s="24"/>
      <c r="DE4" s="24"/>
      <c r="DF4" s="24"/>
      <c r="DG4" s="24"/>
      <c r="DH4" s="24"/>
      <c r="DI4" s="24"/>
      <c r="DJ4" s="24"/>
      <c r="DK4" s="24"/>
      <c r="DL4" s="24"/>
      <c r="DM4" s="24"/>
      <c r="DN4" s="24"/>
      <c r="DO4" s="24"/>
      <c r="DP4" s="24"/>
      <c r="DQ4" s="24"/>
      <c r="DR4" s="24"/>
      <c r="DS4" s="24"/>
      <c r="DT4" s="24"/>
      <c r="DU4" s="24"/>
      <c r="DV4" s="24"/>
      <c r="DW4" s="24"/>
      <c r="DX4" s="24"/>
      <c r="DY4" s="24"/>
      <c r="DZ4" s="24"/>
      <c r="EA4" s="24"/>
    </row>
    <row r="5" spans="1:131">
      <c r="A5" s="24" t="s">
        <v>415</v>
      </c>
      <c r="B5" s="24"/>
      <c r="C5" s="198">
        <v>696.18365257841458</v>
      </c>
      <c r="D5" s="198">
        <v>7.3019593555087283</v>
      </c>
      <c r="E5" s="198">
        <v>1.4603918711017458</v>
      </c>
      <c r="F5" s="198">
        <v>8.7623512266104733</v>
      </c>
      <c r="G5" s="198">
        <v>10.566478770865604</v>
      </c>
      <c r="H5" s="198">
        <v>459.073797860534</v>
      </c>
      <c r="I5" s="198">
        <v>110.25567242325056</v>
      </c>
      <c r="J5" s="198">
        <v>-12.588521355718758</v>
      </c>
      <c r="K5" s="198">
        <v>-12.135612617465176</v>
      </c>
      <c r="L5" s="199">
        <v>43.446242387418032</v>
      </c>
      <c r="M5" s="198">
        <v>6.6137622220945982</v>
      </c>
      <c r="N5" s="198">
        <v>0.16249953390797076</v>
      </c>
      <c r="O5" s="198">
        <v>28.513918357778262</v>
      </c>
      <c r="P5" s="198">
        <v>21.07927021519313</v>
      </c>
      <c r="Q5" s="198">
        <v>19.636312438413242</v>
      </c>
      <c r="R5" s="198">
        <v>11.272688559132099</v>
      </c>
      <c r="S5" s="198">
        <v>9.0552258522589746</v>
      </c>
      <c r="T5" s="198">
        <v>7.0242065533887157</v>
      </c>
      <c r="U5" s="198">
        <v>7.3297046999484285</v>
      </c>
      <c r="V5" s="198">
        <v>10.668627196405437</v>
      </c>
      <c r="W5" s="198">
        <v>13.478973038507039</v>
      </c>
      <c r="X5" s="198">
        <v>21.98942274139355</v>
      </c>
      <c r="Y5" s="198">
        <v>25.464342539004704</v>
      </c>
      <c r="Z5" s="198">
        <v>29.996482029321985</v>
      </c>
      <c r="AA5" s="198"/>
      <c r="AB5" s="198">
        <v>47.257336245607604</v>
      </c>
      <c r="AC5" s="198">
        <v>40.991779340021367</v>
      </c>
      <c r="AD5" s="198">
        <v>41.324148888830038</v>
      </c>
      <c r="AE5" s="198">
        <v>39.350920174693371</v>
      </c>
      <c r="AF5" s="198">
        <v>36.244200558752595</v>
      </c>
      <c r="AG5" s="198">
        <v>32.931222479249435</v>
      </c>
      <c r="AH5" s="198">
        <v>35.960045282260815</v>
      </c>
      <c r="AI5" s="198">
        <v>38.829783790841496</v>
      </c>
      <c r="AJ5" s="198">
        <v>41.854503720645738</v>
      </c>
      <c r="AK5" s="198">
        <v>43.196218949910715</v>
      </c>
      <c r="AL5" s="198">
        <v>45.281700934450605</v>
      </c>
      <c r="AM5" s="45">
        <v>47.452617992405401</v>
      </c>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24"/>
      <c r="CY5" s="24"/>
      <c r="CZ5" s="24"/>
      <c r="DA5" s="24"/>
      <c r="DB5" s="24"/>
      <c r="DC5" s="24"/>
      <c r="DD5" s="24"/>
      <c r="DE5" s="24"/>
      <c r="DF5" s="24"/>
      <c r="DG5" s="24"/>
      <c r="DH5" s="24"/>
      <c r="DI5" s="24"/>
      <c r="DJ5" s="24"/>
      <c r="DK5" s="24"/>
      <c r="DL5" s="24"/>
      <c r="DM5" s="24"/>
      <c r="DN5" s="24"/>
      <c r="DO5" s="24"/>
      <c r="DP5" s="24"/>
      <c r="DQ5" s="24"/>
      <c r="DR5" s="24"/>
      <c r="DS5" s="24"/>
      <c r="DT5" s="24"/>
      <c r="DU5" s="24"/>
      <c r="DV5" s="24"/>
      <c r="DW5" s="24"/>
      <c r="DX5" s="24"/>
      <c r="DY5" s="24"/>
      <c r="DZ5" s="24"/>
      <c r="EA5" s="24"/>
    </row>
    <row r="6" spans="1:131">
      <c r="A6" s="24" t="s">
        <v>418</v>
      </c>
      <c r="B6" s="24"/>
      <c r="C6" s="198">
        <v>1722.7756260529418</v>
      </c>
      <c r="D6" s="198">
        <v>51.863052062075326</v>
      </c>
      <c r="E6" s="198">
        <v>10.372610412415066</v>
      </c>
      <c r="F6" s="198">
        <v>62.23566247449039</v>
      </c>
      <c r="G6" s="198">
        <v>75.049697201174936</v>
      </c>
      <c r="H6" s="198">
        <v>1136.0237296359132</v>
      </c>
      <c r="I6" s="198">
        <v>316.45699824858218</v>
      </c>
      <c r="J6" s="198">
        <v>-11.346899249253015</v>
      </c>
      <c r="K6" s="198">
        <v>-10.046955793844406</v>
      </c>
      <c r="L6" s="199">
        <v>15.136952872584384</v>
      </c>
      <c r="M6" s="198">
        <v>16.366411808916986</v>
      </c>
      <c r="N6" s="198">
        <v>0.40212124376201641</v>
      </c>
      <c r="O6" s="198">
        <v>70.56052432157756</v>
      </c>
      <c r="P6" s="198">
        <v>52.162748733356906</v>
      </c>
      <c r="Q6" s="198">
        <v>48.592006332191517</v>
      </c>
      <c r="R6" s="198">
        <v>27.89538797389563</v>
      </c>
      <c r="S6" s="198">
        <v>22.408056162908998</v>
      </c>
      <c r="T6" s="198">
        <v>17.382097091365431</v>
      </c>
      <c r="U6" s="198">
        <v>18.138082611491015</v>
      </c>
      <c r="V6" s="198">
        <v>26.400578108005242</v>
      </c>
      <c r="W6" s="198">
        <v>33.355058150189997</v>
      </c>
      <c r="X6" s="198">
        <v>54.415011598653045</v>
      </c>
      <c r="Y6" s="198">
        <v>63.014045930530052</v>
      </c>
      <c r="Z6" s="198">
        <v>74.229275444858786</v>
      </c>
      <c r="AA6" s="198"/>
      <c r="AB6" s="198">
        <v>116.94297436401092</v>
      </c>
      <c r="AC6" s="198">
        <v>101.43823121094492</v>
      </c>
      <c r="AD6" s="198">
        <v>102.26071268606873</v>
      </c>
      <c r="AE6" s="198">
        <v>97.37776215893102</v>
      </c>
      <c r="AF6" s="198">
        <v>89.689875763580062</v>
      </c>
      <c r="AG6" s="198">
        <v>81.491582304839497</v>
      </c>
      <c r="AH6" s="198">
        <v>88.986705296216584</v>
      </c>
      <c r="AI6" s="198">
        <v>96.088158393280608</v>
      </c>
      <c r="AJ6" s="198">
        <v>103.57312841721604</v>
      </c>
      <c r="AK6" s="198">
        <v>106.89333607437786</v>
      </c>
      <c r="AL6" s="198">
        <v>112.05406847340983</v>
      </c>
      <c r="AM6" s="45">
        <v>117.4262184510421</v>
      </c>
      <c r="AN6" s="45"/>
      <c r="AO6" s="45"/>
      <c r="AP6" s="45"/>
      <c r="AQ6" s="45"/>
      <c r="AR6" s="45"/>
      <c r="AS6" s="45"/>
      <c r="AT6" s="45"/>
      <c r="AU6" s="45"/>
      <c r="AV6" s="45"/>
      <c r="AW6" s="45"/>
      <c r="AX6" s="45"/>
      <c r="AY6" s="45"/>
      <c r="AZ6" s="45"/>
      <c r="BA6" s="45"/>
      <c r="BB6" s="45"/>
      <c r="BC6" s="45"/>
      <c r="BD6" s="45"/>
      <c r="BE6" s="45"/>
      <c r="BF6" s="45"/>
      <c r="BG6" s="45"/>
      <c r="BH6" s="45"/>
      <c r="BI6" s="45"/>
      <c r="BJ6" s="45"/>
      <c r="BK6" s="45"/>
      <c r="BL6" s="45"/>
      <c r="BM6" s="45"/>
      <c r="BN6" s="45"/>
      <c r="BO6" s="45"/>
      <c r="BP6" s="45"/>
      <c r="BQ6" s="45"/>
      <c r="BR6" s="45"/>
      <c r="BS6" s="45"/>
      <c r="BT6" s="45"/>
      <c r="BU6" s="45"/>
      <c r="BV6" s="45"/>
      <c r="BW6" s="45"/>
      <c r="BX6" s="45"/>
      <c r="BY6" s="45"/>
      <c r="BZ6" s="45"/>
      <c r="CA6" s="45"/>
      <c r="CB6" s="45"/>
      <c r="CC6" s="45"/>
      <c r="CD6" s="45"/>
      <c r="CE6" s="45"/>
      <c r="CF6" s="45"/>
      <c r="CG6" s="45"/>
      <c r="CH6" s="45"/>
      <c r="CI6" s="45"/>
      <c r="CJ6" s="45"/>
      <c r="CK6" s="45"/>
      <c r="CL6" s="45"/>
      <c r="CM6" s="45"/>
      <c r="CN6" s="45"/>
      <c r="CO6" s="45"/>
      <c r="CP6" s="45"/>
      <c r="CQ6" s="45"/>
      <c r="CR6" s="45"/>
      <c r="CS6" s="45"/>
      <c r="CT6" s="45"/>
      <c r="CU6" s="45"/>
      <c r="CV6" s="45"/>
      <c r="CW6" s="45"/>
      <c r="CX6" s="24"/>
      <c r="CY6" s="24"/>
      <c r="CZ6" s="24"/>
      <c r="DA6" s="24"/>
      <c r="DB6" s="24"/>
      <c r="DC6" s="24"/>
      <c r="DD6" s="24"/>
      <c r="DE6" s="24"/>
      <c r="DF6" s="24"/>
      <c r="DG6" s="24"/>
      <c r="DH6" s="24"/>
      <c r="DI6" s="24"/>
      <c r="DJ6" s="24"/>
      <c r="DK6" s="24"/>
      <c r="DL6" s="24"/>
      <c r="DM6" s="24"/>
      <c r="DN6" s="24"/>
      <c r="DO6" s="24"/>
      <c r="DP6" s="24"/>
      <c r="DQ6" s="24"/>
      <c r="DR6" s="24"/>
      <c r="DS6" s="24"/>
      <c r="DT6" s="24"/>
      <c r="DU6" s="24"/>
      <c r="DV6" s="24"/>
      <c r="DW6" s="24"/>
      <c r="DX6" s="24"/>
      <c r="DY6" s="24"/>
      <c r="DZ6" s="24"/>
      <c r="EA6" s="24"/>
    </row>
    <row r="7" spans="1:131">
      <c r="A7" s="24" t="s">
        <v>416</v>
      </c>
      <c r="B7" s="24"/>
      <c r="C7" s="198">
        <v>299.03666118432898</v>
      </c>
      <c r="D7" s="198">
        <v>4.7789999869194872</v>
      </c>
      <c r="E7" s="198">
        <v>0.95579999738389754</v>
      </c>
      <c r="F7" s="198">
        <v>5.7347999843033843</v>
      </c>
      <c r="G7" s="198">
        <v>13.663565633772018</v>
      </c>
      <c r="H7" s="198">
        <v>197.18919747826337</v>
      </c>
      <c r="I7" s="198">
        <v>167.99561519826892</v>
      </c>
      <c r="J7" s="198">
        <v>-12.240845660188761</v>
      </c>
      <c r="K7" s="198">
        <v>-9.8903226006835592</v>
      </c>
      <c r="L7" s="199">
        <v>14.43175249884071</v>
      </c>
      <c r="M7" s="198">
        <v>2.8408558078566108</v>
      </c>
      <c r="N7" s="198">
        <v>6.9799567806392765E-2</v>
      </c>
      <c r="O7" s="198">
        <v>12.24778391651785</v>
      </c>
      <c r="P7" s="198">
        <v>9.0543272051962393</v>
      </c>
      <c r="Q7" s="198">
        <v>8.434523401702565</v>
      </c>
      <c r="R7" s="198">
        <v>4.8420372078673042</v>
      </c>
      <c r="S7" s="198">
        <v>3.8895548539536353</v>
      </c>
      <c r="T7" s="198">
        <v>3.0171568485053668</v>
      </c>
      <c r="U7" s="198">
        <v>3.1483796162432629</v>
      </c>
      <c r="V7" s="198">
        <v>4.582570481822783</v>
      </c>
      <c r="W7" s="198">
        <v>5.789718099097044</v>
      </c>
      <c r="X7" s="198">
        <v>9.4452714217049714</v>
      </c>
      <c r="Y7" s="198">
        <v>10.937878164641846</v>
      </c>
      <c r="Z7" s="198">
        <v>12.884599918573686</v>
      </c>
      <c r="AA7" s="198"/>
      <c r="AB7" s="198">
        <v>20.298776041369273</v>
      </c>
      <c r="AC7" s="198">
        <v>17.607487312356941</v>
      </c>
      <c r="AD7" s="198">
        <v>17.750252342513821</v>
      </c>
      <c r="AE7" s="198">
        <v>16.90267753341988</v>
      </c>
      <c r="AF7" s="198">
        <v>15.568226404402379</v>
      </c>
      <c r="AG7" s="198">
        <v>14.14517962672771</v>
      </c>
      <c r="AH7" s="198">
        <v>15.446171189768565</v>
      </c>
      <c r="AI7" s="198">
        <v>16.678830156838185</v>
      </c>
      <c r="AJ7" s="198">
        <v>17.978059383891143</v>
      </c>
      <c r="AK7" s="198">
        <v>18.554375763819891</v>
      </c>
      <c r="AL7" s="198">
        <v>19.450167509729397</v>
      </c>
      <c r="AM7" s="45">
        <v>20.382656783665329</v>
      </c>
      <c r="AN7" s="45"/>
      <c r="AO7" s="45"/>
      <c r="AP7" s="45"/>
      <c r="AQ7" s="45"/>
      <c r="AR7" s="45"/>
      <c r="AS7" s="45"/>
      <c r="AT7" s="45"/>
      <c r="AU7" s="45"/>
      <c r="AV7" s="45"/>
      <c r="AW7" s="45"/>
      <c r="AX7" s="45"/>
      <c r="AY7" s="45"/>
      <c r="AZ7" s="45"/>
      <c r="BA7" s="45"/>
      <c r="BB7" s="45"/>
      <c r="BC7" s="45"/>
      <c r="BD7" s="45"/>
      <c r="BE7" s="45"/>
      <c r="BF7" s="45"/>
      <c r="BG7" s="45"/>
      <c r="BH7" s="45"/>
      <c r="BI7" s="45"/>
      <c r="BJ7" s="45"/>
      <c r="BK7" s="45"/>
      <c r="BL7" s="45"/>
      <c r="BM7" s="45"/>
      <c r="BN7" s="45"/>
      <c r="BO7" s="45"/>
      <c r="BP7" s="45"/>
      <c r="BQ7" s="45"/>
      <c r="BR7" s="45"/>
      <c r="BS7" s="45"/>
      <c r="BT7" s="45"/>
      <c r="BU7" s="45"/>
      <c r="BV7" s="45"/>
      <c r="BW7" s="45"/>
      <c r="BX7" s="45"/>
      <c r="BY7" s="45"/>
      <c r="BZ7" s="45"/>
      <c r="CA7" s="45"/>
      <c r="CB7" s="45"/>
      <c r="CC7" s="45"/>
      <c r="CD7" s="45"/>
      <c r="CE7" s="45"/>
      <c r="CF7" s="45"/>
      <c r="CG7" s="45"/>
      <c r="CH7" s="45"/>
      <c r="CI7" s="45"/>
      <c r="CJ7" s="45"/>
      <c r="CK7" s="45"/>
      <c r="CL7" s="45"/>
      <c r="CM7" s="45"/>
      <c r="CN7" s="45"/>
      <c r="CO7" s="45"/>
      <c r="CP7" s="45"/>
      <c r="CQ7" s="45"/>
      <c r="CR7" s="45"/>
      <c r="CS7" s="45"/>
      <c r="CT7" s="45"/>
      <c r="CU7" s="45"/>
      <c r="CV7" s="45"/>
      <c r="CW7" s="45"/>
      <c r="CX7" s="24"/>
      <c r="CY7" s="24"/>
      <c r="CZ7" s="24"/>
      <c r="DA7" s="24"/>
      <c r="DB7" s="24"/>
      <c r="DC7" s="24"/>
      <c r="DD7" s="24"/>
      <c r="DE7" s="24"/>
      <c r="DF7" s="24"/>
      <c r="DG7" s="24"/>
      <c r="DH7" s="24"/>
      <c r="DI7" s="24"/>
      <c r="DJ7" s="24"/>
      <c r="DK7" s="24"/>
      <c r="DL7" s="24"/>
      <c r="DM7" s="24"/>
      <c r="DN7" s="24"/>
      <c r="DO7" s="24"/>
      <c r="DP7" s="24"/>
      <c r="DQ7" s="24"/>
      <c r="DR7" s="24"/>
      <c r="DS7" s="24"/>
      <c r="DT7" s="24"/>
      <c r="DU7" s="24"/>
      <c r="DV7" s="24"/>
      <c r="DW7" s="24"/>
      <c r="DX7" s="24"/>
      <c r="DY7" s="24"/>
      <c r="DZ7" s="24"/>
      <c r="EA7" s="24"/>
    </row>
    <row r="8" spans="1:131">
      <c r="A8" s="24" t="s">
        <v>417</v>
      </c>
      <c r="B8" s="24"/>
      <c r="C8" s="198">
        <v>299.03666118432898</v>
      </c>
      <c r="D8" s="198">
        <v>4.7789999869194872</v>
      </c>
      <c r="E8" s="198">
        <v>0.95579999738389754</v>
      </c>
      <c r="F8" s="198">
        <v>5.7347999843033843</v>
      </c>
      <c r="G8" s="198">
        <v>13.663565633772018</v>
      </c>
      <c r="H8" s="198">
        <v>197.18919747826337</v>
      </c>
      <c r="I8" s="198">
        <v>167.99561519826892</v>
      </c>
      <c r="J8" s="198">
        <v>-12.240845660188761</v>
      </c>
      <c r="K8" s="198">
        <v>-9.8903226006835592</v>
      </c>
      <c r="L8" s="199">
        <v>14.43175249884071</v>
      </c>
      <c r="M8" s="198">
        <v>2.8408558078566108</v>
      </c>
      <c r="N8" s="198">
        <v>6.9799567806392765E-2</v>
      </c>
      <c r="O8" s="198">
        <v>12.24778391651785</v>
      </c>
      <c r="P8" s="198">
        <v>9.0543272051962393</v>
      </c>
      <c r="Q8" s="198">
        <v>8.434523401702565</v>
      </c>
      <c r="R8" s="198">
        <v>4.8420372078673042</v>
      </c>
      <c r="S8" s="198">
        <v>3.8895548539536353</v>
      </c>
      <c r="T8" s="198">
        <v>3.0171568485053668</v>
      </c>
      <c r="U8" s="198">
        <v>3.1483796162432629</v>
      </c>
      <c r="V8" s="198">
        <v>4.582570481822783</v>
      </c>
      <c r="W8" s="198">
        <v>5.789718099097044</v>
      </c>
      <c r="X8" s="198">
        <v>9.4452714217049714</v>
      </c>
      <c r="Y8" s="198">
        <v>10.937878164641846</v>
      </c>
      <c r="Z8" s="198">
        <v>12.884599918573686</v>
      </c>
      <c r="AA8" s="198"/>
      <c r="AB8" s="198">
        <v>20.298776041369273</v>
      </c>
      <c r="AC8" s="198">
        <v>17.607487312356941</v>
      </c>
      <c r="AD8" s="198">
        <v>17.750252342513821</v>
      </c>
      <c r="AE8" s="198">
        <v>16.90267753341988</v>
      </c>
      <c r="AF8" s="198">
        <v>15.568226404402379</v>
      </c>
      <c r="AG8" s="198">
        <v>14.14517962672771</v>
      </c>
      <c r="AH8" s="198">
        <v>15.446171189768565</v>
      </c>
      <c r="AI8" s="198">
        <v>16.678830156838185</v>
      </c>
      <c r="AJ8" s="198">
        <v>17.978059383891143</v>
      </c>
      <c r="AK8" s="198">
        <v>18.554375763819891</v>
      </c>
      <c r="AL8" s="198">
        <v>19.450167509729397</v>
      </c>
      <c r="AM8" s="45">
        <v>20.382656783665329</v>
      </c>
      <c r="AN8" s="45"/>
      <c r="AO8" s="45"/>
      <c r="AP8" s="45"/>
      <c r="AQ8" s="45"/>
      <c r="AR8" s="45"/>
      <c r="AS8" s="45"/>
      <c r="AT8" s="45"/>
      <c r="AU8" s="45"/>
      <c r="AV8" s="45"/>
      <c r="AW8" s="45"/>
      <c r="AX8" s="45"/>
      <c r="AY8" s="45"/>
      <c r="AZ8" s="45"/>
      <c r="BA8" s="45"/>
      <c r="BB8" s="45"/>
      <c r="BC8" s="45"/>
      <c r="BD8" s="45"/>
      <c r="BE8" s="45"/>
      <c r="BF8" s="45"/>
      <c r="BG8" s="45"/>
      <c r="BH8" s="45"/>
      <c r="BI8" s="45"/>
      <c r="BJ8" s="45"/>
      <c r="BK8" s="45"/>
      <c r="BL8" s="45"/>
      <c r="BM8" s="45"/>
      <c r="BN8" s="45"/>
      <c r="BO8" s="45"/>
      <c r="BP8" s="45"/>
      <c r="BQ8" s="45"/>
      <c r="BR8" s="45"/>
      <c r="BS8" s="45"/>
      <c r="BT8" s="45"/>
      <c r="BU8" s="45"/>
      <c r="BV8" s="45"/>
      <c r="BW8" s="45"/>
      <c r="BX8" s="45"/>
      <c r="BY8" s="45"/>
      <c r="BZ8" s="45"/>
      <c r="CA8" s="45"/>
      <c r="CB8" s="45"/>
      <c r="CC8" s="45"/>
      <c r="CD8" s="45"/>
      <c r="CE8" s="45"/>
      <c r="CF8" s="45"/>
      <c r="CG8" s="45"/>
      <c r="CH8" s="45"/>
      <c r="CI8" s="45"/>
      <c r="CJ8" s="45"/>
      <c r="CK8" s="45"/>
      <c r="CL8" s="45"/>
      <c r="CM8" s="45"/>
      <c r="CN8" s="45"/>
      <c r="CO8" s="45"/>
      <c r="CP8" s="45"/>
      <c r="CQ8" s="45"/>
      <c r="CR8" s="45"/>
      <c r="CS8" s="45"/>
      <c r="CT8" s="45"/>
      <c r="CU8" s="45"/>
      <c r="CV8" s="45"/>
      <c r="CW8" s="45"/>
      <c r="CX8" s="24"/>
      <c r="CY8" s="24"/>
      <c r="CZ8" s="24"/>
      <c r="DA8" s="24"/>
      <c r="DB8" s="24"/>
      <c r="DC8" s="24"/>
      <c r="DD8" s="24"/>
      <c r="DE8" s="24"/>
      <c r="DF8" s="24"/>
      <c r="DG8" s="24"/>
      <c r="DH8" s="24"/>
      <c r="DI8" s="24"/>
      <c r="DJ8" s="24"/>
      <c r="DK8" s="24"/>
      <c r="DL8" s="24"/>
      <c r="DM8" s="24"/>
      <c r="DN8" s="24"/>
      <c r="DO8" s="24"/>
      <c r="DP8" s="24"/>
      <c r="DQ8" s="24"/>
      <c r="DR8" s="24"/>
      <c r="DS8" s="24"/>
      <c r="DT8" s="24"/>
      <c r="DU8" s="24"/>
      <c r="DV8" s="24"/>
      <c r="DW8" s="24"/>
      <c r="DX8" s="24"/>
      <c r="DY8" s="24"/>
      <c r="DZ8" s="24"/>
      <c r="EA8" s="24"/>
    </row>
    <row r="9" spans="1:131">
      <c r="A9" s="24" t="s">
        <v>420</v>
      </c>
      <c r="B9" s="24"/>
      <c r="C9" s="198">
        <v>73.145658131418585</v>
      </c>
      <c r="D9" s="198">
        <v>4.0008899869194874</v>
      </c>
      <c r="E9" s="198">
        <v>0.8001779973838975</v>
      </c>
      <c r="F9" s="198">
        <v>4.8010679843033852</v>
      </c>
      <c r="G9" s="198">
        <v>11.438883255786179</v>
      </c>
      <c r="H9" s="198">
        <v>48.233328879575211</v>
      </c>
      <c r="I9" s="198">
        <v>574.98088904927863</v>
      </c>
      <c r="J9" s="198">
        <v>-9.7902216838547336</v>
      </c>
      <c r="K9" s="198">
        <v>-1.7453341021754094</v>
      </c>
      <c r="L9" s="199">
        <v>4.2166116919828811</v>
      </c>
      <c r="M9" s="198">
        <v>0.69488559328866673</v>
      </c>
      <c r="N9" s="198">
        <v>1.7073275578542112E-2</v>
      </c>
      <c r="O9" s="198">
        <v>2.9958608141122793</v>
      </c>
      <c r="P9" s="198">
        <v>2.214727517817785</v>
      </c>
      <c r="Q9" s="198">
        <v>2.0631208320711307</v>
      </c>
      <c r="R9" s="198">
        <v>1.1843832019243763</v>
      </c>
      <c r="S9" s="198">
        <v>0.95140190672247182</v>
      </c>
      <c r="T9" s="198">
        <v>0.73800958884303935</v>
      </c>
      <c r="U9" s="198">
        <v>0.7701072442609419</v>
      </c>
      <c r="V9" s="198">
        <v>1.1209165207336302</v>
      </c>
      <c r="W9" s="198">
        <v>1.4161900386280537</v>
      </c>
      <c r="X9" s="198">
        <v>2.3103541607048128</v>
      </c>
      <c r="Y9" s="198">
        <v>2.6754522129339762</v>
      </c>
      <c r="Z9" s="198">
        <v>3.1516287570611889</v>
      </c>
      <c r="AA9" s="198"/>
      <c r="AB9" s="198">
        <v>4.9651682403349291</v>
      </c>
      <c r="AC9" s="198">
        <v>4.3068674001448626</v>
      </c>
      <c r="AD9" s="198">
        <v>4.3417883427731647</v>
      </c>
      <c r="AE9" s="198">
        <v>4.1344678858724881</v>
      </c>
      <c r="AF9" s="198">
        <v>3.8080553794941068</v>
      </c>
      <c r="AG9" s="198">
        <v>3.4599719950269212</v>
      </c>
      <c r="AH9" s="198">
        <v>3.7782001471376341</v>
      </c>
      <c r="AI9" s="198">
        <v>4.0797138513129365</v>
      </c>
      <c r="AJ9" s="198">
        <v>4.3975109284338041</v>
      </c>
      <c r="AK9" s="198">
        <v>4.53848040266098</v>
      </c>
      <c r="AL9" s="198">
        <v>4.7575949304374063</v>
      </c>
      <c r="AM9" s="45">
        <v>4.9856858319756912</v>
      </c>
      <c r="AN9" s="45"/>
      <c r="AO9" s="45"/>
      <c r="AP9" s="45"/>
      <c r="AQ9" s="45"/>
      <c r="AR9" s="45"/>
      <c r="AS9" s="45"/>
      <c r="AT9" s="45"/>
      <c r="AU9" s="45"/>
      <c r="AV9" s="45"/>
      <c r="AW9" s="45"/>
      <c r="AX9" s="45"/>
      <c r="AY9" s="45"/>
      <c r="AZ9" s="45"/>
      <c r="BA9" s="45"/>
      <c r="BB9" s="45"/>
      <c r="BC9" s="45"/>
      <c r="BD9" s="45"/>
      <c r="BE9" s="45"/>
      <c r="BF9" s="45"/>
      <c r="BG9" s="45"/>
      <c r="BH9" s="45"/>
      <c r="BI9" s="45"/>
      <c r="BJ9" s="45"/>
      <c r="BK9" s="45"/>
      <c r="BL9" s="45"/>
      <c r="BM9" s="45"/>
      <c r="BN9" s="45"/>
      <c r="BO9" s="45"/>
      <c r="BP9" s="45"/>
      <c r="BQ9" s="45"/>
      <c r="BR9" s="45"/>
      <c r="BS9" s="45"/>
      <c r="BT9" s="45"/>
      <c r="BU9" s="45"/>
      <c r="BV9" s="45"/>
      <c r="BW9" s="45"/>
      <c r="BX9" s="45"/>
      <c r="BY9" s="45"/>
      <c r="BZ9" s="45"/>
      <c r="CA9" s="45"/>
      <c r="CB9" s="45"/>
      <c r="CC9" s="45"/>
      <c r="CD9" s="45"/>
      <c r="CE9" s="45"/>
      <c r="CF9" s="45"/>
      <c r="CG9" s="45"/>
      <c r="CH9" s="45"/>
      <c r="CI9" s="45"/>
      <c r="CJ9" s="45"/>
      <c r="CK9" s="45"/>
      <c r="CL9" s="45"/>
      <c r="CM9" s="45"/>
      <c r="CN9" s="45"/>
      <c r="CO9" s="45"/>
      <c r="CP9" s="45"/>
      <c r="CQ9" s="45"/>
      <c r="CR9" s="45"/>
      <c r="CS9" s="45"/>
      <c r="CT9" s="45"/>
      <c r="CU9" s="45"/>
      <c r="CV9" s="45"/>
      <c r="CW9" s="45"/>
      <c r="CX9" s="24"/>
      <c r="CY9" s="24"/>
      <c r="CZ9" s="24"/>
      <c r="DA9" s="24"/>
      <c r="DB9" s="24"/>
      <c r="DC9" s="24"/>
      <c r="DD9" s="24"/>
      <c r="DE9" s="24"/>
      <c r="DF9" s="24"/>
      <c r="DG9" s="24"/>
      <c r="DH9" s="24"/>
      <c r="DI9" s="24"/>
      <c r="DJ9" s="24"/>
      <c r="DK9" s="24"/>
      <c r="DL9" s="24"/>
      <c r="DM9" s="24"/>
      <c r="DN9" s="24"/>
      <c r="DO9" s="24"/>
      <c r="DP9" s="24"/>
      <c r="DQ9" s="24"/>
      <c r="DR9" s="24"/>
      <c r="DS9" s="24"/>
      <c r="DT9" s="24"/>
      <c r="DU9" s="24"/>
      <c r="DV9" s="24"/>
      <c r="DW9" s="24"/>
      <c r="DX9" s="24"/>
      <c r="DY9" s="24"/>
      <c r="DZ9" s="24"/>
      <c r="EA9" s="24"/>
    </row>
    <row r="10" spans="1:131">
      <c r="A10" s="24" t="s">
        <v>421</v>
      </c>
      <c r="B10" s="24"/>
      <c r="C10" s="198">
        <v>73.145658131418585</v>
      </c>
      <c r="D10" s="198">
        <v>4.0008899869194874</v>
      </c>
      <c r="E10" s="198">
        <v>0.8001779973838975</v>
      </c>
      <c r="F10" s="198">
        <v>4.8010679843033852</v>
      </c>
      <c r="G10" s="198">
        <v>11.438883255786179</v>
      </c>
      <c r="H10" s="198">
        <v>48.233328879575211</v>
      </c>
      <c r="I10" s="198">
        <v>574.98088904927863</v>
      </c>
      <c r="J10" s="198">
        <v>-9.7902216838547336</v>
      </c>
      <c r="K10" s="198">
        <v>-1.7453341021754094</v>
      </c>
      <c r="L10" s="199">
        <v>4.2166116919828811</v>
      </c>
      <c r="M10" s="198">
        <v>0.69488559328866673</v>
      </c>
      <c r="N10" s="198">
        <v>1.7073275578542112E-2</v>
      </c>
      <c r="O10" s="198">
        <v>2.9958608141122793</v>
      </c>
      <c r="P10" s="198">
        <v>2.214727517817785</v>
      </c>
      <c r="Q10" s="198">
        <v>2.0631208320711307</v>
      </c>
      <c r="R10" s="198">
        <v>1.1843832019243763</v>
      </c>
      <c r="S10" s="198">
        <v>0.95140190672247182</v>
      </c>
      <c r="T10" s="198">
        <v>0.73800958884303935</v>
      </c>
      <c r="U10" s="198">
        <v>0.7701072442609419</v>
      </c>
      <c r="V10" s="198">
        <v>1.1209165207336302</v>
      </c>
      <c r="W10" s="198">
        <v>1.4161900386280537</v>
      </c>
      <c r="X10" s="198">
        <v>2.3103541607048128</v>
      </c>
      <c r="Y10" s="198">
        <v>2.6754522129339762</v>
      </c>
      <c r="Z10" s="198">
        <v>3.1516287570611889</v>
      </c>
      <c r="AA10" s="198"/>
      <c r="AB10" s="198">
        <v>4.9651682403349291</v>
      </c>
      <c r="AC10" s="198">
        <v>4.3068674001448626</v>
      </c>
      <c r="AD10" s="198">
        <v>4.3417883427731647</v>
      </c>
      <c r="AE10" s="198">
        <v>4.1344678858724881</v>
      </c>
      <c r="AF10" s="198">
        <v>3.8080553794941068</v>
      </c>
      <c r="AG10" s="198">
        <v>3.4599719950269212</v>
      </c>
      <c r="AH10" s="198">
        <v>3.7782001471376341</v>
      </c>
      <c r="AI10" s="198">
        <v>4.0797138513129365</v>
      </c>
      <c r="AJ10" s="198">
        <v>4.3975109284338041</v>
      </c>
      <c r="AK10" s="198">
        <v>4.53848040266098</v>
      </c>
      <c r="AL10" s="198">
        <v>4.7575949304374063</v>
      </c>
      <c r="AM10" s="45">
        <v>4.9856858319756912</v>
      </c>
      <c r="AN10" s="45"/>
      <c r="AO10" s="45"/>
      <c r="AP10" s="45"/>
      <c r="AQ10" s="45"/>
      <c r="AR10" s="45"/>
      <c r="AS10" s="45"/>
      <c r="AT10" s="45"/>
      <c r="AU10" s="45"/>
      <c r="AV10" s="45"/>
      <c r="AW10" s="45"/>
      <c r="AX10" s="45"/>
      <c r="AY10" s="45"/>
      <c r="AZ10" s="45"/>
      <c r="BA10" s="45"/>
      <c r="BB10" s="45"/>
      <c r="BC10" s="45"/>
      <c r="BD10" s="45"/>
      <c r="BE10" s="45"/>
      <c r="BF10" s="45"/>
      <c r="BG10" s="45"/>
      <c r="BH10" s="45"/>
      <c r="BI10" s="45"/>
      <c r="BJ10" s="45"/>
      <c r="BK10" s="45"/>
      <c r="BL10" s="45"/>
      <c r="BM10" s="45"/>
      <c r="BN10" s="45"/>
      <c r="BO10" s="45"/>
      <c r="BP10" s="45"/>
      <c r="BQ10" s="45"/>
      <c r="BR10" s="45"/>
      <c r="BS10" s="45"/>
      <c r="BT10" s="45"/>
      <c r="BU10" s="45"/>
      <c r="BV10" s="45"/>
      <c r="BW10" s="45"/>
      <c r="BX10" s="45"/>
      <c r="BY10" s="45"/>
      <c r="BZ10" s="45"/>
      <c r="CA10" s="45"/>
      <c r="CB10" s="45"/>
      <c r="CC10" s="45"/>
      <c r="CD10" s="45"/>
      <c r="CE10" s="45"/>
      <c r="CF10" s="45"/>
      <c r="CG10" s="45"/>
      <c r="CH10" s="45"/>
      <c r="CI10" s="45"/>
      <c r="CJ10" s="45"/>
      <c r="CK10" s="45"/>
      <c r="CL10" s="45"/>
      <c r="CM10" s="45"/>
      <c r="CN10" s="45"/>
      <c r="CO10" s="45"/>
      <c r="CP10" s="45"/>
      <c r="CQ10" s="45"/>
      <c r="CR10" s="45"/>
      <c r="CS10" s="45"/>
      <c r="CT10" s="45"/>
      <c r="CU10" s="45"/>
      <c r="CV10" s="45"/>
      <c r="CW10" s="45"/>
      <c r="CX10" s="24"/>
      <c r="CY10" s="24"/>
      <c r="CZ10" s="24"/>
      <c r="DA10" s="24"/>
      <c r="DB10" s="24"/>
      <c r="DC10" s="24"/>
      <c r="DD10" s="24"/>
      <c r="DE10" s="24"/>
      <c r="DF10" s="24"/>
      <c r="DG10" s="24"/>
      <c r="DH10" s="24"/>
      <c r="DI10" s="24"/>
      <c r="DJ10" s="24"/>
      <c r="DK10" s="24"/>
      <c r="DL10" s="24"/>
      <c r="DM10" s="24"/>
      <c r="DN10" s="24"/>
      <c r="DO10" s="24"/>
      <c r="DP10" s="24"/>
      <c r="DQ10" s="24"/>
      <c r="DR10" s="24"/>
      <c r="DS10" s="24"/>
      <c r="DT10" s="24"/>
      <c r="DU10" s="24"/>
      <c r="DV10" s="24"/>
      <c r="DW10" s="24"/>
      <c r="DX10" s="24"/>
      <c r="DY10" s="24"/>
      <c r="DZ10" s="24"/>
      <c r="EA10" s="24"/>
    </row>
    <row r="11" spans="1:131">
      <c r="A11" s="24" t="s">
        <v>423</v>
      </c>
      <c r="B11" s="24"/>
      <c r="C11" s="198">
        <v>1391.6616897786967</v>
      </c>
      <c r="D11" s="198">
        <v>134.02315442591345</v>
      </c>
      <c r="E11" s="198">
        <v>26.804630885182689</v>
      </c>
      <c r="F11" s="198">
        <v>160.82778531109614</v>
      </c>
      <c r="G11" s="198">
        <v>246.02925224682076</v>
      </c>
      <c r="H11" s="198">
        <v>917.6823025038716</v>
      </c>
      <c r="I11" s="198">
        <v>1012.3519312723475</v>
      </c>
      <c r="J11" s="198">
        <v>-7.1566326291843261</v>
      </c>
      <c r="K11" s="198">
        <v>-0.24403640914288602</v>
      </c>
      <c r="L11" s="199">
        <v>3.729972326962312</v>
      </c>
      <c r="M11" s="198">
        <v>13.220821080336949</v>
      </c>
      <c r="N11" s="198">
        <v>0.32483436677816196</v>
      </c>
      <c r="O11" s="198">
        <v>56.998936497618999</v>
      </c>
      <c r="P11" s="198">
        <v>42.137175583382799</v>
      </c>
      <c r="Q11" s="198">
        <v>39.25272253643822</v>
      </c>
      <c r="R11" s="198">
        <v>22.533951710082377</v>
      </c>
      <c r="S11" s="198">
        <v>18.101273800684453</v>
      </c>
      <c r="T11" s="198">
        <v>14.04129373799465</v>
      </c>
      <c r="U11" s="198">
        <v>14.651980394153476</v>
      </c>
      <c r="V11" s="198">
        <v>21.326441229667118</v>
      </c>
      <c r="W11" s="198">
        <v>26.944284494151312</v>
      </c>
      <c r="X11" s="198">
        <v>43.956558152734004</v>
      </c>
      <c r="Y11" s="198">
        <v>50.902875750796674</v>
      </c>
      <c r="Z11" s="198">
        <v>59.962561191625518</v>
      </c>
      <c r="AA11" s="198"/>
      <c r="AB11" s="198">
        <v>94.466774924156596</v>
      </c>
      <c r="AC11" s="198">
        <v>81.94201155411956</v>
      </c>
      <c r="AD11" s="198">
        <v>82.606413779326871</v>
      </c>
      <c r="AE11" s="198">
        <v>78.661956312586852</v>
      </c>
      <c r="AF11" s="198">
        <v>72.451665889397404</v>
      </c>
      <c r="AG11" s="198">
        <v>65.829067591885916</v>
      </c>
      <c r="AH11" s="198">
        <v>71.883643341356404</v>
      </c>
      <c r="AI11" s="198">
        <v>77.620211741494984</v>
      </c>
      <c r="AJ11" s="198">
        <v>83.66658590300915</v>
      </c>
      <c r="AK11" s="198">
        <v>86.348656469080638</v>
      </c>
      <c r="AL11" s="198">
        <v>90.51750670257691</v>
      </c>
      <c r="AM11" s="45">
        <v>94.857140490376139</v>
      </c>
      <c r="AN11" s="45"/>
      <c r="AO11" s="45"/>
      <c r="AP11" s="45"/>
      <c r="AQ11" s="45"/>
      <c r="AR11" s="45"/>
      <c r="AS11" s="45"/>
      <c r="AT11" s="45"/>
      <c r="AU11" s="45"/>
      <c r="AV11" s="45"/>
      <c r="AW11" s="45"/>
      <c r="AX11" s="45"/>
      <c r="AY11" s="45"/>
      <c r="AZ11" s="45"/>
      <c r="BA11" s="45"/>
      <c r="BB11" s="45"/>
      <c r="BC11" s="45"/>
      <c r="BD11" s="45"/>
      <c r="BE11" s="45"/>
      <c r="BF11" s="45"/>
      <c r="BG11" s="45"/>
      <c r="BH11" s="45"/>
      <c r="BI11" s="45"/>
      <c r="BJ11" s="45"/>
      <c r="BK11" s="45"/>
      <c r="BL11" s="45"/>
      <c r="BM11" s="45"/>
      <c r="BN11" s="45"/>
      <c r="BO11" s="45"/>
      <c r="BP11" s="45"/>
      <c r="BQ11" s="45"/>
      <c r="BR11" s="45"/>
      <c r="BS11" s="45"/>
      <c r="BT11" s="45"/>
      <c r="BU11" s="45"/>
      <c r="BV11" s="45"/>
      <c r="BW11" s="45"/>
      <c r="BX11" s="45"/>
      <c r="BY11" s="45"/>
      <c r="BZ11" s="45"/>
      <c r="CA11" s="45"/>
      <c r="CB11" s="45"/>
      <c r="CC11" s="45"/>
      <c r="CD11" s="45"/>
      <c r="CE11" s="45"/>
      <c r="CF11" s="45"/>
      <c r="CG11" s="45"/>
      <c r="CH11" s="45"/>
      <c r="CI11" s="45"/>
      <c r="CJ11" s="45"/>
      <c r="CK11" s="45"/>
      <c r="CL11" s="45"/>
      <c r="CM11" s="45"/>
      <c r="CN11" s="45"/>
      <c r="CO11" s="45"/>
      <c r="CP11" s="45"/>
      <c r="CQ11" s="45"/>
      <c r="CR11" s="45"/>
      <c r="CS11" s="45"/>
      <c r="CT11" s="45"/>
      <c r="CU11" s="45"/>
      <c r="CV11" s="45"/>
      <c r="CW11" s="45"/>
      <c r="CX11" s="24"/>
      <c r="CY11" s="24"/>
      <c r="CZ11" s="24"/>
      <c r="DA11" s="24"/>
      <c r="DB11" s="24"/>
      <c r="DC11" s="24"/>
      <c r="DD11" s="24"/>
      <c r="DE11" s="24"/>
      <c r="DF11" s="24"/>
      <c r="DG11" s="24"/>
      <c r="DH11" s="24"/>
      <c r="DI11" s="24"/>
      <c r="DJ11" s="24"/>
      <c r="DK11" s="24"/>
      <c r="DL11" s="24"/>
      <c r="DM11" s="24"/>
      <c r="DN11" s="24"/>
      <c r="DO11" s="24"/>
      <c r="DP11" s="24"/>
      <c r="DQ11" s="24"/>
      <c r="DR11" s="24"/>
      <c r="DS11" s="24"/>
      <c r="DT11" s="24"/>
      <c r="DU11" s="24"/>
      <c r="DV11" s="24"/>
      <c r="DW11" s="24"/>
      <c r="DX11" s="24"/>
      <c r="DY11" s="24"/>
      <c r="DZ11" s="24"/>
      <c r="EA11" s="24"/>
    </row>
    <row r="12" spans="1:131">
      <c r="A12" s="24" t="s">
        <v>413</v>
      </c>
      <c r="B12" s="24"/>
      <c r="C12" s="198">
        <v>797.11017216400808</v>
      </c>
      <c r="D12" s="198">
        <v>83.017365819435099</v>
      </c>
      <c r="E12" s="198">
        <v>16.603473163887021</v>
      </c>
      <c r="F12" s="198">
        <v>99.620838983322116</v>
      </c>
      <c r="G12" s="198">
        <v>152.3968042950888</v>
      </c>
      <c r="H12" s="198">
        <v>525.62623769362187</v>
      </c>
      <c r="I12" s="198">
        <v>1094.8029268334883</v>
      </c>
      <c r="J12" s="198">
        <v>-6.6601616274627427</v>
      </c>
      <c r="K12" s="198">
        <v>0.81543094063551591</v>
      </c>
      <c r="L12" s="199">
        <v>3.4490633850552528</v>
      </c>
      <c r="M12" s="198">
        <v>7.5725666984285294</v>
      </c>
      <c r="N12" s="198">
        <v>0.18605727234504985</v>
      </c>
      <c r="O12" s="198">
        <v>32.647612863444898</v>
      </c>
      <c r="P12" s="198">
        <v>24.135155498256541</v>
      </c>
      <c r="Q12" s="198">
        <v>22.483010525282101</v>
      </c>
      <c r="R12" s="198">
        <v>12.906902776073075</v>
      </c>
      <c r="S12" s="198">
        <v>10.367972030577274</v>
      </c>
      <c r="T12" s="198">
        <v>8.0425136016197722</v>
      </c>
      <c r="U12" s="198">
        <v>8.3923001547772653</v>
      </c>
      <c r="V12" s="198">
        <v>12.215269964734631</v>
      </c>
      <c r="W12" s="198">
        <v>15.433034773978974</v>
      </c>
      <c r="X12" s="198">
        <v>25.177253849989107</v>
      </c>
      <c r="Y12" s="198">
        <v>29.155936641334829</v>
      </c>
      <c r="Z12" s="198">
        <v>34.345105441863652</v>
      </c>
      <c r="AA12" s="198"/>
      <c r="AB12" s="198">
        <v>54.108284920559541</v>
      </c>
      <c r="AC12" s="198">
        <v>46.934403251235665</v>
      </c>
      <c r="AD12" s="198">
        <v>47.3149567837579</v>
      </c>
      <c r="AE12" s="198">
        <v>45.055666904975126</v>
      </c>
      <c r="AF12" s="198">
        <v>41.498562685770651</v>
      </c>
      <c r="AG12" s="198">
        <v>37.705298483792141</v>
      </c>
      <c r="AH12" s="198">
        <v>41.173213102328432</v>
      </c>
      <c r="AI12" s="198">
        <v>44.458980799068165</v>
      </c>
      <c r="AJ12" s="198">
        <v>47.92219774629833</v>
      </c>
      <c r="AK12" s="198">
        <v>49.458422926871663</v>
      </c>
      <c r="AL12" s="198">
        <v>51.846239557705708</v>
      </c>
      <c r="AM12" s="45">
        <v>54.331876879712809</v>
      </c>
      <c r="AN12" s="45"/>
      <c r="AO12" s="45"/>
      <c r="AP12" s="45"/>
      <c r="AQ12" s="45"/>
      <c r="AR12" s="45"/>
      <c r="AS12" s="45"/>
      <c r="AT12" s="45"/>
      <c r="AU12" s="45"/>
      <c r="AV12" s="45"/>
      <c r="AW12" s="45"/>
      <c r="AX12" s="45"/>
      <c r="AY12" s="45"/>
      <c r="AZ12" s="45"/>
      <c r="BA12" s="45"/>
      <c r="BB12" s="45"/>
      <c r="BC12" s="45"/>
      <c r="BD12" s="45"/>
      <c r="BE12" s="45"/>
      <c r="BF12" s="45"/>
      <c r="BG12" s="45"/>
      <c r="BH12" s="45"/>
      <c r="BI12" s="45"/>
      <c r="BJ12" s="45"/>
      <c r="BK12" s="45"/>
      <c r="BL12" s="45"/>
      <c r="BM12" s="45"/>
      <c r="BN12" s="45"/>
      <c r="BO12" s="45"/>
      <c r="BP12" s="45"/>
      <c r="BQ12" s="45"/>
      <c r="BR12" s="45"/>
      <c r="BS12" s="45"/>
      <c r="BT12" s="45"/>
      <c r="BU12" s="45"/>
      <c r="BV12" s="45"/>
      <c r="BW12" s="45"/>
      <c r="BX12" s="45"/>
      <c r="BY12" s="45"/>
      <c r="BZ12" s="45"/>
      <c r="CA12" s="45"/>
      <c r="CB12" s="45"/>
      <c r="CC12" s="45"/>
      <c r="CD12" s="45"/>
      <c r="CE12" s="45"/>
      <c r="CF12" s="45"/>
      <c r="CG12" s="45"/>
      <c r="CH12" s="45"/>
      <c r="CI12" s="45"/>
      <c r="CJ12" s="45"/>
      <c r="CK12" s="45"/>
      <c r="CL12" s="45"/>
      <c r="CM12" s="45"/>
      <c r="CN12" s="45"/>
      <c r="CO12" s="45"/>
      <c r="CP12" s="45"/>
      <c r="CQ12" s="45"/>
      <c r="CR12" s="45"/>
      <c r="CS12" s="45"/>
      <c r="CT12" s="45"/>
      <c r="CU12" s="45"/>
      <c r="CV12" s="45"/>
      <c r="CW12" s="45"/>
      <c r="CX12" s="24"/>
      <c r="CY12" s="24"/>
      <c r="CZ12" s="24"/>
      <c r="DA12" s="24"/>
      <c r="DB12" s="24"/>
      <c r="DC12" s="24"/>
      <c r="DD12" s="24"/>
      <c r="DE12" s="24"/>
      <c r="DF12" s="24"/>
      <c r="DG12" s="24"/>
      <c r="DH12" s="24"/>
      <c r="DI12" s="24"/>
      <c r="DJ12" s="24"/>
      <c r="DK12" s="24"/>
      <c r="DL12" s="24"/>
      <c r="DM12" s="24"/>
      <c r="DN12" s="24"/>
      <c r="DO12" s="24"/>
      <c r="DP12" s="24"/>
      <c r="DQ12" s="24"/>
      <c r="DR12" s="24"/>
      <c r="DS12" s="24"/>
      <c r="DT12" s="24"/>
      <c r="DU12" s="24"/>
      <c r="DV12" s="24"/>
      <c r="DW12" s="24"/>
      <c r="DX12" s="24"/>
      <c r="DY12" s="24"/>
      <c r="DZ12" s="24"/>
      <c r="EA12" s="24"/>
    </row>
    <row r="13" spans="1:131">
      <c r="A13" s="24" t="s">
        <v>425</v>
      </c>
      <c r="B13" s="24"/>
      <c r="C13" s="198">
        <v>1722.7756260529418</v>
      </c>
      <c r="D13" s="198">
        <v>332.28218672874203</v>
      </c>
      <c r="E13" s="198">
        <v>66.456437345748412</v>
      </c>
      <c r="F13" s="198">
        <v>398.73862407449042</v>
      </c>
      <c r="G13" s="198">
        <v>480.83706044696794</v>
      </c>
      <c r="H13" s="198">
        <v>1136.0237296359132</v>
      </c>
      <c r="I13" s="198">
        <v>2027.5132141817267</v>
      </c>
      <c r="J13" s="198">
        <v>-1.0439333754652007</v>
      </c>
      <c r="K13" s="198">
        <v>7.2846943626380103</v>
      </c>
      <c r="L13" s="199">
        <v>2.3625960290579693</v>
      </c>
      <c r="M13" s="198">
        <v>16.366411808916986</v>
      </c>
      <c r="N13" s="198">
        <v>0.40212124376201641</v>
      </c>
      <c r="O13" s="198">
        <v>70.56052432157756</v>
      </c>
      <c r="P13" s="198">
        <v>52.162748733356906</v>
      </c>
      <c r="Q13" s="198">
        <v>48.592006332191517</v>
      </c>
      <c r="R13" s="198">
        <v>27.89538797389563</v>
      </c>
      <c r="S13" s="198">
        <v>22.408056162908998</v>
      </c>
      <c r="T13" s="198">
        <v>17.382097091365431</v>
      </c>
      <c r="U13" s="198">
        <v>18.138082611491015</v>
      </c>
      <c r="V13" s="198">
        <v>26.400578108005242</v>
      </c>
      <c r="W13" s="198">
        <v>33.355058150189997</v>
      </c>
      <c r="X13" s="198">
        <v>54.415011598653045</v>
      </c>
      <c r="Y13" s="198">
        <v>63.014045930530052</v>
      </c>
      <c r="Z13" s="198">
        <v>74.229275444858786</v>
      </c>
      <c r="AA13" s="198"/>
      <c r="AB13" s="198">
        <v>116.94297436401092</v>
      </c>
      <c r="AC13" s="198">
        <v>101.43823121094492</v>
      </c>
      <c r="AD13" s="198">
        <v>102.26071268606873</v>
      </c>
      <c r="AE13" s="198">
        <v>97.37776215893102</v>
      </c>
      <c r="AF13" s="198">
        <v>89.689875763580062</v>
      </c>
      <c r="AG13" s="198">
        <v>81.491582304839497</v>
      </c>
      <c r="AH13" s="198">
        <v>88.986705296216584</v>
      </c>
      <c r="AI13" s="198">
        <v>96.088158393280608</v>
      </c>
      <c r="AJ13" s="198">
        <v>103.57312841721604</v>
      </c>
      <c r="AK13" s="198">
        <v>106.89333607437786</v>
      </c>
      <c r="AL13" s="198">
        <v>112.05406847340983</v>
      </c>
      <c r="AM13" s="45">
        <v>117.4262184510421</v>
      </c>
      <c r="AN13" s="45"/>
      <c r="AO13" s="45"/>
      <c r="AP13" s="45"/>
      <c r="AQ13" s="45"/>
      <c r="AR13" s="45"/>
      <c r="AS13" s="45"/>
      <c r="AT13" s="45"/>
      <c r="AU13" s="45"/>
      <c r="AV13" s="45"/>
      <c r="AW13" s="45"/>
      <c r="AX13" s="45"/>
      <c r="AY13" s="45"/>
      <c r="AZ13" s="45"/>
      <c r="BA13" s="45"/>
      <c r="BB13" s="45"/>
      <c r="BC13" s="45"/>
      <c r="BD13" s="45"/>
      <c r="BE13" s="45"/>
      <c r="BF13" s="45"/>
      <c r="BG13" s="45"/>
      <c r="BH13" s="45"/>
      <c r="BI13" s="45"/>
      <c r="BJ13" s="45"/>
      <c r="BK13" s="45"/>
      <c r="BL13" s="45"/>
      <c r="BM13" s="45"/>
      <c r="BN13" s="45"/>
      <c r="BO13" s="45"/>
      <c r="BP13" s="45"/>
      <c r="BQ13" s="45"/>
      <c r="BR13" s="45"/>
      <c r="BS13" s="45"/>
      <c r="BT13" s="45"/>
      <c r="BU13" s="45"/>
      <c r="BV13" s="45"/>
      <c r="BW13" s="45"/>
      <c r="BX13" s="45"/>
      <c r="BY13" s="45"/>
      <c r="BZ13" s="45"/>
      <c r="CA13" s="45"/>
      <c r="CB13" s="45"/>
      <c r="CC13" s="45"/>
      <c r="CD13" s="45"/>
      <c r="CE13" s="45"/>
      <c r="CF13" s="45"/>
      <c r="CG13" s="45"/>
      <c r="CH13" s="45"/>
      <c r="CI13" s="45"/>
      <c r="CJ13" s="45"/>
      <c r="CK13" s="45"/>
      <c r="CL13" s="45"/>
      <c r="CM13" s="45"/>
      <c r="CN13" s="45"/>
      <c r="CO13" s="45"/>
      <c r="CP13" s="45"/>
      <c r="CQ13" s="45"/>
      <c r="CR13" s="45"/>
      <c r="CS13" s="45"/>
      <c r="CT13" s="45"/>
      <c r="CU13" s="45"/>
      <c r="CV13" s="45"/>
      <c r="CW13" s="45"/>
      <c r="CX13" s="24"/>
      <c r="CY13" s="24"/>
      <c r="CZ13" s="24"/>
      <c r="DA13" s="24"/>
      <c r="DB13" s="24"/>
      <c r="DC13" s="24"/>
      <c r="DD13" s="24"/>
      <c r="DE13" s="24"/>
      <c r="DF13" s="24"/>
      <c r="DG13" s="24"/>
      <c r="DH13" s="24"/>
      <c r="DI13" s="24"/>
      <c r="DJ13" s="24"/>
      <c r="DK13" s="24"/>
      <c r="DL13" s="24"/>
      <c r="DM13" s="24"/>
      <c r="DN13" s="24"/>
      <c r="DO13" s="24"/>
      <c r="DP13" s="24"/>
      <c r="DQ13" s="24"/>
      <c r="DR13" s="24"/>
      <c r="DS13" s="24"/>
      <c r="DT13" s="24"/>
      <c r="DU13" s="24"/>
      <c r="DV13" s="24"/>
      <c r="DW13" s="24"/>
      <c r="DX13" s="24"/>
      <c r="DY13" s="24"/>
      <c r="DZ13" s="24"/>
      <c r="EA13" s="24"/>
    </row>
    <row r="14" spans="1:131">
      <c r="A14" s="24" t="s">
        <v>424</v>
      </c>
      <c r="B14" s="24"/>
      <c r="C14" s="198">
        <v>3387.6594304155228</v>
      </c>
      <c r="D14" s="198">
        <v>532.0694632777404</v>
      </c>
      <c r="E14" s="198">
        <v>106.41389265554808</v>
      </c>
      <c r="F14" s="198">
        <v>638.48335593328852</v>
      </c>
      <c r="G14" s="198">
        <v>976.73161592351858</v>
      </c>
      <c r="H14" s="198">
        <v>2233.8727357631246</v>
      </c>
      <c r="I14" s="198">
        <v>1651.0261178437197</v>
      </c>
      <c r="J14" s="198">
        <v>-3.3109154122748703</v>
      </c>
      <c r="K14" s="198">
        <v>7.9627104374355353</v>
      </c>
      <c r="L14" s="199">
        <v>2.2870896153504305</v>
      </c>
      <c r="M14" s="198">
        <v>32.182849854666841</v>
      </c>
      <c r="N14" s="198">
        <v>0.7907296823799802</v>
      </c>
      <c r="O14" s="198">
        <v>138.74994631814602</v>
      </c>
      <c r="P14" s="198">
        <v>102.57263046367333</v>
      </c>
      <c r="Q14" s="198">
        <v>95.551136204083235</v>
      </c>
      <c r="R14" s="198">
        <v>54.85338468096208</v>
      </c>
      <c r="S14" s="198">
        <v>44.063116304633951</v>
      </c>
      <c r="T14" s="198">
        <v>34.18008952615213</v>
      </c>
      <c r="U14" s="198">
        <v>35.666656573991425</v>
      </c>
      <c r="V14" s="198">
        <v>51.913996253193531</v>
      </c>
      <c r="W14" s="198">
        <v>65.589259324172076</v>
      </c>
      <c r="X14" s="198">
        <v>107.00147158494927</v>
      </c>
      <c r="Y14" s="198">
        <v>123.91057994840529</v>
      </c>
      <c r="Z14" s="198">
        <v>145.96416455566899</v>
      </c>
      <c r="AA14" s="198"/>
      <c r="AB14" s="198">
        <v>229.95621944845649</v>
      </c>
      <c r="AC14" s="198">
        <v>199.46775155725797</v>
      </c>
      <c r="AD14" s="198">
        <v>201.08507599777664</v>
      </c>
      <c r="AE14" s="198">
        <v>191.48326067641094</v>
      </c>
      <c r="AF14" s="198">
        <v>176.3658301455163</v>
      </c>
      <c r="AG14" s="198">
        <v>160.24473710889885</v>
      </c>
      <c r="AH14" s="198">
        <v>174.98311841629871</v>
      </c>
      <c r="AI14" s="198">
        <v>188.94738874269069</v>
      </c>
      <c r="AJ14" s="198">
        <v>203.66580529357771</v>
      </c>
      <c r="AK14" s="198">
        <v>210.19464898664282</v>
      </c>
      <c r="AL14" s="198">
        <v>220.34269352305554</v>
      </c>
      <c r="AM14" s="45">
        <v>230.90646878090988</v>
      </c>
      <c r="AN14" s="45"/>
      <c r="AO14" s="45"/>
      <c r="AP14" s="45"/>
      <c r="AQ14" s="45"/>
      <c r="AR14" s="45"/>
      <c r="AS14" s="45"/>
      <c r="AT14" s="45"/>
      <c r="AU14" s="45"/>
      <c r="AV14" s="45"/>
      <c r="AW14" s="45"/>
      <c r="AX14" s="45"/>
      <c r="AY14" s="45"/>
      <c r="AZ14" s="45"/>
      <c r="BA14" s="45"/>
      <c r="BB14" s="45"/>
      <c r="BC14" s="45"/>
      <c r="BD14" s="45"/>
      <c r="BE14" s="45"/>
      <c r="BF14" s="45"/>
      <c r="BG14" s="45"/>
      <c r="BH14" s="45"/>
      <c r="BI14" s="45"/>
      <c r="BJ14" s="45"/>
      <c r="BK14" s="45"/>
      <c r="BL14" s="45"/>
      <c r="BM14" s="45"/>
      <c r="BN14" s="45"/>
      <c r="BO14" s="45"/>
      <c r="BP14" s="45"/>
      <c r="BQ14" s="45"/>
      <c r="BR14" s="45"/>
      <c r="BS14" s="45"/>
      <c r="BT14" s="45"/>
      <c r="BU14" s="45"/>
      <c r="BV14" s="45"/>
      <c r="BW14" s="45"/>
      <c r="BX14" s="45"/>
      <c r="BY14" s="45"/>
      <c r="BZ14" s="45"/>
      <c r="CA14" s="45"/>
      <c r="CB14" s="45"/>
      <c r="CC14" s="45"/>
      <c r="CD14" s="45"/>
      <c r="CE14" s="45"/>
      <c r="CF14" s="45"/>
      <c r="CG14" s="45"/>
      <c r="CH14" s="45"/>
      <c r="CI14" s="45"/>
      <c r="CJ14" s="45"/>
      <c r="CK14" s="45"/>
      <c r="CL14" s="45"/>
      <c r="CM14" s="45"/>
      <c r="CN14" s="45"/>
      <c r="CO14" s="45"/>
      <c r="CP14" s="45"/>
      <c r="CQ14" s="45"/>
      <c r="CR14" s="45"/>
      <c r="CS14" s="45"/>
      <c r="CT14" s="45"/>
      <c r="CU14" s="45"/>
      <c r="CV14" s="45"/>
      <c r="CW14" s="45"/>
      <c r="CX14" s="24"/>
      <c r="CY14" s="24"/>
      <c r="CZ14" s="24"/>
      <c r="DA14" s="24"/>
      <c r="DB14" s="24"/>
      <c r="DC14" s="24"/>
      <c r="DD14" s="24"/>
      <c r="DE14" s="24"/>
      <c r="DF14" s="24"/>
      <c r="DG14" s="24"/>
      <c r="DH14" s="24"/>
      <c r="DI14" s="24"/>
      <c r="DJ14" s="24"/>
      <c r="DK14" s="24"/>
      <c r="DL14" s="24"/>
      <c r="DM14" s="24"/>
      <c r="DN14" s="24"/>
      <c r="DO14" s="24"/>
      <c r="DP14" s="24"/>
      <c r="DQ14" s="24"/>
      <c r="DR14" s="24"/>
      <c r="DS14" s="24"/>
      <c r="DT14" s="24"/>
      <c r="DU14" s="24"/>
      <c r="DV14" s="24"/>
      <c r="DW14" s="24"/>
      <c r="DX14" s="24"/>
      <c r="DY14" s="24"/>
      <c r="DZ14" s="24"/>
      <c r="EA14" s="24"/>
    </row>
    <row r="15" spans="1:131">
      <c r="A15" s="24" t="s">
        <v>422</v>
      </c>
      <c r="B15" s="24"/>
      <c r="C15" s="198">
        <v>299.03666118432898</v>
      </c>
      <c r="D15" s="198">
        <v>30.451059986919489</v>
      </c>
      <c r="E15" s="198">
        <v>6.0902119973838982</v>
      </c>
      <c r="F15" s="198">
        <v>36.541271984303386</v>
      </c>
      <c r="G15" s="198">
        <v>87.062159005654138</v>
      </c>
      <c r="H15" s="198">
        <v>197.18919747826337</v>
      </c>
      <c r="I15" s="198">
        <v>1070.4424712165446</v>
      </c>
      <c r="J15" s="198">
        <v>-6.8068458454061123</v>
      </c>
      <c r="K15" s="198">
        <v>8.1703290618003326</v>
      </c>
      <c r="L15" s="199">
        <v>2.2649242762915764</v>
      </c>
      <c r="M15" s="198">
        <v>2.8408558078566108</v>
      </c>
      <c r="N15" s="198">
        <v>6.9799567806392765E-2</v>
      </c>
      <c r="O15" s="198">
        <v>12.24778391651785</v>
      </c>
      <c r="P15" s="198">
        <v>9.0543272051962393</v>
      </c>
      <c r="Q15" s="198">
        <v>8.434523401702565</v>
      </c>
      <c r="R15" s="198">
        <v>4.8420372078673042</v>
      </c>
      <c r="S15" s="198">
        <v>3.8895548539536353</v>
      </c>
      <c r="T15" s="198">
        <v>3.0171568485053668</v>
      </c>
      <c r="U15" s="198">
        <v>3.1483796162432629</v>
      </c>
      <c r="V15" s="198">
        <v>4.582570481822783</v>
      </c>
      <c r="W15" s="198">
        <v>5.789718099097044</v>
      </c>
      <c r="X15" s="198">
        <v>9.4452714217049714</v>
      </c>
      <c r="Y15" s="198">
        <v>10.937878164641846</v>
      </c>
      <c r="Z15" s="198">
        <v>12.884599918573686</v>
      </c>
      <c r="AA15" s="198"/>
      <c r="AB15" s="198">
        <v>20.298776041369273</v>
      </c>
      <c r="AC15" s="198">
        <v>17.607487312356941</v>
      </c>
      <c r="AD15" s="198">
        <v>17.750252342513821</v>
      </c>
      <c r="AE15" s="198">
        <v>16.90267753341988</v>
      </c>
      <c r="AF15" s="198">
        <v>15.568226404402379</v>
      </c>
      <c r="AG15" s="198">
        <v>14.14517962672771</v>
      </c>
      <c r="AH15" s="198">
        <v>15.446171189768565</v>
      </c>
      <c r="AI15" s="198">
        <v>16.678830156838185</v>
      </c>
      <c r="AJ15" s="198">
        <v>17.978059383891143</v>
      </c>
      <c r="AK15" s="198">
        <v>18.554375763819891</v>
      </c>
      <c r="AL15" s="198">
        <v>19.450167509729397</v>
      </c>
      <c r="AM15" s="45">
        <v>20.382656783665329</v>
      </c>
      <c r="AN15" s="45"/>
      <c r="AO15" s="45"/>
      <c r="AP15" s="45"/>
      <c r="AQ15" s="45"/>
      <c r="AR15" s="45"/>
      <c r="AS15" s="45"/>
      <c r="AT15" s="45"/>
      <c r="AU15" s="45"/>
      <c r="AV15" s="45"/>
      <c r="AW15" s="45"/>
      <c r="AX15" s="45"/>
      <c r="AY15" s="45"/>
      <c r="AZ15" s="45"/>
      <c r="BA15" s="45"/>
      <c r="BB15" s="45"/>
      <c r="BC15" s="45"/>
      <c r="BD15" s="45"/>
      <c r="BE15" s="45"/>
      <c r="BF15" s="45"/>
      <c r="BG15" s="45"/>
      <c r="BH15" s="45"/>
      <c r="BI15" s="45"/>
      <c r="BJ15" s="45"/>
      <c r="BK15" s="45"/>
      <c r="BL15" s="45"/>
      <c r="BM15" s="45"/>
      <c r="BN15" s="45"/>
      <c r="BO15" s="45"/>
      <c r="BP15" s="45"/>
      <c r="BQ15" s="45"/>
      <c r="BR15" s="45"/>
      <c r="BS15" s="45"/>
      <c r="BT15" s="45"/>
      <c r="BU15" s="45"/>
      <c r="BV15" s="45"/>
      <c r="BW15" s="45"/>
      <c r="BX15" s="45"/>
      <c r="BY15" s="45"/>
      <c r="BZ15" s="45"/>
      <c r="CA15" s="45"/>
      <c r="CB15" s="45"/>
      <c r="CC15" s="45"/>
      <c r="CD15" s="45"/>
      <c r="CE15" s="45"/>
      <c r="CF15" s="45"/>
      <c r="CG15" s="45"/>
      <c r="CH15" s="45"/>
      <c r="CI15" s="45"/>
      <c r="CJ15" s="45"/>
      <c r="CK15" s="45"/>
      <c r="CL15" s="45"/>
      <c r="CM15" s="45"/>
      <c r="CN15" s="45"/>
      <c r="CO15" s="45"/>
      <c r="CP15" s="45"/>
      <c r="CQ15" s="45"/>
      <c r="CR15" s="45"/>
      <c r="CS15" s="45"/>
      <c r="CT15" s="45"/>
      <c r="CU15" s="45"/>
      <c r="CV15" s="45"/>
      <c r="CW15" s="45"/>
      <c r="CX15" s="24"/>
      <c r="CY15" s="24"/>
      <c r="CZ15" s="24"/>
      <c r="DA15" s="24"/>
      <c r="DB15" s="24"/>
      <c r="DC15" s="24"/>
      <c r="DD15" s="24"/>
      <c r="DE15" s="24"/>
      <c r="DF15" s="24"/>
      <c r="DG15" s="24"/>
      <c r="DH15" s="24"/>
      <c r="DI15" s="24"/>
      <c r="DJ15" s="24"/>
      <c r="DK15" s="24"/>
      <c r="DL15" s="24"/>
      <c r="DM15" s="24"/>
      <c r="DN15" s="24"/>
      <c r="DO15" s="24"/>
      <c r="DP15" s="24"/>
      <c r="DQ15" s="24"/>
      <c r="DR15" s="24"/>
      <c r="DS15" s="24"/>
      <c r="DT15" s="24"/>
      <c r="DU15" s="24"/>
      <c r="DV15" s="24"/>
      <c r="DW15" s="24"/>
      <c r="DX15" s="24"/>
      <c r="DY15" s="24"/>
      <c r="DZ15" s="24"/>
      <c r="EA15" s="24"/>
    </row>
    <row r="16" spans="1:131">
      <c r="A16" s="24" t="s">
        <v>426</v>
      </c>
      <c r="B16" s="24"/>
      <c r="C16" s="198">
        <v>1722.7756260529418</v>
      </c>
      <c r="D16" s="198">
        <v>371.54658006207535</v>
      </c>
      <c r="E16" s="198">
        <v>74.309316012415067</v>
      </c>
      <c r="F16" s="198">
        <v>445.85589607449043</v>
      </c>
      <c r="G16" s="198">
        <v>537.65556057934486</v>
      </c>
      <c r="H16" s="198">
        <v>1136.0237296359132</v>
      </c>
      <c r="I16" s="198">
        <v>2267.095952919241</v>
      </c>
      <c r="J16" s="198">
        <v>0.39869180433642498</v>
      </c>
      <c r="K16" s="198">
        <v>9.7114785750234507</v>
      </c>
      <c r="L16" s="199">
        <v>2.1129210091527804</v>
      </c>
      <c r="M16" s="198">
        <v>16.366411808916986</v>
      </c>
      <c r="N16" s="198">
        <v>0.40212124376201641</v>
      </c>
      <c r="O16" s="198">
        <v>70.56052432157756</v>
      </c>
      <c r="P16" s="198">
        <v>52.162748733356906</v>
      </c>
      <c r="Q16" s="198">
        <v>48.592006332191517</v>
      </c>
      <c r="R16" s="198">
        <v>27.89538797389563</v>
      </c>
      <c r="S16" s="198">
        <v>22.408056162908998</v>
      </c>
      <c r="T16" s="198">
        <v>17.382097091365431</v>
      </c>
      <c r="U16" s="198">
        <v>18.138082611491015</v>
      </c>
      <c r="V16" s="198">
        <v>26.400578108005242</v>
      </c>
      <c r="W16" s="198">
        <v>33.355058150189997</v>
      </c>
      <c r="X16" s="198">
        <v>54.415011598653045</v>
      </c>
      <c r="Y16" s="198">
        <v>63.014045930530052</v>
      </c>
      <c r="Z16" s="198">
        <v>74.229275444858786</v>
      </c>
      <c r="AA16" s="198"/>
      <c r="AB16" s="198">
        <v>116.94297436401092</v>
      </c>
      <c r="AC16" s="198">
        <v>101.43823121094492</v>
      </c>
      <c r="AD16" s="198">
        <v>102.26071268606873</v>
      </c>
      <c r="AE16" s="198">
        <v>97.37776215893102</v>
      </c>
      <c r="AF16" s="198">
        <v>89.689875763580062</v>
      </c>
      <c r="AG16" s="198">
        <v>81.491582304839497</v>
      </c>
      <c r="AH16" s="198">
        <v>88.986705296216584</v>
      </c>
      <c r="AI16" s="198">
        <v>96.088158393280608</v>
      </c>
      <c r="AJ16" s="198">
        <v>103.57312841721604</v>
      </c>
      <c r="AK16" s="198">
        <v>106.89333607437786</v>
      </c>
      <c r="AL16" s="198">
        <v>112.05406847340983</v>
      </c>
      <c r="AM16" s="45">
        <v>117.4262184510421</v>
      </c>
      <c r="AN16" s="45"/>
      <c r="AO16" s="45"/>
      <c r="AP16" s="45"/>
      <c r="AQ16" s="45"/>
      <c r="AR16" s="45"/>
      <c r="AS16" s="45"/>
      <c r="AT16" s="45"/>
      <c r="AU16" s="45"/>
      <c r="AV16" s="45"/>
      <c r="AW16" s="45"/>
      <c r="AX16" s="45"/>
      <c r="AY16" s="45"/>
      <c r="AZ16" s="45"/>
      <c r="BA16" s="45"/>
      <c r="BB16" s="45"/>
      <c r="BC16" s="45"/>
      <c r="BD16" s="45"/>
      <c r="BE16" s="45"/>
      <c r="BF16" s="45"/>
      <c r="BG16" s="45"/>
      <c r="BH16" s="45"/>
      <c r="BI16" s="45"/>
      <c r="BJ16" s="45"/>
      <c r="BK16" s="45"/>
      <c r="BL16" s="45"/>
      <c r="BM16" s="45"/>
      <c r="BN16" s="45"/>
      <c r="BO16" s="45"/>
      <c r="BP16" s="45"/>
      <c r="BQ16" s="45"/>
      <c r="BR16" s="45"/>
      <c r="BS16" s="45"/>
      <c r="BT16" s="45"/>
      <c r="BU16" s="45"/>
      <c r="BV16" s="45"/>
      <c r="BW16" s="45"/>
      <c r="BX16" s="45"/>
      <c r="BY16" s="45"/>
      <c r="BZ16" s="45"/>
      <c r="CA16" s="45"/>
      <c r="CB16" s="45"/>
      <c r="CC16" s="45"/>
      <c r="CD16" s="45"/>
      <c r="CE16" s="45"/>
      <c r="CF16" s="45"/>
      <c r="CG16" s="45"/>
      <c r="CH16" s="45"/>
      <c r="CI16" s="45"/>
      <c r="CJ16" s="45"/>
      <c r="CK16" s="45"/>
      <c r="CL16" s="45"/>
      <c r="CM16" s="45"/>
      <c r="CN16" s="45"/>
      <c r="CO16" s="45"/>
      <c r="CP16" s="45"/>
      <c r="CQ16" s="45"/>
      <c r="CR16" s="45"/>
      <c r="CS16" s="45"/>
      <c r="CT16" s="45"/>
      <c r="CU16" s="45"/>
      <c r="CV16" s="45"/>
      <c r="CW16" s="45"/>
      <c r="CX16" s="24"/>
      <c r="CY16" s="24"/>
      <c r="CZ16" s="24"/>
      <c r="DA16" s="24"/>
      <c r="DB16" s="24"/>
      <c r="DC16" s="24"/>
      <c r="DD16" s="24"/>
      <c r="DE16" s="24"/>
      <c r="DF16" s="24"/>
      <c r="DG16" s="24"/>
      <c r="DH16" s="24"/>
      <c r="DI16" s="24"/>
      <c r="DJ16" s="24"/>
      <c r="DK16" s="24"/>
      <c r="DL16" s="24"/>
      <c r="DM16" s="24"/>
      <c r="DN16" s="24"/>
      <c r="DO16" s="24"/>
      <c r="DP16" s="24"/>
      <c r="DQ16" s="24"/>
      <c r="DR16" s="24"/>
      <c r="DS16" s="24"/>
      <c r="DT16" s="24"/>
      <c r="DU16" s="24"/>
      <c r="DV16" s="24"/>
      <c r="DW16" s="24"/>
      <c r="DX16" s="24"/>
      <c r="DY16" s="24"/>
      <c r="DZ16" s="24"/>
      <c r="EA16" s="24"/>
    </row>
    <row r="17" spans="1:131">
      <c r="A17" s="24" t="s">
        <v>428</v>
      </c>
      <c r="B17" s="24"/>
      <c r="C17" s="198">
        <v>686.32071762629175</v>
      </c>
      <c r="D17" s="198">
        <v>154.26033291735365</v>
      </c>
      <c r="E17" s="198">
        <v>30.85206658347073</v>
      </c>
      <c r="F17" s="198">
        <v>185.11239950082438</v>
      </c>
      <c r="G17" s="198">
        <v>248.08603178663276</v>
      </c>
      <c r="H17" s="198">
        <v>452.5700326690461</v>
      </c>
      <c r="I17" s="198">
        <v>2362.7213604095077</v>
      </c>
      <c r="J17" s="198">
        <v>0.97449130225179015</v>
      </c>
      <c r="K17" s="198">
        <v>13.345359986942796</v>
      </c>
      <c r="L17" s="199">
        <v>1.8242463286215183</v>
      </c>
      <c r="M17" s="198">
        <v>6.5200640918042199</v>
      </c>
      <c r="N17" s="198">
        <v>0.16019737940211778</v>
      </c>
      <c r="O17" s="198">
        <v>28.109957533717932</v>
      </c>
      <c r="P17" s="198">
        <v>20.780637131522365</v>
      </c>
      <c r="Q17" s="198">
        <v>19.358121947208314</v>
      </c>
      <c r="R17" s="198">
        <v>11.112986742546086</v>
      </c>
      <c r="S17" s="198">
        <v>8.9269391520084955</v>
      </c>
      <c r="T17" s="198">
        <v>6.9246935986248941</v>
      </c>
      <c r="U17" s="198">
        <v>7.2258637085575579</v>
      </c>
      <c r="V17" s="198">
        <v>10.517483204907098</v>
      </c>
      <c r="W17" s="198">
        <v>13.288014469158504</v>
      </c>
      <c r="X17" s="198">
        <v>21.67789539465128</v>
      </c>
      <c r="Y17" s="198">
        <v>25.103585498630952</v>
      </c>
      <c r="Z17" s="198">
        <v>29.571517510330498</v>
      </c>
      <c r="AA17" s="198"/>
      <c r="AB17" s="198">
        <v>46.587834697165938</v>
      </c>
      <c r="AC17" s="198">
        <v>40.4110428465616</v>
      </c>
      <c r="AD17" s="198">
        <v>40.738703667683502</v>
      </c>
      <c r="AE17" s="198">
        <v>38.793429971423393</v>
      </c>
      <c r="AF17" s="198">
        <v>35.730723703645879</v>
      </c>
      <c r="AG17" s="198">
        <v>32.464681065925831</v>
      </c>
      <c r="AH17" s="198">
        <v>35.450594096240067</v>
      </c>
      <c r="AI17" s="198">
        <v>38.279676602435593</v>
      </c>
      <c r="AJ17" s="198">
        <v>41.261544885543508</v>
      </c>
      <c r="AK17" s="198">
        <v>42.584251840222457</v>
      </c>
      <c r="AL17" s="198">
        <v>44.640188498495121</v>
      </c>
      <c r="AM17" s="45">
        <v>46.780349859085064</v>
      </c>
      <c r="AN17" s="45"/>
      <c r="AO17" s="45"/>
      <c r="AP17" s="45"/>
      <c r="AQ17" s="45"/>
      <c r="AR17" s="45"/>
      <c r="AS17" s="45"/>
      <c r="AT17" s="45"/>
      <c r="AU17" s="45"/>
      <c r="AV17" s="45"/>
      <c r="AW17" s="45"/>
      <c r="AX17" s="45"/>
      <c r="AY17" s="45"/>
      <c r="AZ17" s="45"/>
      <c r="BA17" s="45"/>
      <c r="BB17" s="45"/>
      <c r="BC17" s="45"/>
      <c r="BD17" s="45"/>
      <c r="BE17" s="45"/>
      <c r="BF17" s="45"/>
      <c r="BG17" s="45"/>
      <c r="BH17" s="45"/>
      <c r="BI17" s="45"/>
      <c r="BJ17" s="45"/>
      <c r="BK17" s="45"/>
      <c r="BL17" s="45"/>
      <c r="BM17" s="45"/>
      <c r="BN17" s="45"/>
      <c r="BO17" s="45"/>
      <c r="BP17" s="45"/>
      <c r="BQ17" s="45"/>
      <c r="BR17" s="45"/>
      <c r="BS17" s="45"/>
      <c r="BT17" s="45"/>
      <c r="BU17" s="45"/>
      <c r="BV17" s="45"/>
      <c r="BW17" s="45"/>
      <c r="BX17" s="45"/>
      <c r="BY17" s="45"/>
      <c r="BZ17" s="45"/>
      <c r="CA17" s="45"/>
      <c r="CB17" s="45"/>
      <c r="CC17" s="45"/>
      <c r="CD17" s="45"/>
      <c r="CE17" s="45"/>
      <c r="CF17" s="45"/>
      <c r="CG17" s="45"/>
      <c r="CH17" s="45"/>
      <c r="CI17" s="45"/>
      <c r="CJ17" s="45"/>
      <c r="CK17" s="45"/>
      <c r="CL17" s="45"/>
      <c r="CM17" s="45"/>
      <c r="CN17" s="45"/>
      <c r="CO17" s="45"/>
      <c r="CP17" s="45"/>
      <c r="CQ17" s="45"/>
      <c r="CR17" s="45"/>
      <c r="CS17" s="45"/>
      <c r="CT17" s="45"/>
      <c r="CU17" s="45"/>
      <c r="CV17" s="45"/>
      <c r="CW17" s="45"/>
      <c r="CX17" s="24"/>
      <c r="CY17" s="24"/>
      <c r="CZ17" s="24"/>
      <c r="DA17" s="24"/>
      <c r="DB17" s="24"/>
      <c r="DC17" s="24"/>
      <c r="DD17" s="24"/>
      <c r="DE17" s="24"/>
      <c r="DF17" s="24"/>
      <c r="DG17" s="24"/>
      <c r="DH17" s="24"/>
      <c r="DI17" s="24"/>
      <c r="DJ17" s="24"/>
      <c r="DK17" s="24"/>
      <c r="DL17" s="24"/>
      <c r="DM17" s="24"/>
      <c r="DN17" s="24"/>
      <c r="DO17" s="24"/>
      <c r="DP17" s="24"/>
      <c r="DQ17" s="24"/>
      <c r="DR17" s="24"/>
      <c r="DS17" s="24"/>
      <c r="DT17" s="24"/>
      <c r="DU17" s="24"/>
      <c r="DV17" s="24"/>
      <c r="DW17" s="24"/>
      <c r="DX17" s="24"/>
      <c r="DY17" s="24"/>
      <c r="DZ17" s="24"/>
      <c r="EA17" s="24"/>
    </row>
    <row r="18" spans="1:131">
      <c r="A18" s="24" t="s">
        <v>430</v>
      </c>
      <c r="B18" s="24"/>
      <c r="C18" s="198">
        <v>696.18365257841458</v>
      </c>
      <c r="D18" s="198">
        <v>186.95819668884204</v>
      </c>
      <c r="E18" s="198">
        <v>37.39163933776841</v>
      </c>
      <c r="F18" s="198">
        <v>224.34983602661043</v>
      </c>
      <c r="G18" s="198">
        <v>270.54242843211949</v>
      </c>
      <c r="H18" s="198">
        <v>459.073797860534</v>
      </c>
      <c r="I18" s="198">
        <v>2822.9685605433629</v>
      </c>
      <c r="J18" s="198">
        <v>3.7458270142695529</v>
      </c>
      <c r="K18" s="198">
        <v>15.342029738217567</v>
      </c>
      <c r="L18" s="199">
        <v>1.6968643348143746</v>
      </c>
      <c r="M18" s="198">
        <v>6.6137622220945982</v>
      </c>
      <c r="N18" s="198">
        <v>0.16249953390797076</v>
      </c>
      <c r="O18" s="198">
        <v>28.513918357778262</v>
      </c>
      <c r="P18" s="198">
        <v>21.07927021519313</v>
      </c>
      <c r="Q18" s="198">
        <v>19.636312438413242</v>
      </c>
      <c r="R18" s="198">
        <v>11.272688559132099</v>
      </c>
      <c r="S18" s="198">
        <v>9.0552258522589746</v>
      </c>
      <c r="T18" s="198">
        <v>7.0242065533887157</v>
      </c>
      <c r="U18" s="198">
        <v>7.3297046999484285</v>
      </c>
      <c r="V18" s="198">
        <v>10.668627196405437</v>
      </c>
      <c r="W18" s="198">
        <v>13.478973038507039</v>
      </c>
      <c r="X18" s="198">
        <v>21.98942274139355</v>
      </c>
      <c r="Y18" s="198">
        <v>25.464342539004704</v>
      </c>
      <c r="Z18" s="198">
        <v>29.996482029321985</v>
      </c>
      <c r="AA18" s="198"/>
      <c r="AB18" s="198">
        <v>47.257336245607604</v>
      </c>
      <c r="AC18" s="198">
        <v>40.991779340021367</v>
      </c>
      <c r="AD18" s="198">
        <v>41.324148888830038</v>
      </c>
      <c r="AE18" s="198">
        <v>39.350920174693371</v>
      </c>
      <c r="AF18" s="198">
        <v>36.244200558752595</v>
      </c>
      <c r="AG18" s="198">
        <v>32.931222479249435</v>
      </c>
      <c r="AH18" s="198">
        <v>35.960045282260815</v>
      </c>
      <c r="AI18" s="198">
        <v>38.829783790841496</v>
      </c>
      <c r="AJ18" s="198">
        <v>41.854503720645738</v>
      </c>
      <c r="AK18" s="198">
        <v>43.196218949910715</v>
      </c>
      <c r="AL18" s="198">
        <v>45.281700934450605</v>
      </c>
      <c r="AM18" s="45">
        <v>47.452617992405401</v>
      </c>
      <c r="AN18" s="45"/>
      <c r="AO18" s="45"/>
      <c r="AP18" s="45"/>
      <c r="AQ18" s="45"/>
      <c r="AR18" s="45"/>
      <c r="AS18" s="45"/>
      <c r="AT18" s="45"/>
      <c r="AU18" s="45"/>
      <c r="AV18" s="45"/>
      <c r="AW18" s="45"/>
      <c r="AX18" s="45"/>
      <c r="AY18" s="45"/>
      <c r="AZ18" s="45"/>
      <c r="BA18" s="45"/>
      <c r="BB18" s="45"/>
      <c r="BC18" s="45"/>
      <c r="BD18" s="45"/>
      <c r="BE18" s="45"/>
      <c r="BF18" s="45"/>
      <c r="BG18" s="45"/>
      <c r="BH18" s="45"/>
      <c r="BI18" s="45"/>
      <c r="BJ18" s="45"/>
      <c r="BK18" s="45"/>
      <c r="BL18" s="45"/>
      <c r="BM18" s="45"/>
      <c r="BN18" s="45"/>
      <c r="BO18" s="45"/>
      <c r="BP18" s="45"/>
      <c r="BQ18" s="45"/>
      <c r="BR18" s="45"/>
      <c r="BS18" s="45"/>
      <c r="BT18" s="45"/>
      <c r="BU18" s="45"/>
      <c r="BV18" s="45"/>
      <c r="BW18" s="45"/>
      <c r="BX18" s="45"/>
      <c r="BY18" s="45"/>
      <c r="BZ18" s="45"/>
      <c r="CA18" s="45"/>
      <c r="CB18" s="45"/>
      <c r="CC18" s="45"/>
      <c r="CD18" s="45"/>
      <c r="CE18" s="45"/>
      <c r="CF18" s="45"/>
      <c r="CG18" s="45"/>
      <c r="CH18" s="45"/>
      <c r="CI18" s="45"/>
      <c r="CJ18" s="45"/>
      <c r="CK18" s="45"/>
      <c r="CL18" s="45"/>
      <c r="CM18" s="45"/>
      <c r="CN18" s="45"/>
      <c r="CO18" s="45"/>
      <c r="CP18" s="45"/>
      <c r="CQ18" s="45"/>
      <c r="CR18" s="45"/>
      <c r="CS18" s="45"/>
      <c r="CT18" s="45"/>
      <c r="CU18" s="45"/>
      <c r="CV18" s="45"/>
      <c r="CW18" s="45"/>
      <c r="CX18" s="24"/>
      <c r="CY18" s="24"/>
      <c r="CZ18" s="24"/>
      <c r="DA18" s="24"/>
      <c r="DB18" s="24"/>
      <c r="DC18" s="24"/>
      <c r="DD18" s="24"/>
      <c r="DE18" s="24"/>
      <c r="DF18" s="24"/>
      <c r="DG18" s="24"/>
      <c r="DH18" s="24"/>
      <c r="DI18" s="24"/>
      <c r="DJ18" s="24"/>
      <c r="DK18" s="24"/>
      <c r="DL18" s="24"/>
      <c r="DM18" s="24"/>
      <c r="DN18" s="24"/>
      <c r="DO18" s="24"/>
      <c r="DP18" s="24"/>
      <c r="DQ18" s="24"/>
      <c r="DR18" s="24"/>
      <c r="DS18" s="24"/>
      <c r="DT18" s="24"/>
      <c r="DU18" s="24"/>
      <c r="DV18" s="24"/>
      <c r="DW18" s="24"/>
      <c r="DX18" s="24"/>
      <c r="DY18" s="24"/>
      <c r="DZ18" s="24"/>
      <c r="EA18" s="24"/>
    </row>
    <row r="19" spans="1:131">
      <c r="A19" s="24" t="s">
        <v>429</v>
      </c>
      <c r="B19" s="24"/>
      <c r="C19" s="198">
        <v>1391.6616897786967</v>
      </c>
      <c r="D19" s="198">
        <v>338.08982109258011</v>
      </c>
      <c r="E19" s="198">
        <v>67.617964218516022</v>
      </c>
      <c r="F19" s="198">
        <v>405.70778531109613</v>
      </c>
      <c r="G19" s="198">
        <v>620.63892043109524</v>
      </c>
      <c r="H19" s="198">
        <v>917.6823025038716</v>
      </c>
      <c r="I19" s="198">
        <v>2553.7817311694212</v>
      </c>
      <c r="J19" s="198">
        <v>2.1249435559196197</v>
      </c>
      <c r="K19" s="198">
        <v>19.562814118882429</v>
      </c>
      <c r="L19" s="199">
        <v>1.4786090145079047</v>
      </c>
      <c r="M19" s="198">
        <v>13.220821080336949</v>
      </c>
      <c r="N19" s="198">
        <v>0.32483436677816196</v>
      </c>
      <c r="O19" s="198">
        <v>56.998936497618999</v>
      </c>
      <c r="P19" s="198">
        <v>42.137175583382799</v>
      </c>
      <c r="Q19" s="198">
        <v>39.25272253643822</v>
      </c>
      <c r="R19" s="198">
        <v>22.533951710082377</v>
      </c>
      <c r="S19" s="198">
        <v>18.101273800684453</v>
      </c>
      <c r="T19" s="198">
        <v>14.04129373799465</v>
      </c>
      <c r="U19" s="198">
        <v>14.651980394153476</v>
      </c>
      <c r="V19" s="198">
        <v>21.326441229667118</v>
      </c>
      <c r="W19" s="198">
        <v>26.944284494151312</v>
      </c>
      <c r="X19" s="198">
        <v>43.956558152734004</v>
      </c>
      <c r="Y19" s="198">
        <v>50.902875750796674</v>
      </c>
      <c r="Z19" s="198">
        <v>59.962561191625518</v>
      </c>
      <c r="AA19" s="198"/>
      <c r="AB19" s="198">
        <v>94.466774924156596</v>
      </c>
      <c r="AC19" s="198">
        <v>81.94201155411956</v>
      </c>
      <c r="AD19" s="198">
        <v>82.606413779326871</v>
      </c>
      <c r="AE19" s="198">
        <v>78.661956312586852</v>
      </c>
      <c r="AF19" s="198">
        <v>72.451665889397404</v>
      </c>
      <c r="AG19" s="198">
        <v>65.829067591885916</v>
      </c>
      <c r="AH19" s="198">
        <v>71.883643341356404</v>
      </c>
      <c r="AI19" s="198">
        <v>77.620211741494984</v>
      </c>
      <c r="AJ19" s="198">
        <v>83.66658590300915</v>
      </c>
      <c r="AK19" s="198">
        <v>86.348656469080638</v>
      </c>
      <c r="AL19" s="198">
        <v>90.51750670257691</v>
      </c>
      <c r="AM19" s="45">
        <v>94.857140490376139</v>
      </c>
      <c r="AN19" s="45"/>
      <c r="AO19" s="45"/>
      <c r="AP19" s="45"/>
      <c r="AQ19" s="45"/>
      <c r="AR19" s="45"/>
      <c r="AS19" s="45"/>
      <c r="AT19" s="45"/>
      <c r="AU19" s="45"/>
      <c r="AV19" s="45"/>
      <c r="AW19" s="45"/>
      <c r="AX19" s="45"/>
      <c r="AY19" s="45"/>
      <c r="AZ19" s="45"/>
      <c r="BA19" s="45"/>
      <c r="BB19" s="45"/>
      <c r="BC19" s="45"/>
      <c r="BD19" s="45"/>
      <c r="BE19" s="45"/>
      <c r="BF19" s="45"/>
      <c r="BG19" s="45"/>
      <c r="BH19" s="45"/>
      <c r="BI19" s="45"/>
      <c r="BJ19" s="45"/>
      <c r="BK19" s="45"/>
      <c r="BL19" s="45"/>
      <c r="BM19" s="45"/>
      <c r="BN19" s="45"/>
      <c r="BO19" s="45"/>
      <c r="BP19" s="45"/>
      <c r="BQ19" s="45"/>
      <c r="BR19" s="45"/>
      <c r="BS19" s="45"/>
      <c r="BT19" s="45"/>
      <c r="BU19" s="45"/>
      <c r="BV19" s="45"/>
      <c r="BW19" s="45"/>
      <c r="BX19" s="45"/>
      <c r="BY19" s="45"/>
      <c r="BZ19" s="45"/>
      <c r="CA19" s="45"/>
      <c r="CB19" s="45"/>
      <c r="CC19" s="45"/>
      <c r="CD19" s="45"/>
      <c r="CE19" s="45"/>
      <c r="CF19" s="45"/>
      <c r="CG19" s="45"/>
      <c r="CH19" s="45"/>
      <c r="CI19" s="45"/>
      <c r="CJ19" s="45"/>
      <c r="CK19" s="45"/>
      <c r="CL19" s="45"/>
      <c r="CM19" s="45"/>
      <c r="CN19" s="45"/>
      <c r="CO19" s="45"/>
      <c r="CP19" s="45"/>
      <c r="CQ19" s="45"/>
      <c r="CR19" s="45"/>
      <c r="CS19" s="45"/>
      <c r="CT19" s="45"/>
      <c r="CU19" s="45"/>
      <c r="CV19" s="45"/>
      <c r="CW19" s="45"/>
      <c r="CX19" s="24"/>
      <c r="CY19" s="24"/>
      <c r="CZ19" s="24"/>
      <c r="DA19" s="24"/>
      <c r="DB19" s="24"/>
      <c r="DC19" s="24"/>
      <c r="DD19" s="24"/>
      <c r="DE19" s="24"/>
      <c r="DF19" s="24"/>
      <c r="DG19" s="24"/>
      <c r="DH19" s="24"/>
      <c r="DI19" s="24"/>
      <c r="DJ19" s="24"/>
      <c r="DK19" s="24"/>
      <c r="DL19" s="24"/>
      <c r="DM19" s="24"/>
      <c r="DN19" s="24"/>
      <c r="DO19" s="24"/>
      <c r="DP19" s="24"/>
      <c r="DQ19" s="24"/>
      <c r="DR19" s="24"/>
      <c r="DS19" s="24"/>
      <c r="DT19" s="24"/>
      <c r="DU19" s="24"/>
      <c r="DV19" s="24"/>
      <c r="DW19" s="24"/>
      <c r="DX19" s="24"/>
      <c r="DY19" s="24"/>
      <c r="DZ19" s="24"/>
      <c r="EA19" s="24"/>
    </row>
    <row r="20" spans="1:131">
      <c r="A20" s="24" t="s">
        <v>435</v>
      </c>
      <c r="B20" s="24"/>
      <c r="C20" s="198">
        <v>696.18365257841458</v>
      </c>
      <c r="D20" s="198">
        <v>228.79070335550873</v>
      </c>
      <c r="E20" s="198">
        <v>45.758140671101749</v>
      </c>
      <c r="F20" s="198">
        <v>274.54884402661048</v>
      </c>
      <c r="G20" s="198">
        <v>331.07717973718638</v>
      </c>
      <c r="H20" s="198">
        <v>459.073797860534</v>
      </c>
      <c r="I20" s="198">
        <v>3454.6169890167243</v>
      </c>
      <c r="J20" s="198">
        <v>7.5492392821964849</v>
      </c>
      <c r="K20" s="198">
        <v>21.740130211042683</v>
      </c>
      <c r="L20" s="199">
        <v>1.3866065858871732</v>
      </c>
      <c r="M20" s="198">
        <v>6.6137622220945982</v>
      </c>
      <c r="N20" s="198">
        <v>0.16249953390797076</v>
      </c>
      <c r="O20" s="198">
        <v>28.513918357778262</v>
      </c>
      <c r="P20" s="198">
        <v>21.07927021519313</v>
      </c>
      <c r="Q20" s="198">
        <v>19.636312438413242</v>
      </c>
      <c r="R20" s="198">
        <v>11.272688559132099</v>
      </c>
      <c r="S20" s="198">
        <v>9.0552258522589746</v>
      </c>
      <c r="T20" s="198">
        <v>7.0242065533887157</v>
      </c>
      <c r="U20" s="198">
        <v>7.3297046999484285</v>
      </c>
      <c r="V20" s="198">
        <v>10.668627196405437</v>
      </c>
      <c r="W20" s="198">
        <v>13.478973038507039</v>
      </c>
      <c r="X20" s="198">
        <v>21.98942274139355</v>
      </c>
      <c r="Y20" s="198">
        <v>25.464342539004704</v>
      </c>
      <c r="Z20" s="198">
        <v>29.996482029321985</v>
      </c>
      <c r="AA20" s="198"/>
      <c r="AB20" s="198">
        <v>47.257336245607604</v>
      </c>
      <c r="AC20" s="198">
        <v>40.991779340021367</v>
      </c>
      <c r="AD20" s="198">
        <v>41.324148888830038</v>
      </c>
      <c r="AE20" s="198">
        <v>39.350920174693371</v>
      </c>
      <c r="AF20" s="198">
        <v>36.244200558752595</v>
      </c>
      <c r="AG20" s="198">
        <v>32.931222479249435</v>
      </c>
      <c r="AH20" s="198">
        <v>35.960045282260815</v>
      </c>
      <c r="AI20" s="198">
        <v>38.829783790841496</v>
      </c>
      <c r="AJ20" s="198">
        <v>41.854503720645738</v>
      </c>
      <c r="AK20" s="198">
        <v>43.196218949910715</v>
      </c>
      <c r="AL20" s="198">
        <v>45.281700934450605</v>
      </c>
      <c r="AM20" s="45">
        <v>47.452617992405401</v>
      </c>
      <c r="AN20" s="45"/>
      <c r="AO20" s="45"/>
      <c r="AP20" s="45"/>
      <c r="AQ20" s="45"/>
      <c r="AR20" s="45"/>
      <c r="AS20" s="45"/>
      <c r="AT20" s="45"/>
      <c r="AU20" s="45"/>
      <c r="AV20" s="45"/>
      <c r="AW20" s="45"/>
      <c r="AX20" s="45"/>
      <c r="AY20" s="45"/>
      <c r="AZ20" s="45"/>
      <c r="BA20" s="45"/>
      <c r="BB20" s="45"/>
      <c r="BC20" s="45"/>
      <c r="BD20" s="45"/>
      <c r="BE20" s="45"/>
      <c r="BF20" s="45"/>
      <c r="BG20" s="45"/>
      <c r="BH20" s="45"/>
      <c r="BI20" s="45"/>
      <c r="BJ20" s="45"/>
      <c r="BK20" s="45"/>
      <c r="BL20" s="45"/>
      <c r="BM20" s="45"/>
      <c r="BN20" s="45"/>
      <c r="BO20" s="45"/>
      <c r="BP20" s="45"/>
      <c r="BQ20" s="45"/>
      <c r="BR20" s="45"/>
      <c r="BS20" s="45"/>
      <c r="BT20" s="45"/>
      <c r="BU20" s="45"/>
      <c r="BV20" s="45"/>
      <c r="BW20" s="45"/>
      <c r="BX20" s="45"/>
      <c r="BY20" s="45"/>
      <c r="BZ20" s="45"/>
      <c r="CA20" s="45"/>
      <c r="CB20" s="45"/>
      <c r="CC20" s="45"/>
      <c r="CD20" s="45"/>
      <c r="CE20" s="45"/>
      <c r="CF20" s="45"/>
      <c r="CG20" s="45"/>
      <c r="CH20" s="45"/>
      <c r="CI20" s="45"/>
      <c r="CJ20" s="45"/>
      <c r="CK20" s="45"/>
      <c r="CL20" s="45"/>
      <c r="CM20" s="45"/>
      <c r="CN20" s="45"/>
      <c r="CO20" s="45"/>
      <c r="CP20" s="45"/>
      <c r="CQ20" s="45"/>
      <c r="CR20" s="45"/>
      <c r="CS20" s="45"/>
      <c r="CT20" s="45"/>
      <c r="CU20" s="45"/>
      <c r="CV20" s="45"/>
      <c r="CW20" s="45"/>
      <c r="CX20" s="24"/>
      <c r="CY20" s="24"/>
      <c r="CZ20" s="24"/>
      <c r="DA20" s="24"/>
      <c r="DB20" s="24"/>
      <c r="DC20" s="24"/>
      <c r="DD20" s="24"/>
      <c r="DE20" s="24"/>
      <c r="DF20" s="24"/>
      <c r="DG20" s="24"/>
      <c r="DH20" s="24"/>
      <c r="DI20" s="24"/>
      <c r="DJ20" s="24"/>
      <c r="DK20" s="24"/>
      <c r="DL20" s="24"/>
      <c r="DM20" s="24"/>
      <c r="DN20" s="24"/>
      <c r="DO20" s="24"/>
      <c r="DP20" s="24"/>
      <c r="DQ20" s="24"/>
      <c r="DR20" s="24"/>
      <c r="DS20" s="24"/>
      <c r="DT20" s="24"/>
      <c r="DU20" s="24"/>
      <c r="DV20" s="24"/>
      <c r="DW20" s="24"/>
      <c r="DX20" s="24"/>
      <c r="DY20" s="24"/>
      <c r="DZ20" s="24"/>
      <c r="EA20" s="24"/>
    </row>
    <row r="21" spans="1:131">
      <c r="A21" s="24" t="s">
        <v>432</v>
      </c>
      <c r="B21" s="24"/>
      <c r="C21" s="198">
        <v>1391.6616897786967</v>
      </c>
      <c r="D21" s="198">
        <v>366.92315442591342</v>
      </c>
      <c r="E21" s="198">
        <v>73.384630885182688</v>
      </c>
      <c r="F21" s="198">
        <v>440.3077853110961</v>
      </c>
      <c r="G21" s="198">
        <v>673.56890458323471</v>
      </c>
      <c r="H21" s="198">
        <v>917.6823025038716</v>
      </c>
      <c r="I21" s="198">
        <v>2771.5760429810789</v>
      </c>
      <c r="J21" s="198">
        <v>3.4363717493392349</v>
      </c>
      <c r="K21" s="198">
        <v>22.361397213743896</v>
      </c>
      <c r="L21" s="199">
        <v>1.3624178554852975</v>
      </c>
      <c r="M21" s="198">
        <v>13.220821080336949</v>
      </c>
      <c r="N21" s="198">
        <v>0.32483436677816196</v>
      </c>
      <c r="O21" s="198">
        <v>56.998936497618999</v>
      </c>
      <c r="P21" s="198">
        <v>42.137175583382799</v>
      </c>
      <c r="Q21" s="198">
        <v>39.25272253643822</v>
      </c>
      <c r="R21" s="198">
        <v>22.533951710082377</v>
      </c>
      <c r="S21" s="198">
        <v>18.101273800684453</v>
      </c>
      <c r="T21" s="198">
        <v>14.04129373799465</v>
      </c>
      <c r="U21" s="198">
        <v>14.651980394153476</v>
      </c>
      <c r="V21" s="198">
        <v>21.326441229667118</v>
      </c>
      <c r="W21" s="198">
        <v>26.944284494151312</v>
      </c>
      <c r="X21" s="198">
        <v>43.956558152734004</v>
      </c>
      <c r="Y21" s="198">
        <v>50.902875750796674</v>
      </c>
      <c r="Z21" s="198">
        <v>59.962561191625518</v>
      </c>
      <c r="AA21" s="198"/>
      <c r="AB21" s="198">
        <v>94.466774924156596</v>
      </c>
      <c r="AC21" s="198">
        <v>81.94201155411956</v>
      </c>
      <c r="AD21" s="198">
        <v>82.606413779326871</v>
      </c>
      <c r="AE21" s="198">
        <v>78.661956312586852</v>
      </c>
      <c r="AF21" s="198">
        <v>72.451665889397404</v>
      </c>
      <c r="AG21" s="198">
        <v>65.829067591885916</v>
      </c>
      <c r="AH21" s="198">
        <v>71.883643341356404</v>
      </c>
      <c r="AI21" s="198">
        <v>77.620211741494984</v>
      </c>
      <c r="AJ21" s="198">
        <v>83.66658590300915</v>
      </c>
      <c r="AK21" s="198">
        <v>86.348656469080638</v>
      </c>
      <c r="AL21" s="198">
        <v>90.51750670257691</v>
      </c>
      <c r="AM21" s="45">
        <v>94.857140490376139</v>
      </c>
      <c r="AN21" s="45"/>
      <c r="AO21" s="45"/>
      <c r="AP21" s="45"/>
      <c r="AQ21" s="45"/>
      <c r="AR21" s="45"/>
      <c r="AS21" s="45"/>
      <c r="AT21" s="45"/>
      <c r="AU21" s="45"/>
      <c r="AV21" s="45"/>
      <c r="AW21" s="45"/>
      <c r="AX21" s="45"/>
      <c r="AY21" s="45"/>
      <c r="AZ21" s="45"/>
      <c r="BA21" s="45"/>
      <c r="BB21" s="45"/>
      <c r="BC21" s="45"/>
      <c r="BD21" s="45"/>
      <c r="BE21" s="45"/>
      <c r="BF21" s="45"/>
      <c r="BG21" s="45"/>
      <c r="BH21" s="45"/>
      <c r="BI21" s="45"/>
      <c r="BJ21" s="45"/>
      <c r="BK21" s="45"/>
      <c r="BL21" s="45"/>
      <c r="BM21" s="45"/>
      <c r="BN21" s="45"/>
      <c r="BO21" s="45"/>
      <c r="BP21" s="45"/>
      <c r="BQ21" s="45"/>
      <c r="BR21" s="45"/>
      <c r="BS21" s="45"/>
      <c r="BT21" s="45"/>
      <c r="BU21" s="45"/>
      <c r="BV21" s="45"/>
      <c r="BW21" s="45"/>
      <c r="BX21" s="45"/>
      <c r="BY21" s="45"/>
      <c r="BZ21" s="45"/>
      <c r="CA21" s="45"/>
      <c r="CB21" s="45"/>
      <c r="CC21" s="45"/>
      <c r="CD21" s="45"/>
      <c r="CE21" s="45"/>
      <c r="CF21" s="45"/>
      <c r="CG21" s="45"/>
      <c r="CH21" s="45"/>
      <c r="CI21" s="45"/>
      <c r="CJ21" s="45"/>
      <c r="CK21" s="45"/>
      <c r="CL21" s="45"/>
      <c r="CM21" s="45"/>
      <c r="CN21" s="45"/>
      <c r="CO21" s="45"/>
      <c r="CP21" s="45"/>
      <c r="CQ21" s="45"/>
      <c r="CR21" s="45"/>
      <c r="CS21" s="45"/>
      <c r="CT21" s="45"/>
      <c r="CU21" s="45"/>
      <c r="CV21" s="45"/>
      <c r="CW21" s="45"/>
      <c r="CX21" s="24"/>
      <c r="CY21" s="24"/>
      <c r="CZ21" s="24"/>
      <c r="DA21" s="24"/>
      <c r="DB21" s="24"/>
      <c r="DC21" s="24"/>
      <c r="DD21" s="24"/>
      <c r="DE21" s="24"/>
      <c r="DF21" s="24"/>
      <c r="DG21" s="24"/>
      <c r="DH21" s="24"/>
      <c r="DI21" s="24"/>
      <c r="DJ21" s="24"/>
      <c r="DK21" s="24"/>
      <c r="DL21" s="24"/>
      <c r="DM21" s="24"/>
      <c r="DN21" s="24"/>
      <c r="DO21" s="24"/>
      <c r="DP21" s="24"/>
      <c r="DQ21" s="24"/>
      <c r="DR21" s="24"/>
      <c r="DS21" s="24"/>
      <c r="DT21" s="24"/>
      <c r="DU21" s="24"/>
      <c r="DV21" s="24"/>
      <c r="DW21" s="24"/>
      <c r="DX21" s="24"/>
      <c r="DY21" s="24"/>
      <c r="DZ21" s="24"/>
      <c r="EA21" s="24"/>
    </row>
    <row r="22" spans="1:131">
      <c r="A22" s="24" t="s">
        <v>419</v>
      </c>
      <c r="B22" s="24"/>
      <c r="C22" s="198">
        <v>686.32071762629175</v>
      </c>
      <c r="D22" s="198">
        <v>210.259506250687</v>
      </c>
      <c r="E22" s="198">
        <v>42.051901250137405</v>
      </c>
      <c r="F22" s="198">
        <v>252.3114075008244</v>
      </c>
      <c r="G22" s="198">
        <v>338.14555929356214</v>
      </c>
      <c r="H22" s="198">
        <v>452.5700326690461</v>
      </c>
      <c r="I22" s="198">
        <v>3220.4301472226912</v>
      </c>
      <c r="J22" s="198">
        <v>6.1391049940145992</v>
      </c>
      <c r="K22" s="198">
        <v>23.000813330458914</v>
      </c>
      <c r="L22" s="199">
        <v>1.3383882184185243</v>
      </c>
      <c r="M22" s="198">
        <v>6.5200640918042199</v>
      </c>
      <c r="N22" s="198">
        <v>0.16019737940211778</v>
      </c>
      <c r="O22" s="198">
        <v>28.109957533717932</v>
      </c>
      <c r="P22" s="198">
        <v>20.780637131522365</v>
      </c>
      <c r="Q22" s="198">
        <v>19.358121947208314</v>
      </c>
      <c r="R22" s="198">
        <v>11.112986742546086</v>
      </c>
      <c r="S22" s="198">
        <v>8.9269391520084955</v>
      </c>
      <c r="T22" s="198">
        <v>6.9246935986248941</v>
      </c>
      <c r="U22" s="198">
        <v>7.2258637085575579</v>
      </c>
      <c r="V22" s="198">
        <v>10.517483204907098</v>
      </c>
      <c r="W22" s="198">
        <v>13.288014469158504</v>
      </c>
      <c r="X22" s="198">
        <v>21.67789539465128</v>
      </c>
      <c r="Y22" s="198">
        <v>25.103585498630952</v>
      </c>
      <c r="Z22" s="198">
        <v>29.571517510330498</v>
      </c>
      <c r="AA22" s="198"/>
      <c r="AB22" s="198">
        <v>46.587834697165938</v>
      </c>
      <c r="AC22" s="198">
        <v>40.4110428465616</v>
      </c>
      <c r="AD22" s="198">
        <v>40.738703667683502</v>
      </c>
      <c r="AE22" s="198">
        <v>38.793429971423393</v>
      </c>
      <c r="AF22" s="198">
        <v>35.730723703645879</v>
      </c>
      <c r="AG22" s="198">
        <v>32.464681065925831</v>
      </c>
      <c r="AH22" s="198">
        <v>35.450594096240067</v>
      </c>
      <c r="AI22" s="198">
        <v>38.279676602435593</v>
      </c>
      <c r="AJ22" s="198">
        <v>41.261544885543508</v>
      </c>
      <c r="AK22" s="198">
        <v>42.584251840222457</v>
      </c>
      <c r="AL22" s="198">
        <v>44.640188498495121</v>
      </c>
      <c r="AM22" s="45">
        <v>46.780349859085064</v>
      </c>
      <c r="AN22" s="45"/>
      <c r="AO22" s="45"/>
      <c r="AP22" s="45"/>
      <c r="AQ22" s="45"/>
      <c r="AR22" s="45"/>
      <c r="AS22" s="45"/>
      <c r="AT22" s="45"/>
      <c r="AU22" s="45"/>
      <c r="AV22" s="45"/>
      <c r="AW22" s="45"/>
      <c r="AX22" s="45"/>
      <c r="AY22" s="45"/>
      <c r="AZ22" s="45"/>
      <c r="BA22" s="45"/>
      <c r="BB22" s="45"/>
      <c r="BC22" s="45"/>
      <c r="BD22" s="45"/>
      <c r="BE22" s="45"/>
      <c r="BF22" s="45"/>
      <c r="BG22" s="45"/>
      <c r="BH22" s="45"/>
      <c r="BI22" s="45"/>
      <c r="BJ22" s="45"/>
      <c r="BK22" s="45"/>
      <c r="BL22" s="45"/>
      <c r="BM22" s="45"/>
      <c r="BN22" s="45"/>
      <c r="BO22" s="45"/>
      <c r="BP22" s="45"/>
      <c r="BQ22" s="45"/>
      <c r="BR22" s="45"/>
      <c r="BS22" s="45"/>
      <c r="BT22" s="45"/>
      <c r="BU22" s="45"/>
      <c r="BV22" s="45"/>
      <c r="BW22" s="45"/>
      <c r="BX22" s="45"/>
      <c r="BY22" s="45"/>
      <c r="BZ22" s="45"/>
      <c r="CA22" s="45"/>
      <c r="CB22" s="45"/>
      <c r="CC22" s="45"/>
      <c r="CD22" s="45"/>
      <c r="CE22" s="45"/>
      <c r="CF22" s="45"/>
      <c r="CG22" s="45"/>
      <c r="CH22" s="45"/>
      <c r="CI22" s="45"/>
      <c r="CJ22" s="45"/>
      <c r="CK22" s="45"/>
      <c r="CL22" s="45"/>
      <c r="CM22" s="45"/>
      <c r="CN22" s="45"/>
      <c r="CO22" s="45"/>
      <c r="CP22" s="45"/>
      <c r="CQ22" s="45"/>
      <c r="CR22" s="45"/>
      <c r="CS22" s="45"/>
      <c r="CT22" s="45"/>
      <c r="CU22" s="45"/>
      <c r="CV22" s="45"/>
      <c r="CW22" s="45"/>
      <c r="CX22" s="24"/>
      <c r="CY22" s="24"/>
      <c r="CZ22" s="24"/>
      <c r="DA22" s="24"/>
      <c r="DB22" s="24"/>
      <c r="DC22" s="24"/>
      <c r="DD22" s="24"/>
      <c r="DE22" s="24"/>
      <c r="DF22" s="24"/>
      <c r="DG22" s="24"/>
      <c r="DH22" s="24"/>
      <c r="DI22" s="24"/>
      <c r="DJ22" s="24"/>
      <c r="DK22" s="24"/>
      <c r="DL22" s="24"/>
      <c r="DM22" s="24"/>
      <c r="DN22" s="24"/>
      <c r="DO22" s="24"/>
      <c r="DP22" s="24"/>
      <c r="DQ22" s="24"/>
      <c r="DR22" s="24"/>
      <c r="DS22" s="24"/>
      <c r="DT22" s="24"/>
      <c r="DU22" s="24"/>
      <c r="DV22" s="24"/>
      <c r="DW22" s="24"/>
      <c r="DX22" s="24"/>
      <c r="DY22" s="24"/>
      <c r="DZ22" s="24"/>
      <c r="EA22" s="24"/>
    </row>
    <row r="23" spans="1:131">
      <c r="A23" s="24" t="s">
        <v>433</v>
      </c>
      <c r="B23" s="24"/>
      <c r="C23" s="198">
        <v>3387.6594304155228</v>
      </c>
      <c r="D23" s="198">
        <v>984.136129944407</v>
      </c>
      <c r="E23" s="198">
        <v>196.82722598888142</v>
      </c>
      <c r="F23" s="198">
        <v>1180.9633559332883</v>
      </c>
      <c r="G23" s="198">
        <v>1806.6003385493159</v>
      </c>
      <c r="H23" s="198">
        <v>2233.8727357631246</v>
      </c>
      <c r="I23" s="198">
        <v>3053.8013665401668</v>
      </c>
      <c r="J23" s="198">
        <v>5.1357652878281117</v>
      </c>
      <c r="K23" s="198">
        <v>25.987896973468082</v>
      </c>
      <c r="L23" s="199">
        <v>1.2365063196860158</v>
      </c>
      <c r="M23" s="198">
        <v>32.182849854666841</v>
      </c>
      <c r="N23" s="198">
        <v>0.7907296823799802</v>
      </c>
      <c r="O23" s="198">
        <v>138.74994631814602</v>
      </c>
      <c r="P23" s="198">
        <v>102.57263046367333</v>
      </c>
      <c r="Q23" s="198">
        <v>95.551136204083235</v>
      </c>
      <c r="R23" s="198">
        <v>54.85338468096208</v>
      </c>
      <c r="S23" s="198">
        <v>44.063116304633951</v>
      </c>
      <c r="T23" s="198">
        <v>34.18008952615213</v>
      </c>
      <c r="U23" s="198">
        <v>35.666656573991425</v>
      </c>
      <c r="V23" s="198">
        <v>51.913996253193531</v>
      </c>
      <c r="W23" s="198">
        <v>65.589259324172076</v>
      </c>
      <c r="X23" s="198">
        <v>107.00147158494927</v>
      </c>
      <c r="Y23" s="198">
        <v>123.91057994840529</v>
      </c>
      <c r="Z23" s="198">
        <v>145.96416455566899</v>
      </c>
      <c r="AA23" s="198"/>
      <c r="AB23" s="198">
        <v>229.95621944845649</v>
      </c>
      <c r="AC23" s="198">
        <v>199.46775155725797</v>
      </c>
      <c r="AD23" s="198">
        <v>201.08507599777664</v>
      </c>
      <c r="AE23" s="198">
        <v>191.48326067641094</v>
      </c>
      <c r="AF23" s="198">
        <v>176.3658301455163</v>
      </c>
      <c r="AG23" s="198">
        <v>160.24473710889885</v>
      </c>
      <c r="AH23" s="198">
        <v>174.98311841629871</v>
      </c>
      <c r="AI23" s="198">
        <v>188.94738874269069</v>
      </c>
      <c r="AJ23" s="198">
        <v>203.66580529357771</v>
      </c>
      <c r="AK23" s="198">
        <v>210.19464898664282</v>
      </c>
      <c r="AL23" s="198">
        <v>220.34269352305554</v>
      </c>
      <c r="AM23" s="45">
        <v>230.90646878090988</v>
      </c>
      <c r="AN23" s="45"/>
      <c r="AO23" s="45"/>
      <c r="AP23" s="45"/>
      <c r="AQ23" s="45"/>
      <c r="AR23" s="45"/>
      <c r="AS23" s="45"/>
      <c r="AT23" s="45"/>
      <c r="AU23" s="45"/>
      <c r="AV23" s="45"/>
      <c r="AW23" s="45"/>
      <c r="AX23" s="45"/>
      <c r="AY23" s="45"/>
      <c r="AZ23" s="45"/>
      <c r="BA23" s="45"/>
      <c r="BB23" s="45"/>
      <c r="BC23" s="45"/>
      <c r="BD23" s="45"/>
      <c r="BE23" s="45"/>
      <c r="BF23" s="45"/>
      <c r="BG23" s="45"/>
      <c r="BH23" s="45"/>
      <c r="BI23" s="45"/>
      <c r="BJ23" s="45"/>
      <c r="BK23" s="45"/>
      <c r="BL23" s="45"/>
      <c r="BM23" s="45"/>
      <c r="BN23" s="45"/>
      <c r="BO23" s="45"/>
      <c r="BP23" s="45"/>
      <c r="BQ23" s="45"/>
      <c r="BR23" s="45"/>
      <c r="BS23" s="45"/>
      <c r="BT23" s="45"/>
      <c r="BU23" s="45"/>
      <c r="BV23" s="45"/>
      <c r="BW23" s="45"/>
      <c r="BX23" s="45"/>
      <c r="BY23" s="45"/>
      <c r="BZ23" s="45"/>
      <c r="CA23" s="45"/>
      <c r="CB23" s="45"/>
      <c r="CC23" s="45"/>
      <c r="CD23" s="45"/>
      <c r="CE23" s="45"/>
      <c r="CF23" s="45"/>
      <c r="CG23" s="45"/>
      <c r="CH23" s="45"/>
      <c r="CI23" s="45"/>
      <c r="CJ23" s="45"/>
      <c r="CK23" s="45"/>
      <c r="CL23" s="45"/>
      <c r="CM23" s="45"/>
      <c r="CN23" s="45"/>
      <c r="CO23" s="45"/>
      <c r="CP23" s="45"/>
      <c r="CQ23" s="45"/>
      <c r="CR23" s="45"/>
      <c r="CS23" s="45"/>
      <c r="CT23" s="45"/>
      <c r="CU23" s="45"/>
      <c r="CV23" s="45"/>
      <c r="CW23" s="45"/>
      <c r="CX23" s="24"/>
      <c r="CY23" s="24"/>
      <c r="CZ23" s="24"/>
      <c r="DA23" s="24"/>
      <c r="DB23" s="24"/>
      <c r="DC23" s="24"/>
      <c r="DD23" s="24"/>
      <c r="DE23" s="24"/>
      <c r="DF23" s="24"/>
      <c r="DG23" s="24"/>
      <c r="DH23" s="24"/>
      <c r="DI23" s="24"/>
      <c r="DJ23" s="24"/>
      <c r="DK23" s="24"/>
      <c r="DL23" s="24"/>
      <c r="DM23" s="24"/>
      <c r="DN23" s="24"/>
      <c r="DO23" s="24"/>
      <c r="DP23" s="24"/>
      <c r="DQ23" s="24"/>
      <c r="DR23" s="24"/>
      <c r="DS23" s="24"/>
      <c r="DT23" s="24"/>
      <c r="DU23" s="24"/>
      <c r="DV23" s="24"/>
      <c r="DW23" s="24"/>
      <c r="DX23" s="24"/>
      <c r="DY23" s="24"/>
      <c r="DZ23" s="24"/>
      <c r="EA23" s="24"/>
    </row>
    <row r="24" spans="1:131">
      <c r="A24" s="24" t="s">
        <v>434</v>
      </c>
      <c r="B24" s="24"/>
      <c r="C24" s="198">
        <v>3387.6594304155228</v>
      </c>
      <c r="D24" s="198">
        <v>1014.9694632777404</v>
      </c>
      <c r="E24" s="198">
        <v>202.99389265554808</v>
      </c>
      <c r="F24" s="198">
        <v>1217.9633559332885</v>
      </c>
      <c r="G24" s="198">
        <v>1863.2017666888871</v>
      </c>
      <c r="H24" s="198">
        <v>2233.8727357631246</v>
      </c>
      <c r="I24" s="198">
        <v>3149.4780443933018</v>
      </c>
      <c r="J24" s="198">
        <v>5.7118735054652721</v>
      </c>
      <c r="K24" s="198">
        <v>27.217309858428273</v>
      </c>
      <c r="L24" s="199">
        <v>1.1989430107362771</v>
      </c>
      <c r="M24" s="198">
        <v>32.182849854666841</v>
      </c>
      <c r="N24" s="198">
        <v>0.7907296823799802</v>
      </c>
      <c r="O24" s="198">
        <v>138.74994631814602</v>
      </c>
      <c r="P24" s="198">
        <v>102.57263046367333</v>
      </c>
      <c r="Q24" s="198">
        <v>95.551136204083235</v>
      </c>
      <c r="R24" s="198">
        <v>54.85338468096208</v>
      </c>
      <c r="S24" s="198">
        <v>44.063116304633951</v>
      </c>
      <c r="T24" s="198">
        <v>34.18008952615213</v>
      </c>
      <c r="U24" s="198">
        <v>35.666656573991425</v>
      </c>
      <c r="V24" s="198">
        <v>51.913996253193531</v>
      </c>
      <c r="W24" s="198">
        <v>65.589259324172076</v>
      </c>
      <c r="X24" s="198">
        <v>107.00147158494927</v>
      </c>
      <c r="Y24" s="198">
        <v>123.91057994840529</v>
      </c>
      <c r="Z24" s="198">
        <v>145.96416455566899</v>
      </c>
      <c r="AA24" s="198"/>
      <c r="AB24" s="198">
        <v>229.95621944845649</v>
      </c>
      <c r="AC24" s="198">
        <v>199.46775155725797</v>
      </c>
      <c r="AD24" s="198">
        <v>201.08507599777664</v>
      </c>
      <c r="AE24" s="198">
        <v>191.48326067641094</v>
      </c>
      <c r="AF24" s="198">
        <v>176.3658301455163</v>
      </c>
      <c r="AG24" s="198">
        <v>160.24473710889885</v>
      </c>
      <c r="AH24" s="198">
        <v>174.98311841629871</v>
      </c>
      <c r="AI24" s="198">
        <v>188.94738874269069</v>
      </c>
      <c r="AJ24" s="198">
        <v>203.66580529357771</v>
      </c>
      <c r="AK24" s="198">
        <v>210.19464898664282</v>
      </c>
      <c r="AL24" s="198">
        <v>220.34269352305554</v>
      </c>
      <c r="AM24" s="45">
        <v>230.90646878090988</v>
      </c>
      <c r="AN24" s="45"/>
      <c r="AO24" s="45"/>
      <c r="AP24" s="45"/>
      <c r="AQ24" s="45"/>
      <c r="AR24" s="45"/>
      <c r="AS24" s="45"/>
      <c r="AT24" s="45"/>
      <c r="AU24" s="45"/>
      <c r="AV24" s="45"/>
      <c r="AW24" s="45"/>
      <c r="AX24" s="45"/>
      <c r="AY24" s="45"/>
      <c r="AZ24" s="45"/>
      <c r="BA24" s="45"/>
      <c r="BB24" s="45"/>
      <c r="BC24" s="45"/>
      <c r="BD24" s="45"/>
      <c r="BE24" s="45"/>
      <c r="BF24" s="45"/>
      <c r="BG24" s="45"/>
      <c r="BH24" s="45"/>
      <c r="BI24" s="45"/>
      <c r="BJ24" s="45"/>
      <c r="BK24" s="45"/>
      <c r="BL24" s="45"/>
      <c r="BM24" s="45"/>
      <c r="BN24" s="45"/>
      <c r="BO24" s="45"/>
      <c r="BP24" s="45"/>
      <c r="BQ24" s="45"/>
      <c r="BR24" s="45"/>
      <c r="BS24" s="45"/>
      <c r="BT24" s="45"/>
      <c r="BU24" s="45"/>
      <c r="BV24" s="45"/>
      <c r="BW24" s="45"/>
      <c r="BX24" s="45"/>
      <c r="BY24" s="45"/>
      <c r="BZ24" s="45"/>
      <c r="CA24" s="45"/>
      <c r="CB24" s="45"/>
      <c r="CC24" s="45"/>
      <c r="CD24" s="45"/>
      <c r="CE24" s="45"/>
      <c r="CF24" s="45"/>
      <c r="CG24" s="45"/>
      <c r="CH24" s="45"/>
      <c r="CI24" s="45"/>
      <c r="CJ24" s="45"/>
      <c r="CK24" s="45"/>
      <c r="CL24" s="45"/>
      <c r="CM24" s="45"/>
      <c r="CN24" s="45"/>
      <c r="CO24" s="45"/>
      <c r="CP24" s="45"/>
      <c r="CQ24" s="45"/>
      <c r="CR24" s="45"/>
      <c r="CS24" s="45"/>
      <c r="CT24" s="45"/>
      <c r="CU24" s="45"/>
      <c r="CV24" s="45"/>
      <c r="CW24" s="45"/>
      <c r="CX24" s="24"/>
      <c r="CY24" s="24"/>
      <c r="CZ24" s="24"/>
      <c r="DA24" s="24"/>
      <c r="DB24" s="24"/>
      <c r="DC24" s="24"/>
      <c r="DD24" s="24"/>
      <c r="DE24" s="24"/>
      <c r="DF24" s="24"/>
      <c r="DG24" s="24"/>
      <c r="DH24" s="24"/>
      <c r="DI24" s="24"/>
      <c r="DJ24" s="24"/>
      <c r="DK24" s="24"/>
      <c r="DL24" s="24"/>
      <c r="DM24" s="24"/>
      <c r="DN24" s="24"/>
      <c r="DO24" s="24"/>
      <c r="DP24" s="24"/>
      <c r="DQ24" s="24"/>
      <c r="DR24" s="24"/>
      <c r="DS24" s="24"/>
      <c r="DT24" s="24"/>
      <c r="DU24" s="24"/>
      <c r="DV24" s="24"/>
      <c r="DW24" s="24"/>
      <c r="DX24" s="24"/>
      <c r="DY24" s="24"/>
      <c r="DZ24" s="24"/>
      <c r="EA24" s="24"/>
    </row>
    <row r="25" spans="1:131">
      <c r="A25" s="24" t="s">
        <v>427</v>
      </c>
      <c r="B25" s="24"/>
      <c r="C25" s="198">
        <v>797.11017216400808</v>
      </c>
      <c r="D25" s="198">
        <v>260.08403248610176</v>
      </c>
      <c r="E25" s="198">
        <v>52.016806497220358</v>
      </c>
      <c r="F25" s="198">
        <v>312.10083898332209</v>
      </c>
      <c r="G25" s="198">
        <v>477.44197864903629</v>
      </c>
      <c r="H25" s="198">
        <v>525.62623769362187</v>
      </c>
      <c r="I25" s="198">
        <v>3429.8939405974252</v>
      </c>
      <c r="J25" s="198">
        <v>7.4003717454153373</v>
      </c>
      <c r="K25" s="198">
        <v>30.820559089867952</v>
      </c>
      <c r="L25" s="199">
        <v>1.100921706090711</v>
      </c>
      <c r="M25" s="198">
        <v>7.5725666984285294</v>
      </c>
      <c r="N25" s="198">
        <v>0.18605727234504985</v>
      </c>
      <c r="O25" s="198">
        <v>32.647612863444898</v>
      </c>
      <c r="P25" s="198">
        <v>24.135155498256541</v>
      </c>
      <c r="Q25" s="198">
        <v>22.483010525282101</v>
      </c>
      <c r="R25" s="198">
        <v>12.906902776073075</v>
      </c>
      <c r="S25" s="198">
        <v>10.367972030577274</v>
      </c>
      <c r="T25" s="198">
        <v>8.0425136016197722</v>
      </c>
      <c r="U25" s="198">
        <v>8.3923001547772653</v>
      </c>
      <c r="V25" s="198">
        <v>12.215269964734631</v>
      </c>
      <c r="W25" s="198">
        <v>15.433034773978974</v>
      </c>
      <c r="X25" s="198">
        <v>25.177253849989107</v>
      </c>
      <c r="Y25" s="198">
        <v>29.155936641334829</v>
      </c>
      <c r="Z25" s="198">
        <v>34.345105441863652</v>
      </c>
      <c r="AA25" s="198"/>
      <c r="AB25" s="198">
        <v>54.108284920559541</v>
      </c>
      <c r="AC25" s="198">
        <v>46.934403251235665</v>
      </c>
      <c r="AD25" s="198">
        <v>47.3149567837579</v>
      </c>
      <c r="AE25" s="198">
        <v>45.055666904975126</v>
      </c>
      <c r="AF25" s="198">
        <v>41.498562685770651</v>
      </c>
      <c r="AG25" s="198">
        <v>37.705298483792141</v>
      </c>
      <c r="AH25" s="198">
        <v>41.173213102328432</v>
      </c>
      <c r="AI25" s="198">
        <v>44.458980799068165</v>
      </c>
      <c r="AJ25" s="198">
        <v>47.92219774629833</v>
      </c>
      <c r="AK25" s="198">
        <v>49.458422926871663</v>
      </c>
      <c r="AL25" s="198">
        <v>51.846239557705708</v>
      </c>
      <c r="AM25" s="45">
        <v>54.331876879712809</v>
      </c>
      <c r="AN25" s="45"/>
      <c r="AO25" s="45"/>
      <c r="AP25" s="45"/>
      <c r="AQ25" s="45"/>
      <c r="AR25" s="45"/>
      <c r="AS25" s="45"/>
      <c r="AT25" s="45"/>
      <c r="AU25" s="45"/>
      <c r="AV25" s="45"/>
      <c r="AW25" s="45"/>
      <c r="AX25" s="45"/>
      <c r="AY25" s="45"/>
      <c r="AZ25" s="45"/>
      <c r="BA25" s="45"/>
      <c r="BB25" s="45"/>
      <c r="BC25" s="45"/>
      <c r="BD25" s="45"/>
      <c r="BE25" s="45"/>
      <c r="BF25" s="45"/>
      <c r="BG25" s="45"/>
      <c r="BH25" s="45"/>
      <c r="BI25" s="45"/>
      <c r="BJ25" s="45"/>
      <c r="BK25" s="45"/>
      <c r="BL25" s="45"/>
      <c r="BM25" s="45"/>
      <c r="BN25" s="45"/>
      <c r="BO25" s="45"/>
      <c r="BP25" s="45"/>
      <c r="BQ25" s="45"/>
      <c r="BR25" s="45"/>
      <c r="BS25" s="45"/>
      <c r="BT25" s="45"/>
      <c r="BU25" s="45"/>
      <c r="BV25" s="45"/>
      <c r="BW25" s="45"/>
      <c r="BX25" s="45"/>
      <c r="BY25" s="45"/>
      <c r="BZ25" s="45"/>
      <c r="CA25" s="45"/>
      <c r="CB25" s="45"/>
      <c r="CC25" s="45"/>
      <c r="CD25" s="45"/>
      <c r="CE25" s="45"/>
      <c r="CF25" s="45"/>
      <c r="CG25" s="45"/>
      <c r="CH25" s="45"/>
      <c r="CI25" s="45"/>
      <c r="CJ25" s="45"/>
      <c r="CK25" s="45"/>
      <c r="CL25" s="45"/>
      <c r="CM25" s="45"/>
      <c r="CN25" s="45"/>
      <c r="CO25" s="45"/>
      <c r="CP25" s="45"/>
      <c r="CQ25" s="45"/>
      <c r="CR25" s="45"/>
      <c r="CS25" s="45"/>
      <c r="CT25" s="45"/>
      <c r="CU25" s="45"/>
      <c r="CV25" s="45"/>
      <c r="CW25" s="45"/>
      <c r="CX25" s="24"/>
      <c r="CY25" s="24"/>
      <c r="CZ25" s="24"/>
      <c r="DA25" s="24"/>
      <c r="DB25" s="24"/>
      <c r="DC25" s="24"/>
      <c r="DD25" s="24"/>
      <c r="DE25" s="24"/>
      <c r="DF25" s="24"/>
      <c r="DG25" s="24"/>
      <c r="DH25" s="24"/>
      <c r="DI25" s="24"/>
      <c r="DJ25" s="24"/>
      <c r="DK25" s="24"/>
      <c r="DL25" s="24"/>
      <c r="DM25" s="24"/>
      <c r="DN25" s="24"/>
      <c r="DO25" s="24"/>
      <c r="DP25" s="24"/>
      <c r="DQ25" s="24"/>
      <c r="DR25" s="24"/>
      <c r="DS25" s="24"/>
      <c r="DT25" s="24"/>
      <c r="DU25" s="24"/>
      <c r="DV25" s="24"/>
      <c r="DW25" s="24"/>
      <c r="DX25" s="24"/>
      <c r="DY25" s="24"/>
      <c r="DZ25" s="24"/>
      <c r="EA25" s="24"/>
    </row>
    <row r="26" spans="1:131">
      <c r="A26" s="24" t="s">
        <v>431</v>
      </c>
      <c r="B26" s="24"/>
      <c r="C26" s="198">
        <v>797.11017216400808</v>
      </c>
      <c r="D26" s="198">
        <v>285.91736581943508</v>
      </c>
      <c r="E26" s="198">
        <v>57.183473163887015</v>
      </c>
      <c r="F26" s="198">
        <v>343.10083898332209</v>
      </c>
      <c r="G26" s="198">
        <v>524.86479682002812</v>
      </c>
      <c r="H26" s="198">
        <v>525.62623769362187</v>
      </c>
      <c r="I26" s="198">
        <v>3770.574576076915</v>
      </c>
      <c r="J26" s="198">
        <v>9.4517485082128658</v>
      </c>
      <c r="K26" s="198">
        <v>35.198189796881337</v>
      </c>
      <c r="L26" s="199">
        <v>1.0014507371769017</v>
      </c>
      <c r="M26" s="198">
        <v>7.5725666984285294</v>
      </c>
      <c r="N26" s="198">
        <v>0.18605727234504985</v>
      </c>
      <c r="O26" s="198">
        <v>32.647612863444898</v>
      </c>
      <c r="P26" s="198">
        <v>24.135155498256541</v>
      </c>
      <c r="Q26" s="198">
        <v>22.483010525282101</v>
      </c>
      <c r="R26" s="198">
        <v>12.906902776073075</v>
      </c>
      <c r="S26" s="198">
        <v>10.367972030577274</v>
      </c>
      <c r="T26" s="198">
        <v>8.0425136016197722</v>
      </c>
      <c r="U26" s="198">
        <v>8.3923001547772653</v>
      </c>
      <c r="V26" s="198">
        <v>12.215269964734631</v>
      </c>
      <c r="W26" s="198">
        <v>15.433034773978974</v>
      </c>
      <c r="X26" s="198">
        <v>25.177253849989107</v>
      </c>
      <c r="Y26" s="198">
        <v>29.155936641334829</v>
      </c>
      <c r="Z26" s="198">
        <v>34.345105441863652</v>
      </c>
      <c r="AA26" s="198"/>
      <c r="AB26" s="198">
        <v>54.108284920559541</v>
      </c>
      <c r="AC26" s="198">
        <v>46.934403251235665</v>
      </c>
      <c r="AD26" s="198">
        <v>47.3149567837579</v>
      </c>
      <c r="AE26" s="198">
        <v>45.055666904975126</v>
      </c>
      <c r="AF26" s="198">
        <v>41.498562685770651</v>
      </c>
      <c r="AG26" s="198">
        <v>37.705298483792141</v>
      </c>
      <c r="AH26" s="198">
        <v>41.173213102328432</v>
      </c>
      <c r="AI26" s="198">
        <v>44.458980799068165</v>
      </c>
      <c r="AJ26" s="198">
        <v>47.92219774629833</v>
      </c>
      <c r="AK26" s="198">
        <v>49.458422926871663</v>
      </c>
      <c r="AL26" s="198">
        <v>51.846239557705708</v>
      </c>
      <c r="AM26" s="45">
        <v>54.331876879712809</v>
      </c>
      <c r="AN26" s="45"/>
      <c r="AO26" s="45"/>
      <c r="AP26" s="45"/>
      <c r="AQ26" s="45"/>
      <c r="AR26" s="45"/>
      <c r="AS26" s="45"/>
      <c r="AT26" s="45"/>
      <c r="AU26" s="45"/>
      <c r="AV26" s="45"/>
      <c r="AW26" s="45"/>
      <c r="AX26" s="45"/>
      <c r="AY26" s="45"/>
      <c r="AZ26" s="45"/>
      <c r="BA26" s="45"/>
      <c r="BB26" s="45"/>
      <c r="BC26" s="45"/>
      <c r="BD26" s="45"/>
      <c r="BE26" s="45"/>
      <c r="BF26" s="45"/>
      <c r="BG26" s="45"/>
      <c r="BH26" s="45"/>
      <c r="BI26" s="45"/>
      <c r="BJ26" s="45"/>
      <c r="BK26" s="45"/>
      <c r="BL26" s="45"/>
      <c r="BM26" s="45"/>
      <c r="BN26" s="45"/>
      <c r="BO26" s="45"/>
      <c r="BP26" s="45"/>
      <c r="BQ26" s="45"/>
      <c r="BR26" s="45"/>
      <c r="BS26" s="45"/>
      <c r="BT26" s="45"/>
      <c r="BU26" s="45"/>
      <c r="BV26" s="45"/>
      <c r="BW26" s="45"/>
      <c r="BX26" s="45"/>
      <c r="BY26" s="45"/>
      <c r="BZ26" s="45"/>
      <c r="CA26" s="45"/>
      <c r="CB26" s="45"/>
      <c r="CC26" s="45"/>
      <c r="CD26" s="45"/>
      <c r="CE26" s="45"/>
      <c r="CF26" s="45"/>
      <c r="CG26" s="45"/>
      <c r="CH26" s="45"/>
      <c r="CI26" s="45"/>
      <c r="CJ26" s="45"/>
      <c r="CK26" s="45"/>
      <c r="CL26" s="45"/>
      <c r="CM26" s="45"/>
      <c r="CN26" s="45"/>
      <c r="CO26" s="45"/>
      <c r="CP26" s="45"/>
      <c r="CQ26" s="45"/>
      <c r="CR26" s="45"/>
      <c r="CS26" s="45"/>
      <c r="CT26" s="45"/>
      <c r="CU26" s="45"/>
      <c r="CV26" s="45"/>
      <c r="CW26" s="45"/>
      <c r="CX26" s="24"/>
      <c r="CY26" s="24"/>
      <c r="CZ26" s="24"/>
      <c r="DA26" s="24"/>
      <c r="DB26" s="24"/>
      <c r="DC26" s="24"/>
      <c r="DD26" s="24"/>
      <c r="DE26" s="24"/>
      <c r="DF26" s="24"/>
      <c r="DG26" s="24"/>
      <c r="DH26" s="24"/>
      <c r="DI26" s="24"/>
      <c r="DJ26" s="24"/>
      <c r="DK26" s="24"/>
      <c r="DL26" s="24"/>
      <c r="DM26" s="24"/>
      <c r="DN26" s="24"/>
      <c r="DO26" s="24"/>
      <c r="DP26" s="24"/>
      <c r="DQ26" s="24"/>
      <c r="DR26" s="24"/>
      <c r="DS26" s="24"/>
      <c r="DT26" s="24"/>
      <c r="DU26" s="24"/>
      <c r="DV26" s="24"/>
      <c r="DW26" s="24"/>
      <c r="DX26" s="24"/>
      <c r="DY26" s="24"/>
      <c r="DZ26" s="24"/>
      <c r="EA26" s="24"/>
    </row>
    <row r="27" spans="1:131">
      <c r="A27" s="24" t="s">
        <v>436</v>
      </c>
      <c r="B27" s="24"/>
      <c r="C27" s="198">
        <v>73.145658131418585</v>
      </c>
      <c r="D27" s="198">
        <v>30.451059986919489</v>
      </c>
      <c r="E27" s="198">
        <v>6.0902119973838982</v>
      </c>
      <c r="F27" s="198">
        <v>36.541271984303386</v>
      </c>
      <c r="G27" s="198">
        <v>87.062159005654138</v>
      </c>
      <c r="H27" s="198">
        <v>48.233328879575211</v>
      </c>
      <c r="I27" s="198">
        <v>4376.2206911499916</v>
      </c>
      <c r="J27" s="198">
        <v>13.09859026424895</v>
      </c>
      <c r="K27" s="198">
        <v>74.328805326063531</v>
      </c>
      <c r="L27" s="200">
        <v>0.554010254632472</v>
      </c>
      <c r="M27" s="198">
        <v>0.69488559328866673</v>
      </c>
      <c r="N27" s="198">
        <v>1.7073275578542112E-2</v>
      </c>
      <c r="O27" s="198">
        <v>2.9958608141122793</v>
      </c>
      <c r="P27" s="198">
        <v>2.214727517817785</v>
      </c>
      <c r="Q27" s="198">
        <v>2.0631208320711307</v>
      </c>
      <c r="R27" s="198">
        <v>1.1843832019243763</v>
      </c>
      <c r="S27" s="198">
        <v>0.95140190672247182</v>
      </c>
      <c r="T27" s="198">
        <v>0.73800958884303935</v>
      </c>
      <c r="U27" s="198">
        <v>0.7701072442609419</v>
      </c>
      <c r="V27" s="198">
        <v>1.1209165207336302</v>
      </c>
      <c r="W27" s="198">
        <v>1.4161900386280537</v>
      </c>
      <c r="X27" s="198">
        <v>2.3103541607048128</v>
      </c>
      <c r="Y27" s="198">
        <v>2.6754522129339762</v>
      </c>
      <c r="Z27" s="198">
        <v>3.1516287570611889</v>
      </c>
      <c r="AA27" s="198"/>
      <c r="AB27" s="198">
        <v>4.9651682403349291</v>
      </c>
      <c r="AC27" s="198">
        <v>4.3068674001448626</v>
      </c>
      <c r="AD27" s="198">
        <v>4.3417883427731647</v>
      </c>
      <c r="AE27" s="198">
        <v>4.1344678858724881</v>
      </c>
      <c r="AF27" s="198">
        <v>3.8080553794941068</v>
      </c>
      <c r="AG27" s="198">
        <v>3.4599719950269212</v>
      </c>
      <c r="AH27" s="198">
        <v>3.7782001471376341</v>
      </c>
      <c r="AI27" s="198">
        <v>4.0797138513129365</v>
      </c>
      <c r="AJ27" s="198">
        <v>4.3975109284338041</v>
      </c>
      <c r="AK27" s="198">
        <v>4.53848040266098</v>
      </c>
      <c r="AL27" s="198">
        <v>4.7575949304374063</v>
      </c>
      <c r="AM27" s="45">
        <v>4.9856858319756912</v>
      </c>
      <c r="AN27" s="45"/>
      <c r="AO27" s="45"/>
      <c r="AP27" s="45"/>
      <c r="AQ27" s="45"/>
      <c r="AR27" s="45"/>
      <c r="AS27" s="45"/>
      <c r="AT27" s="45"/>
      <c r="AU27" s="45"/>
      <c r="AV27" s="45"/>
      <c r="AW27" s="45"/>
      <c r="AX27" s="45"/>
      <c r="AY27" s="45"/>
      <c r="AZ27" s="45"/>
      <c r="BA27" s="45"/>
      <c r="BB27" s="45"/>
      <c r="BC27" s="45"/>
      <c r="BD27" s="45"/>
      <c r="BE27" s="45"/>
      <c r="BF27" s="45"/>
      <c r="BG27" s="45"/>
      <c r="BH27" s="45"/>
      <c r="BI27" s="45"/>
      <c r="BJ27" s="45"/>
      <c r="BK27" s="45"/>
      <c r="BL27" s="45"/>
      <c r="BM27" s="45"/>
      <c r="BN27" s="45"/>
      <c r="BO27" s="45"/>
      <c r="BP27" s="45"/>
      <c r="BQ27" s="45"/>
      <c r="BR27" s="45"/>
      <c r="BS27" s="45"/>
      <c r="BT27" s="45"/>
      <c r="BU27" s="45"/>
      <c r="BV27" s="45"/>
      <c r="BW27" s="45"/>
      <c r="BX27" s="45"/>
      <c r="BY27" s="45"/>
      <c r="BZ27" s="45"/>
      <c r="CA27" s="45"/>
      <c r="CB27" s="45"/>
      <c r="CC27" s="45"/>
      <c r="CD27" s="45"/>
      <c r="CE27" s="45"/>
      <c r="CF27" s="45"/>
      <c r="CG27" s="45"/>
      <c r="CH27" s="45"/>
      <c r="CI27" s="45"/>
      <c r="CJ27" s="45"/>
      <c r="CK27" s="45"/>
      <c r="CL27" s="45"/>
      <c r="CM27" s="45"/>
      <c r="CN27" s="45"/>
      <c r="CO27" s="45"/>
      <c r="CP27" s="45"/>
      <c r="CQ27" s="45"/>
      <c r="CR27" s="45"/>
      <c r="CS27" s="45"/>
      <c r="CT27" s="45"/>
      <c r="CU27" s="45"/>
      <c r="CV27" s="45"/>
      <c r="CW27" s="45"/>
      <c r="CX27" s="24"/>
      <c r="CY27" s="24"/>
      <c r="CZ27" s="24"/>
      <c r="DA27" s="24"/>
      <c r="DB27" s="24"/>
      <c r="DC27" s="24"/>
      <c r="DD27" s="24"/>
      <c r="DE27" s="24"/>
      <c r="DF27" s="24"/>
      <c r="DG27" s="24"/>
      <c r="DH27" s="24"/>
      <c r="DI27" s="24"/>
      <c r="DJ27" s="24"/>
      <c r="DK27" s="24"/>
      <c r="DL27" s="24"/>
      <c r="DM27" s="24"/>
      <c r="DN27" s="24"/>
      <c r="DO27" s="24"/>
      <c r="DP27" s="24"/>
      <c r="DQ27" s="24"/>
      <c r="DR27" s="24"/>
      <c r="DS27" s="24"/>
      <c r="DT27" s="24"/>
      <c r="DU27" s="24"/>
      <c r="DV27" s="24"/>
      <c r="DW27" s="24"/>
      <c r="DX27" s="24"/>
      <c r="DY27" s="24"/>
      <c r="DZ27" s="24"/>
      <c r="EA27" s="24"/>
    </row>
    <row r="28" spans="1:131">
      <c r="A28" s="24"/>
      <c r="B28" s="24"/>
      <c r="C28" s="45"/>
      <c r="D28" s="45"/>
      <c r="E28" s="45"/>
      <c r="F28" s="45"/>
      <c r="G28" s="45"/>
      <c r="H28" s="45"/>
      <c r="I28" s="45"/>
      <c r="J28" s="45"/>
      <c r="K28" s="45"/>
      <c r="L28" s="45"/>
      <c r="M28" s="45"/>
      <c r="N28" s="45"/>
      <c r="O28" s="45"/>
      <c r="P28" s="45"/>
      <c r="Q28" s="45"/>
      <c r="R28" s="45"/>
      <c r="S28" s="45"/>
      <c r="T28" s="45"/>
      <c r="U28" s="45"/>
      <c r="V28" s="45"/>
      <c r="W28" s="45"/>
      <c r="X28" s="45"/>
      <c r="Y28" s="45"/>
      <c r="Z28" s="45"/>
      <c r="AA28" s="45"/>
      <c r="AB28" s="45"/>
      <c r="AC28" s="45"/>
      <c r="AD28" s="45"/>
      <c r="AE28" s="45"/>
      <c r="AF28" s="45"/>
      <c r="AG28" s="45"/>
      <c r="AH28" s="45"/>
      <c r="AI28" s="45"/>
      <c r="AJ28" s="45"/>
      <c r="AK28" s="45"/>
      <c r="AL28" s="45"/>
      <c r="AM28" s="45"/>
      <c r="AN28" s="45"/>
      <c r="AO28" s="45"/>
      <c r="AP28" s="45"/>
      <c r="AQ28" s="45"/>
      <c r="AR28" s="45"/>
      <c r="AS28" s="45"/>
      <c r="AT28" s="45"/>
      <c r="AU28" s="45"/>
      <c r="AV28" s="45"/>
      <c r="AW28" s="45"/>
      <c r="AX28" s="45"/>
      <c r="AY28" s="45"/>
      <c r="AZ28" s="45"/>
      <c r="BA28" s="45"/>
      <c r="BB28" s="45"/>
      <c r="BC28" s="45"/>
      <c r="BD28" s="45"/>
      <c r="BE28" s="45"/>
      <c r="BF28" s="45"/>
      <c r="BG28" s="45"/>
      <c r="BH28" s="45"/>
      <c r="BI28" s="45"/>
      <c r="BJ28" s="45"/>
      <c r="BK28" s="45"/>
      <c r="BL28" s="45"/>
      <c r="BM28" s="45"/>
      <c r="BN28" s="45"/>
      <c r="BO28" s="45"/>
      <c r="BP28" s="45"/>
      <c r="BQ28" s="45"/>
      <c r="BR28" s="45"/>
      <c r="BS28" s="45"/>
      <c r="BT28" s="45"/>
      <c r="BU28" s="45"/>
      <c r="BV28" s="45"/>
      <c r="BW28" s="45"/>
      <c r="BX28" s="45"/>
      <c r="BY28" s="45"/>
      <c r="BZ28" s="45"/>
      <c r="CA28" s="45"/>
      <c r="CB28" s="45"/>
      <c r="CC28" s="45"/>
      <c r="CD28" s="45"/>
      <c r="CE28" s="45"/>
      <c r="CF28" s="45"/>
      <c r="CG28" s="45"/>
      <c r="CH28" s="45"/>
      <c r="CI28" s="45"/>
      <c r="CJ28" s="45"/>
      <c r="CK28" s="45"/>
      <c r="CL28" s="45"/>
      <c r="CM28" s="45"/>
      <c r="CN28" s="45"/>
      <c r="CO28" s="45"/>
      <c r="CP28" s="45"/>
      <c r="CQ28" s="45"/>
      <c r="CR28" s="45"/>
      <c r="CS28" s="45"/>
      <c r="CT28" s="45"/>
      <c r="CU28" s="45"/>
      <c r="CV28" s="45"/>
      <c r="CW28" s="45"/>
      <c r="CX28" s="24"/>
      <c r="CY28" s="24"/>
      <c r="CZ28" s="24"/>
      <c r="DA28" s="24"/>
      <c r="DB28" s="24"/>
      <c r="DC28" s="24"/>
      <c r="DD28" s="24"/>
      <c r="DE28" s="24"/>
      <c r="DF28" s="24"/>
      <c r="DG28" s="24"/>
      <c r="DH28" s="24"/>
      <c r="DI28" s="24"/>
      <c r="DJ28" s="24"/>
      <c r="DK28" s="24"/>
      <c r="DL28" s="24"/>
      <c r="DM28" s="24"/>
      <c r="DN28" s="24"/>
      <c r="DO28" s="24"/>
      <c r="DP28" s="24"/>
      <c r="DQ28" s="24"/>
      <c r="DR28" s="24"/>
      <c r="DS28" s="24"/>
      <c r="DT28" s="24"/>
      <c r="DU28" s="24"/>
      <c r="DV28" s="24"/>
      <c r="DW28" s="24"/>
      <c r="DX28" s="24"/>
      <c r="DY28" s="24"/>
      <c r="DZ28" s="24"/>
      <c r="EA28" s="24"/>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22</vt:i4>
      </vt:variant>
      <vt:variant>
        <vt:lpstr>Named Ranges</vt:lpstr>
      </vt:variant>
      <vt:variant>
        <vt:i4>4</vt:i4>
      </vt:variant>
    </vt:vector>
  </HeadingPairs>
  <TitlesOfParts>
    <vt:vector size="26" baseType="lpstr">
      <vt:lpstr>forRPM</vt:lpstr>
      <vt:lpstr>7PSourceSummary</vt:lpstr>
      <vt:lpstr>SC-New</vt:lpstr>
      <vt:lpstr>SC-NR</vt:lpstr>
      <vt:lpstr>M_Input_Out</vt:lpstr>
      <vt:lpstr>M_Input</vt:lpstr>
      <vt:lpstr>M_Input(Fixture)_Out</vt:lpstr>
      <vt:lpstr>M_Input(Fixture)</vt:lpstr>
      <vt:lpstr>M_Input(Fixt wo OM)_Out</vt:lpstr>
      <vt:lpstr>M_Input(Fixt wo OM)</vt:lpstr>
      <vt:lpstr>M_Weight</vt:lpstr>
      <vt:lpstr>Watt Allocation</vt:lpstr>
      <vt:lpstr>Savings and Cost Analysis</vt:lpstr>
      <vt:lpstr>Reference Fixtures</vt:lpstr>
      <vt:lpstr>DOE2014 Sales Pen</vt:lpstr>
      <vt:lpstr>CBSA Data</vt:lpstr>
      <vt:lpstr>Approach</vt:lpstr>
      <vt:lpstr>ETO Cost Data</vt:lpstr>
      <vt:lpstr>Sheet1</vt:lpstr>
      <vt:lpstr>LOG</vt:lpstr>
      <vt:lpstr>ToDo7P</vt:lpstr>
      <vt:lpstr>DOE 2017 Rule</vt:lpstr>
      <vt:lpstr>CostMatrix</vt:lpstr>
      <vt:lpstr>Resid_Carryover</vt:lpstr>
      <vt:lpstr>Watt_Allocation</vt:lpstr>
      <vt:lpstr>Watt_Class_Ext</vt:lpstr>
    </vt:vector>
  </TitlesOfParts>
  <Company>Northwest Power and Conservation Council</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Charlie Grist</dc:creator>
  <cp:lastModifiedBy>Charlie Grist</cp:lastModifiedBy>
  <dcterms:created xsi:type="dcterms:W3CDTF">2014-11-01T20:14:00Z</dcterms:created>
  <dcterms:modified xsi:type="dcterms:W3CDTF">2015-03-19T05:06:14Z</dcterms:modified>
</cp:coreProperties>
</file>