
<file path=[Content_Types].xml><?xml version="1.0" encoding="utf-8"?>
<Types xmlns="http://schemas.openxmlformats.org/package/2006/content-types">
  <Override PartName="/xl/worksheets/sheet15.xml" ContentType="application/vnd.openxmlformats-officedocument.spreadsheetml.worksheet+xml"/>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7755" tabRatio="710" activeTab="1"/>
  </bookViews>
  <sheets>
    <sheet name="forRPM" sheetId="20" r:id="rId1"/>
    <sheet name="SC-NR" sheetId="12" r:id="rId2"/>
    <sheet name="7PSourceSummary" sheetId="21" r:id="rId3"/>
    <sheet name="M_Input(Fixture wo OM)_Out" sheetId="14" r:id="rId4"/>
    <sheet name="M_Input(Fixture wo OM)" sheetId="10" r:id="rId5"/>
    <sheet name="M_Input(Fixture)_Out" sheetId="9" r:id="rId6"/>
    <sheet name="M_Input(Fixture)" sheetId="8" r:id="rId7"/>
    <sheet name="M_Input(per KSF)_Out" sheetId="17" r:id="rId8"/>
    <sheet name="M_Input(per KSF)" sheetId="16" r:id="rId9"/>
    <sheet name="Measure Development" sheetId="4" r:id="rId10"/>
    <sheet name="Base and EE Specs" sheetId="6" r:id="rId11"/>
    <sheet name="CLTC Studies" sheetId="1" r:id="rId12"/>
    <sheet name="Lists&amp;Tables" sheetId="7" r:id="rId13"/>
    <sheet name="Park Garage Data" sheetId="19" r:id="rId14"/>
    <sheet name="LOG" sheetId="22" r:id="rId15"/>
  </sheets>
  <externalReferences>
    <externalReference r:id="rId16"/>
    <externalReference r:id="rId17"/>
    <externalReference r:id="rId18"/>
    <externalReference r:id="rId19"/>
    <externalReference r:id="rId20"/>
  </externalReferences>
  <definedNames>
    <definedName name="MeasOut">'M_Input(per KSF)_Out'!$A$1:$BA$19</definedName>
  </definedNames>
  <calcPr calcId="125725"/>
</workbook>
</file>

<file path=xl/calcChain.xml><?xml version="1.0" encoding="utf-8"?>
<calcChain xmlns="http://schemas.openxmlformats.org/spreadsheetml/2006/main">
  <c r="BA3" i="4"/>
  <c r="B11" i="22"/>
  <c r="B10"/>
  <c r="B9"/>
  <c r="B8"/>
  <c r="B7"/>
  <c r="B6"/>
  <c r="B5"/>
  <c r="B4"/>
  <c r="D9" i="12"/>
  <c r="D8"/>
  <c r="D2" i="21"/>
  <c r="C3" i="20"/>
  <c r="AG3"/>
  <c r="AH3"/>
  <c r="AI3"/>
  <c r="AJ3"/>
  <c r="AK3"/>
  <c r="AL3"/>
  <c r="AM3"/>
  <c r="AN3"/>
  <c r="AO3"/>
  <c r="AP3"/>
  <c r="AQ3"/>
  <c r="AR3"/>
  <c r="AS3"/>
  <c r="AT3"/>
  <c r="AU3"/>
  <c r="AV3"/>
  <c r="AW3"/>
  <c r="AX3"/>
  <c r="AY3"/>
  <c r="AZ3"/>
  <c r="BA3"/>
  <c r="BB3"/>
  <c r="BC3"/>
  <c r="BD3"/>
  <c r="AF3"/>
  <c r="H3"/>
  <c r="G3"/>
  <c r="F3"/>
  <c r="A3" l="1"/>
  <c r="AD2"/>
  <c r="AC2"/>
  <c r="AB2"/>
  <c r="AA2"/>
  <c r="Z2"/>
  <c r="Y2"/>
  <c r="X2"/>
  <c r="W2"/>
  <c r="V2"/>
  <c r="U2"/>
  <c r="T2"/>
  <c r="S2"/>
  <c r="R2"/>
  <c r="Q2"/>
  <c r="P2"/>
  <c r="O2"/>
  <c r="N2"/>
  <c r="M2"/>
  <c r="L2"/>
  <c r="K2"/>
  <c r="I2"/>
  <c r="X18" i="19" l="1"/>
  <c r="C80"/>
  <c r="X15"/>
  <c r="X12"/>
  <c r="Q31"/>
  <c r="Q29"/>
  <c r="Q30"/>
  <c r="A38" i="12"/>
  <c r="B38"/>
  <c r="C79" i="19"/>
  <c r="C38" i="12"/>
  <c r="F4" i="7"/>
  <c r="F5"/>
  <c r="F3"/>
  <c r="C8" i="12"/>
  <c r="E33"/>
  <c r="C113"/>
  <c r="X112"/>
  <c r="W112"/>
  <c r="V112"/>
  <c r="U112"/>
  <c r="T112"/>
  <c r="S112"/>
  <c r="R112"/>
  <c r="Q112"/>
  <c r="P112"/>
  <c r="O112"/>
  <c r="N112"/>
  <c r="M112"/>
  <c r="L112"/>
  <c r="K112"/>
  <c r="J112"/>
  <c r="I112"/>
  <c r="H112"/>
  <c r="G112"/>
  <c r="F112"/>
  <c r="E112"/>
  <c r="B68"/>
  <c r="A68"/>
  <c r="Z47"/>
  <c r="Z45"/>
  <c r="Y45" s="1"/>
  <c r="Y47" s="1"/>
  <c r="F10"/>
  <c r="G10" s="1"/>
  <c r="H10" s="1"/>
  <c r="I10" s="1"/>
  <c r="J10" s="1"/>
  <c r="K10" s="1"/>
  <c r="L10" s="1"/>
  <c r="M10" s="1"/>
  <c r="N10" s="1"/>
  <c r="O10" s="1"/>
  <c r="P10" s="1"/>
  <c r="Q10" s="1"/>
  <c r="R10" s="1"/>
  <c r="S10" s="1"/>
  <c r="T10" s="1"/>
  <c r="U10" s="1"/>
  <c r="V10" s="1"/>
  <c r="W10" s="1"/>
  <c r="X10" s="1"/>
  <c r="C9"/>
  <c r="E11" s="1"/>
  <c r="D51" l="1"/>
  <c r="A9"/>
  <c r="E44"/>
  <c r="E38"/>
  <c r="E51"/>
  <c r="E75"/>
  <c r="D44"/>
  <c r="E113"/>
  <c r="E12"/>
  <c r="D50"/>
  <c r="D112"/>
  <c r="D65"/>
  <c r="D58"/>
  <c r="D37"/>
  <c r="F11"/>
  <c r="E37"/>
  <c r="E66"/>
  <c r="F113" l="1"/>
  <c r="F75"/>
  <c r="F66"/>
  <c r="F44"/>
  <c r="F37"/>
  <c r="G11"/>
  <c r="F12"/>
  <c r="F51"/>
  <c r="E52"/>
  <c r="E68" s="1"/>
  <c r="E40"/>
  <c r="E67"/>
  <c r="E76"/>
  <c r="K3" i="20" l="1"/>
  <c r="E59" i="12"/>
  <c r="E54"/>
  <c r="G113"/>
  <c r="G66"/>
  <c r="G75"/>
  <c r="G37"/>
  <c r="H11"/>
  <c r="G44"/>
  <c r="G12"/>
  <c r="G51"/>
  <c r="E79"/>
  <c r="E78"/>
  <c r="E77"/>
  <c r="E114" s="1"/>
  <c r="F67"/>
  <c r="F76"/>
  <c r="E116" l="1"/>
  <c r="E85"/>
  <c r="E88"/>
  <c r="F79"/>
  <c r="F77"/>
  <c r="F114" s="1"/>
  <c r="F78"/>
  <c r="H75"/>
  <c r="H113"/>
  <c r="H66"/>
  <c r="H12"/>
  <c r="H37"/>
  <c r="I11"/>
  <c r="H51"/>
  <c r="H44"/>
  <c r="E61"/>
  <c r="E90"/>
  <c r="E107"/>
  <c r="E98"/>
  <c r="E70"/>
  <c r="E99"/>
  <c r="E82"/>
  <c r="E97"/>
  <c r="E108"/>
  <c r="E87"/>
  <c r="E93"/>
  <c r="E102"/>
  <c r="E81"/>
  <c r="E103"/>
  <c r="E84"/>
  <c r="E122" s="1"/>
  <c r="E92"/>
  <c r="E106"/>
  <c r="G76"/>
  <c r="G67"/>
  <c r="E95"/>
  <c r="E83"/>
  <c r="E80"/>
  <c r="E117" s="1"/>
  <c r="E89"/>
  <c r="E94"/>
  <c r="E105"/>
  <c r="E100"/>
  <c r="E86"/>
  <c r="E91"/>
  <c r="E115"/>
  <c r="E101"/>
  <c r="E96"/>
  <c r="E104"/>
  <c r="E133" l="1"/>
  <c r="E137"/>
  <c r="E139"/>
  <c r="E145"/>
  <c r="E120"/>
  <c r="F115"/>
  <c r="E126"/>
  <c r="E136"/>
  <c r="E127"/>
  <c r="E123"/>
  <c r="F116"/>
  <c r="E132"/>
  <c r="E130"/>
  <c r="E135"/>
  <c r="E140"/>
  <c r="E124"/>
  <c r="I113"/>
  <c r="I75"/>
  <c r="I66"/>
  <c r="I12"/>
  <c r="I44"/>
  <c r="I37"/>
  <c r="J11"/>
  <c r="I51"/>
  <c r="G78"/>
  <c r="G77"/>
  <c r="G114" s="1"/>
  <c r="E141"/>
  <c r="E138"/>
  <c r="E142"/>
  <c r="E131"/>
  <c r="E143"/>
  <c r="E144"/>
  <c r="E125"/>
  <c r="G79"/>
  <c r="H76"/>
  <c r="H67"/>
  <c r="E128"/>
  <c r="E121"/>
  <c r="E134"/>
  <c r="E129"/>
  <c r="E118"/>
  <c r="E119"/>
  <c r="E147" l="1"/>
  <c r="H79"/>
  <c r="J113"/>
  <c r="J44"/>
  <c r="J66"/>
  <c r="J75"/>
  <c r="J12"/>
  <c r="J37"/>
  <c r="K11"/>
  <c r="J51"/>
  <c r="I76"/>
  <c r="I67"/>
  <c r="H77"/>
  <c r="H114" s="1"/>
  <c r="H78"/>
  <c r="G115"/>
  <c r="G116"/>
  <c r="I78" l="1"/>
  <c r="I77"/>
  <c r="I114" s="1"/>
  <c r="I79"/>
  <c r="J76"/>
  <c r="J67"/>
  <c r="K113"/>
  <c r="K75"/>
  <c r="K66"/>
  <c r="K37"/>
  <c r="L11"/>
  <c r="K44"/>
  <c r="K12"/>
  <c r="K51"/>
  <c r="H115"/>
  <c r="H116"/>
  <c r="I115" l="1"/>
  <c r="K67"/>
  <c r="K76"/>
  <c r="I116"/>
  <c r="L113"/>
  <c r="L75"/>
  <c r="L66"/>
  <c r="L12"/>
  <c r="L37"/>
  <c r="M11"/>
  <c r="L44"/>
  <c r="L51"/>
  <c r="J79"/>
  <c r="J78"/>
  <c r="J77"/>
  <c r="J114" s="1"/>
  <c r="J115" l="1"/>
  <c r="L76"/>
  <c r="L67"/>
  <c r="M113"/>
  <c r="M75"/>
  <c r="M12"/>
  <c r="M37"/>
  <c r="N11"/>
  <c r="M66"/>
  <c r="M51"/>
  <c r="M44"/>
  <c r="K78"/>
  <c r="K79"/>
  <c r="K77"/>
  <c r="K114" s="1"/>
  <c r="J116"/>
  <c r="K116" l="1"/>
  <c r="M76"/>
  <c r="M67"/>
  <c r="N113"/>
  <c r="N66"/>
  <c r="N44"/>
  <c r="N75"/>
  <c r="N37"/>
  <c r="O11"/>
  <c r="N12"/>
  <c r="N51"/>
  <c r="L77"/>
  <c r="L114" s="1"/>
  <c r="L79"/>
  <c r="L78"/>
  <c r="K115"/>
  <c r="L116" l="1"/>
  <c r="L115"/>
  <c r="M79"/>
  <c r="N76"/>
  <c r="N67"/>
  <c r="O113"/>
  <c r="O66"/>
  <c r="O37"/>
  <c r="P11"/>
  <c r="O44"/>
  <c r="O75"/>
  <c r="O12"/>
  <c r="O51"/>
  <c r="M78"/>
  <c r="M77"/>
  <c r="M114" s="1"/>
  <c r="M115" l="1"/>
  <c r="M116"/>
  <c r="O67"/>
  <c r="O76"/>
  <c r="P75"/>
  <c r="P66"/>
  <c r="P113"/>
  <c r="P12"/>
  <c r="P37"/>
  <c r="Q11"/>
  <c r="P51"/>
  <c r="P44"/>
  <c r="N79"/>
  <c r="N78"/>
  <c r="N77"/>
  <c r="N114" s="1"/>
  <c r="N115" l="1"/>
  <c r="P76"/>
  <c r="P67"/>
  <c r="O79"/>
  <c r="O78"/>
  <c r="O77"/>
  <c r="O114" s="1"/>
  <c r="Q75"/>
  <c r="Q113"/>
  <c r="Q66"/>
  <c r="Q12"/>
  <c r="Q44"/>
  <c r="Q37"/>
  <c r="R11"/>
  <c r="Q51"/>
  <c r="N116"/>
  <c r="R113" l="1"/>
  <c r="R75"/>
  <c r="R44"/>
  <c r="R66"/>
  <c r="R12"/>
  <c r="R37"/>
  <c r="S11"/>
  <c r="R51"/>
  <c r="P77"/>
  <c r="P114" s="1"/>
  <c r="P78"/>
  <c r="Q67"/>
  <c r="Q76"/>
  <c r="P79"/>
  <c r="O115"/>
  <c r="O116"/>
  <c r="P116" l="1"/>
  <c r="P115"/>
  <c r="Q79"/>
  <c r="Q78"/>
  <c r="Q77"/>
  <c r="Q114" s="1"/>
  <c r="R76"/>
  <c r="R67"/>
  <c r="S113"/>
  <c r="S66"/>
  <c r="S75"/>
  <c r="S37"/>
  <c r="T11"/>
  <c r="S44"/>
  <c r="S12"/>
  <c r="S51"/>
  <c r="Q115" l="1"/>
  <c r="Q116"/>
  <c r="S67"/>
  <c r="S76"/>
  <c r="R78"/>
  <c r="R77"/>
  <c r="R114" s="1"/>
  <c r="R79"/>
  <c r="T113"/>
  <c r="T75"/>
  <c r="T66"/>
  <c r="T12"/>
  <c r="T37"/>
  <c r="U11"/>
  <c r="T44"/>
  <c r="T51"/>
  <c r="R115" l="1"/>
  <c r="T76"/>
  <c r="T67"/>
  <c r="S79"/>
  <c r="U113"/>
  <c r="U75"/>
  <c r="U12"/>
  <c r="U37"/>
  <c r="V11"/>
  <c r="U66"/>
  <c r="U51"/>
  <c r="U44"/>
  <c r="S78"/>
  <c r="S77"/>
  <c r="S114" s="1"/>
  <c r="R116"/>
  <c r="S115" l="1"/>
  <c r="U76"/>
  <c r="U67"/>
  <c r="T77"/>
  <c r="T114" s="1"/>
  <c r="T78"/>
  <c r="S116"/>
  <c r="V113"/>
  <c r="V75"/>
  <c r="V66"/>
  <c r="V44"/>
  <c r="V37"/>
  <c r="W11"/>
  <c r="V12"/>
  <c r="V51"/>
  <c r="T79"/>
  <c r="T115" l="1"/>
  <c r="T116"/>
  <c r="V67"/>
  <c r="V76"/>
  <c r="U78"/>
  <c r="U77"/>
  <c r="U114" s="1"/>
  <c r="U79"/>
  <c r="W113"/>
  <c r="W66"/>
  <c r="W75"/>
  <c r="W37"/>
  <c r="X11"/>
  <c r="W44"/>
  <c r="W12"/>
  <c r="W51"/>
  <c r="U115" l="1"/>
  <c r="X75"/>
  <c r="X113"/>
  <c r="X66"/>
  <c r="X12"/>
  <c r="X37"/>
  <c r="X51"/>
  <c r="X44"/>
  <c r="W76"/>
  <c r="W67"/>
  <c r="V78"/>
  <c r="V77"/>
  <c r="V114" s="1"/>
  <c r="U116"/>
  <c r="V79"/>
  <c r="V115" l="1"/>
  <c r="X76"/>
  <c r="X67"/>
  <c r="W78"/>
  <c r="W77"/>
  <c r="W114" s="1"/>
  <c r="W79"/>
  <c r="V116"/>
  <c r="W115" l="1"/>
  <c r="W116"/>
  <c r="X79"/>
  <c r="X77"/>
  <c r="X114" s="1"/>
  <c r="X78"/>
  <c r="X116" l="1"/>
  <c r="Y78"/>
  <c r="Y79"/>
  <c r="Y77"/>
  <c r="Y114" s="1"/>
  <c r="X115"/>
  <c r="Y115" l="1"/>
  <c r="Y116"/>
  <c r="G52" i="19" l="1"/>
  <c r="K51"/>
  <c r="K50"/>
  <c r="K49"/>
  <c r="K48"/>
  <c r="K47"/>
  <c r="K46"/>
  <c r="K45"/>
  <c r="K44"/>
  <c r="G55" s="1"/>
  <c r="K43"/>
  <c r="K42"/>
  <c r="E55" l="1"/>
  <c r="E56"/>
  <c r="E58" l="1"/>
  <c r="G13" i="16" l="1"/>
  <c r="G12"/>
  <c r="G11"/>
  <c r="G10"/>
  <c r="G9"/>
  <c r="G8"/>
  <c r="BA10" i="4"/>
  <c r="BA11"/>
  <c r="BA12"/>
  <c r="BA13"/>
  <c r="BA14"/>
  <c r="BA9"/>
  <c r="B42" i="6" l="1"/>
  <c r="C42"/>
  <c r="D42"/>
  <c r="E42"/>
  <c r="F42"/>
  <c r="G42"/>
  <c r="H42"/>
  <c r="J42"/>
  <c r="J44" s="1"/>
  <c r="K42"/>
  <c r="L42"/>
  <c r="B43"/>
  <c r="C43"/>
  <c r="D43"/>
  <c r="E43"/>
  <c r="F43"/>
  <c r="G43"/>
  <c r="H43"/>
  <c r="J43"/>
  <c r="K43"/>
  <c r="L43"/>
  <c r="L72"/>
  <c r="L67"/>
  <c r="L71"/>
  <c r="L66"/>
  <c r="L65"/>
  <c r="L70"/>
  <c r="I56" l="1"/>
  <c r="I55"/>
  <c r="I52"/>
  <c r="I51"/>
  <c r="H56"/>
  <c r="J56" s="1"/>
  <c r="H52"/>
  <c r="H51"/>
  <c r="H55"/>
  <c r="L56"/>
  <c r="M56" s="1"/>
  <c r="L55"/>
  <c r="L52"/>
  <c r="L51"/>
  <c r="M51" l="1"/>
  <c r="M53" s="1"/>
  <c r="J52"/>
  <c r="M52"/>
  <c r="H57"/>
  <c r="J55"/>
  <c r="J57" s="1"/>
  <c r="M55"/>
  <c r="M57" s="1"/>
  <c r="H59"/>
  <c r="H53"/>
  <c r="J51"/>
  <c r="G13" i="10"/>
  <c r="G12"/>
  <c r="G11"/>
  <c r="G10"/>
  <c r="G9"/>
  <c r="G8"/>
  <c r="H66" i="6" l="1"/>
  <c r="M66" s="1"/>
  <c r="H67"/>
  <c r="M67" s="1"/>
  <c r="H65"/>
  <c r="M65" s="1"/>
  <c r="H70"/>
  <c r="M70" s="1"/>
  <c r="H72"/>
  <c r="M72" s="1"/>
  <c r="H71"/>
  <c r="M71" s="1"/>
  <c r="J53"/>
  <c r="J59"/>
  <c r="L13" i="4"/>
  <c r="L10"/>
  <c r="AB9"/>
  <c r="AB12"/>
  <c r="AB13"/>
  <c r="AB10"/>
  <c r="M59" i="6"/>
  <c r="BF10" i="4"/>
  <c r="BF11"/>
  <c r="BF12"/>
  <c r="BF13"/>
  <c r="BF14"/>
  <c r="BF9"/>
  <c r="G9" i="8"/>
  <c r="G10"/>
  <c r="G11"/>
  <c r="G12"/>
  <c r="G13"/>
  <c r="G8"/>
  <c r="Q13" i="10" l="1"/>
  <c r="Q13" i="16"/>
  <c r="Q9" i="10"/>
  <c r="Q9" i="16"/>
  <c r="Q12" i="10"/>
  <c r="Q12" i="16"/>
  <c r="Q11" i="10"/>
  <c r="Q11" i="16"/>
  <c r="Q8" i="10"/>
  <c r="Q8" i="16"/>
  <c r="Q10" i="10"/>
  <c r="Q10" i="16"/>
  <c r="M73" i="6"/>
  <c r="AC10" i="4" s="1"/>
  <c r="M75" i="6"/>
  <c r="M68"/>
  <c r="L11" i="4"/>
  <c r="L14"/>
  <c r="AB11"/>
  <c r="AB14"/>
  <c r="L9"/>
  <c r="L12"/>
  <c r="Q12" i="8"/>
  <c r="Q11"/>
  <c r="Q8"/>
  <c r="Q10"/>
  <c r="Q13"/>
  <c r="Q9"/>
  <c r="AP4" i="4"/>
  <c r="AO4"/>
  <c r="AP10" s="1"/>
  <c r="AR10" s="1"/>
  <c r="AP3"/>
  <c r="AO3"/>
  <c r="AO12" s="1"/>
  <c r="AQ12" s="1"/>
  <c r="AV12" s="1"/>
  <c r="AL10"/>
  <c r="AL11"/>
  <c r="AL12"/>
  <c r="AL13"/>
  <c r="AL14"/>
  <c r="AL9"/>
  <c r="T2"/>
  <c r="Q50" i="1"/>
  <c r="Q74"/>
  <c r="T6" i="4"/>
  <c r="U10" s="1"/>
  <c r="T10"/>
  <c r="T11"/>
  <c r="T12"/>
  <c r="T13"/>
  <c r="T14"/>
  <c r="T9"/>
  <c r="O10"/>
  <c r="O11"/>
  <c r="O12"/>
  <c r="O13"/>
  <c r="P13" s="1"/>
  <c r="O14"/>
  <c r="O9"/>
  <c r="P9" s="1"/>
  <c r="N10"/>
  <c r="N11"/>
  <c r="N12"/>
  <c r="N13"/>
  <c r="N14"/>
  <c r="N9"/>
  <c r="P10"/>
  <c r="P11"/>
  <c r="P12"/>
  <c r="C4" i="7"/>
  <c r="C5"/>
  <c r="C3"/>
  <c r="K10" i="4"/>
  <c r="C10" s="1"/>
  <c r="B9" i="16" s="1"/>
  <c r="K11" i="4"/>
  <c r="C11" s="1"/>
  <c r="B10" i="16" s="1"/>
  <c r="K12" i="4"/>
  <c r="C12" s="1"/>
  <c r="B11" i="16" s="1"/>
  <c r="K13" i="4"/>
  <c r="C13" s="1"/>
  <c r="B12" i="16" s="1"/>
  <c r="K14" i="4"/>
  <c r="C14" s="1"/>
  <c r="B13" i="16" s="1"/>
  <c r="K9" i="4"/>
  <c r="C9" s="1"/>
  <c r="B8" i="16" s="1"/>
  <c r="AN12" i="4" l="1"/>
  <c r="D11" i="16" s="1"/>
  <c r="AP12" i="4"/>
  <c r="AR12" s="1"/>
  <c r="AS12" s="1"/>
  <c r="AN13"/>
  <c r="AP13"/>
  <c r="AR13" s="1"/>
  <c r="AS13" s="1"/>
  <c r="AC13"/>
  <c r="AG13" s="1"/>
  <c r="AC9"/>
  <c r="AC12"/>
  <c r="AG12" s="1"/>
  <c r="AC14"/>
  <c r="AC11"/>
  <c r="B9" i="10"/>
  <c r="B10" i="4"/>
  <c r="A9" i="16" s="1"/>
  <c r="B9" i="8"/>
  <c r="AF12" i="4"/>
  <c r="AU12" s="1"/>
  <c r="AW12" s="1"/>
  <c r="AO11"/>
  <c r="AQ11" s="1"/>
  <c r="AV11" s="1"/>
  <c r="B12" i="10"/>
  <c r="B12" i="8"/>
  <c r="B13" i="4"/>
  <c r="A12" i="16" s="1"/>
  <c r="B11" i="10"/>
  <c r="B11" i="8"/>
  <c r="B12" i="4"/>
  <c r="A11" i="16" s="1"/>
  <c r="AN9" i="4"/>
  <c r="AN11"/>
  <c r="AO13"/>
  <c r="AQ13" s="1"/>
  <c r="AV13" s="1"/>
  <c r="AP9"/>
  <c r="AR9" s="1"/>
  <c r="AP11"/>
  <c r="AR11" s="1"/>
  <c r="B13" i="10"/>
  <c r="B14" i="4"/>
  <c r="A13" i="16" s="1"/>
  <c r="B13" i="8"/>
  <c r="AO9" i="4"/>
  <c r="AQ9" s="1"/>
  <c r="AV9" s="1"/>
  <c r="AO14"/>
  <c r="AQ14" s="1"/>
  <c r="AV14" s="1"/>
  <c r="AO10"/>
  <c r="AQ10" s="1"/>
  <c r="AV10" s="1"/>
  <c r="B8" i="10"/>
  <c r="B9" i="4"/>
  <c r="A8" i="16" s="1"/>
  <c r="B8" i="8"/>
  <c r="B10" i="10"/>
  <c r="B11" i="4"/>
  <c r="A10" i="16" s="1"/>
  <c r="B10" i="8"/>
  <c r="AN14" i="4"/>
  <c r="AN10"/>
  <c r="AP14"/>
  <c r="AR14" s="1"/>
  <c r="AS14" s="1"/>
  <c r="AF10"/>
  <c r="AU10" s="1"/>
  <c r="AG9"/>
  <c r="AF13"/>
  <c r="AU13" s="1"/>
  <c r="AG10"/>
  <c r="AF9"/>
  <c r="AU9" s="1"/>
  <c r="AW9" s="1"/>
  <c r="D11" i="10"/>
  <c r="D11" i="8"/>
  <c r="D9" i="10"/>
  <c r="AF11" i="4"/>
  <c r="AU11" s="1"/>
  <c r="AF14"/>
  <c r="AU14" s="1"/>
  <c r="W10"/>
  <c r="V10"/>
  <c r="U13"/>
  <c r="U12"/>
  <c r="U9"/>
  <c r="U11"/>
  <c r="U14"/>
  <c r="P14"/>
  <c r="D9" i="8" l="1"/>
  <c r="D9" i="16"/>
  <c r="D12" i="8"/>
  <c r="D12" i="16"/>
  <c r="D13" i="8"/>
  <c r="D13" i="16"/>
  <c r="D10" i="8"/>
  <c r="D10" i="16"/>
  <c r="I8" i="8"/>
  <c r="BD9" i="4"/>
  <c r="I8" i="16" s="1"/>
  <c r="D8" i="10"/>
  <c r="D8" i="16"/>
  <c r="I11" i="8"/>
  <c r="BD12" i="4"/>
  <c r="I11" i="16" s="1"/>
  <c r="D12" i="10"/>
  <c r="D13"/>
  <c r="D8" i="8"/>
  <c r="AW13" i="4"/>
  <c r="AS9"/>
  <c r="AW10"/>
  <c r="D10" i="10"/>
  <c r="A10"/>
  <c r="A10" i="8"/>
  <c r="A11" i="10"/>
  <c r="A11" i="8"/>
  <c r="A13" i="10"/>
  <c r="A13" i="8"/>
  <c r="A9" i="10"/>
  <c r="A9" i="8"/>
  <c r="AW14" i="4"/>
  <c r="AW11"/>
  <c r="A8" i="10"/>
  <c r="A8" i="8"/>
  <c r="AS11" i="4"/>
  <c r="A12" i="10"/>
  <c r="A12" i="8"/>
  <c r="AS10" i="4"/>
  <c r="V11"/>
  <c r="W11"/>
  <c r="W9"/>
  <c r="V9"/>
  <c r="V12"/>
  <c r="W12"/>
  <c r="W14"/>
  <c r="V14"/>
  <c r="W13"/>
  <c r="V13"/>
  <c r="I9" i="8" l="1"/>
  <c r="BD10" i="4"/>
  <c r="I9" i="16" s="1"/>
  <c r="I10" i="8"/>
  <c r="BD11" i="4"/>
  <c r="I10" i="16" s="1"/>
  <c r="I13" i="8"/>
  <c r="BD14" i="4"/>
  <c r="I13" i="16" s="1"/>
  <c r="I12" i="8"/>
  <c r="BD13" i="4"/>
  <c r="I12" i="16" s="1"/>
  <c r="E4" i="7"/>
  <c r="C17" i="6"/>
  <c r="C26" s="1"/>
  <c r="C27" s="1"/>
  <c r="C28" s="1"/>
  <c r="F22"/>
  <c r="H22" s="1"/>
  <c r="I22" s="1"/>
  <c r="F21"/>
  <c r="H21" s="1"/>
  <c r="Q72" i="1"/>
  <c r="Q48"/>
  <c r="R12"/>
  <c r="R14"/>
  <c r="R13"/>
  <c r="R18"/>
  <c r="R19"/>
  <c r="R37"/>
  <c r="R39"/>
  <c r="R38"/>
  <c r="R43"/>
  <c r="R44"/>
  <c r="R61"/>
  <c r="R63"/>
  <c r="R62"/>
  <c r="R67"/>
  <c r="R68"/>
  <c r="C29" i="6" l="1"/>
  <c r="C30" s="1"/>
  <c r="AE10" i="4" s="1"/>
  <c r="AI10" s="1"/>
  <c r="AJ10" s="1"/>
  <c r="AT10" s="1"/>
  <c r="BC10" s="1"/>
  <c r="E9" i="16" s="1"/>
  <c r="E3" i="7"/>
  <c r="E5"/>
  <c r="AK10" i="4"/>
  <c r="AM10" s="1"/>
  <c r="AX10" s="1"/>
  <c r="AK13"/>
  <c r="AM13" s="1"/>
  <c r="AX13" s="1"/>
  <c r="I21" i="6"/>
  <c r="I23" s="1"/>
  <c r="H23"/>
  <c r="J9" i="8" l="1"/>
  <c r="BE10" i="4"/>
  <c r="J9" i="16" s="1"/>
  <c r="J12" i="8"/>
  <c r="BE13" i="4"/>
  <c r="J12" i="16" s="1"/>
  <c r="AE9" i="4"/>
  <c r="AI9" s="1"/>
  <c r="AJ9" s="1"/>
  <c r="AT9" s="1"/>
  <c r="AE14"/>
  <c r="AI14" s="1"/>
  <c r="AJ14" s="1"/>
  <c r="AT14" s="1"/>
  <c r="AE13"/>
  <c r="AI13" s="1"/>
  <c r="AJ13" s="1"/>
  <c r="AT13" s="1"/>
  <c r="AE12"/>
  <c r="AI12" s="1"/>
  <c r="AJ12" s="1"/>
  <c r="AT12" s="1"/>
  <c r="AE11"/>
  <c r="AI11" s="1"/>
  <c r="M11"/>
  <c r="R11" s="1"/>
  <c r="M9"/>
  <c r="R9" s="1"/>
  <c r="M12"/>
  <c r="R12" s="1"/>
  <c r="M13"/>
  <c r="R13" s="1"/>
  <c r="M10"/>
  <c r="R10" s="1"/>
  <c r="M14"/>
  <c r="R14" s="1"/>
  <c r="E11" i="8"/>
  <c r="E9" i="10"/>
  <c r="E9" i="8"/>
  <c r="AK14" i="4"/>
  <c r="AM14" s="1"/>
  <c r="AX14" s="1"/>
  <c r="AK11"/>
  <c r="AM11" s="1"/>
  <c r="AX11" s="1"/>
  <c r="AK9"/>
  <c r="AM9" s="1"/>
  <c r="AX9" s="1"/>
  <c r="AK12"/>
  <c r="AM12" s="1"/>
  <c r="AX12" s="1"/>
  <c r="Q12"/>
  <c r="X12" s="1"/>
  <c r="J10" i="8" l="1"/>
  <c r="BE11" i="4"/>
  <c r="J10" i="16" s="1"/>
  <c r="E11" i="10"/>
  <c r="BC12" i="4"/>
  <c r="E11" i="16" s="1"/>
  <c r="J13" i="8"/>
  <c r="BE14" i="4"/>
  <c r="J13" i="16" s="1"/>
  <c r="E12" i="10"/>
  <c r="BC13" i="4"/>
  <c r="E12" i="16" s="1"/>
  <c r="J11" i="8"/>
  <c r="BE12" i="4"/>
  <c r="J11" i="16" s="1"/>
  <c r="E13" i="10"/>
  <c r="BC14" i="4"/>
  <c r="E13" i="16" s="1"/>
  <c r="J8" i="8"/>
  <c r="BE9" i="4"/>
  <c r="J8" i="16" s="1"/>
  <c r="E8" i="8"/>
  <c r="BC9" i="4"/>
  <c r="E8" i="16" s="1"/>
  <c r="E8" i="10"/>
  <c r="E12" i="8"/>
  <c r="E13"/>
  <c r="S12" i="4"/>
  <c r="Y12" s="1"/>
  <c r="Z12" s="1"/>
  <c r="BB12" s="1"/>
  <c r="C11" i="16" s="1"/>
  <c r="S14" i="4"/>
  <c r="Y14" s="1"/>
  <c r="S9"/>
  <c r="Y9" s="1"/>
  <c r="S10"/>
  <c r="Y10" s="1"/>
  <c r="S11"/>
  <c r="Y11" s="1"/>
  <c r="S13"/>
  <c r="Y13" s="1"/>
  <c r="Q13"/>
  <c r="X13" s="1"/>
  <c r="Q10"/>
  <c r="X10" s="1"/>
  <c r="AG14"/>
  <c r="AG11"/>
  <c r="AJ11" s="1"/>
  <c r="AT11" s="1"/>
  <c r="BC11" s="1"/>
  <c r="E10" i="16" s="1"/>
  <c r="Q9" i="4"/>
  <c r="X9" s="1"/>
  <c r="Q14"/>
  <c r="X14" s="1"/>
  <c r="Q11"/>
  <c r="X11" s="1"/>
  <c r="C11" i="10" l="1"/>
  <c r="AA12" i="4"/>
  <c r="Z10"/>
  <c r="Z13"/>
  <c r="Z11"/>
  <c r="Z14"/>
  <c r="Z9"/>
  <c r="C11" i="8"/>
  <c r="E10"/>
  <c r="E10" i="10"/>
  <c r="C8" l="1"/>
  <c r="BB9" i="4"/>
  <c r="C8" i="16" s="1"/>
  <c r="C13" i="10"/>
  <c r="BB14" i="4"/>
  <c r="C13" i="16" s="1"/>
  <c r="C10" i="10"/>
  <c r="BB11" i="4"/>
  <c r="C10" i="16" s="1"/>
  <c r="C12" i="10"/>
  <c r="BB13" i="4"/>
  <c r="C12" i="16" s="1"/>
  <c r="C9" i="10"/>
  <c r="BB10" i="4"/>
  <c r="C9" i="16" s="1"/>
  <c r="AA10" i="4"/>
  <c r="C9" i="8"/>
  <c r="AA13" i="4"/>
  <c r="AA9"/>
  <c r="C12" i="8"/>
  <c r="C13"/>
  <c r="C10"/>
  <c r="AA11" i="4"/>
  <c r="AA14"/>
  <c r="C8" i="8"/>
  <c r="E26" i="12" l="1"/>
  <c r="T27"/>
  <c r="T16"/>
  <c r="I14"/>
  <c r="R19"/>
  <c r="M21"/>
  <c r="Q26"/>
  <c r="F22"/>
  <c r="J23"/>
  <c r="K26"/>
  <c r="S19"/>
  <c r="X16"/>
  <c r="Z16" s="1"/>
  <c r="T13"/>
  <c r="O18"/>
  <c r="T28"/>
  <c r="L24"/>
  <c r="P13"/>
  <c r="H24"/>
  <c r="P22"/>
  <c r="I26"/>
  <c r="I13"/>
  <c r="E23"/>
  <c r="V20"/>
  <c r="N21"/>
  <c r="N28"/>
  <c r="P25"/>
  <c r="U22"/>
  <c r="F29"/>
  <c r="G17"/>
  <c r="J26"/>
  <c r="W14"/>
  <c r="E29"/>
  <c r="Q21"/>
  <c r="V19"/>
  <c r="V17"/>
  <c r="J21"/>
  <c r="F21"/>
  <c r="W28"/>
  <c r="W25"/>
  <c r="M15"/>
  <c r="N15"/>
  <c r="V29"/>
  <c r="Q16"/>
  <c r="W19"/>
  <c r="S18"/>
  <c r="I21"/>
  <c r="E19"/>
  <c r="N13"/>
  <c r="G21"/>
  <c r="R20"/>
  <c r="K14"/>
  <c r="E22"/>
  <c r="J22"/>
  <c r="V27"/>
  <c r="L21"/>
  <c r="V23"/>
  <c r="U26"/>
  <c r="U23"/>
  <c r="I27"/>
  <c r="R22"/>
  <c r="P23"/>
  <c r="N29"/>
  <c r="X14"/>
  <c r="Z14" s="1"/>
  <c r="E24"/>
  <c r="H16"/>
  <c r="E25"/>
  <c r="E28"/>
  <c r="K15"/>
  <c r="G25"/>
  <c r="S23"/>
  <c r="Q15"/>
  <c r="M29"/>
  <c r="H29"/>
  <c r="E16"/>
  <c r="V24"/>
  <c r="G28"/>
  <c r="T14"/>
  <c r="K21"/>
  <c r="O16"/>
  <c r="T15"/>
  <c r="X29"/>
  <c r="Z29" s="1"/>
  <c r="L17"/>
  <c r="L18"/>
  <c r="S25"/>
  <c r="J16"/>
  <c r="I18"/>
  <c r="J14"/>
  <c r="H22"/>
  <c r="M22"/>
  <c r="I29"/>
  <c r="U15"/>
  <c r="H28"/>
  <c r="K20"/>
  <c r="J30"/>
  <c r="E30"/>
  <c r="N26"/>
  <c r="U14"/>
  <c r="J13"/>
  <c r="L23"/>
  <c r="J24"/>
  <c r="P15"/>
  <c r="O25"/>
  <c r="M17"/>
  <c r="Q18"/>
  <c r="I28"/>
  <c r="L30"/>
  <c r="N19"/>
  <c r="R14"/>
  <c r="W30"/>
  <c r="K19"/>
  <c r="S20"/>
  <c r="X22"/>
  <c r="Z22" s="1"/>
  <c r="H18"/>
  <c r="L14"/>
  <c r="G18"/>
  <c r="F18"/>
  <c r="W29"/>
  <c r="U16"/>
  <c r="T23"/>
  <c r="L20"/>
  <c r="J18"/>
  <c r="S17"/>
  <c r="O29"/>
  <c r="Q13"/>
  <c r="H19"/>
  <c r="F24"/>
  <c r="L15"/>
  <c r="E21"/>
  <c r="S29"/>
  <c r="X30"/>
  <c r="Z30" s="1"/>
  <c r="H30"/>
  <c r="F16"/>
  <c r="E17"/>
  <c r="G27"/>
  <c r="I15"/>
  <c r="K18"/>
  <c r="X28"/>
  <c r="Z28" s="1"/>
  <c r="F14"/>
  <c r="G14"/>
  <c r="O17"/>
  <c r="U18"/>
  <c r="M24"/>
  <c r="I22"/>
  <c r="X17"/>
  <c r="Z17" s="1"/>
  <c r="M25"/>
  <c r="O22"/>
  <c r="H17"/>
  <c r="R13"/>
  <c r="H27"/>
  <c r="R17"/>
  <c r="W21"/>
  <c r="Q19"/>
  <c r="V16"/>
  <c r="P17"/>
  <c r="P14"/>
  <c r="H21"/>
  <c r="V22"/>
  <c r="L28"/>
  <c r="S30"/>
  <c r="K30"/>
  <c r="J20"/>
  <c r="X27"/>
  <c r="Z27" s="1"/>
  <c r="X15"/>
  <c r="Z15" s="1"/>
  <c r="N17"/>
  <c r="M16"/>
  <c r="O20"/>
  <c r="F27"/>
  <c r="K24"/>
  <c r="E14"/>
  <c r="U21"/>
  <c r="Q24"/>
  <c r="M26"/>
  <c r="V13"/>
  <c r="X24"/>
  <c r="Z24" s="1"/>
  <c r="I30"/>
  <c r="W24"/>
  <c r="Q28"/>
  <c r="W26"/>
  <c r="X13"/>
  <c r="I17"/>
  <c r="Q30"/>
  <c r="Q23"/>
  <c r="N23"/>
  <c r="P16"/>
  <c r="K25"/>
  <c r="R30"/>
  <c r="G15"/>
  <c r="N25"/>
  <c r="T24"/>
  <c r="F17"/>
  <c r="S28"/>
  <c r="Q25"/>
  <c r="L29"/>
  <c r="O27"/>
  <c r="F13"/>
  <c r="R24"/>
  <c r="V14"/>
  <c r="P21"/>
  <c r="L25"/>
  <c r="Q22"/>
  <c r="V25"/>
  <c r="T18"/>
  <c r="X18"/>
  <c r="Z18" s="1"/>
  <c r="K17"/>
  <c r="X23"/>
  <c r="Z23" s="1"/>
  <c r="L22"/>
  <c r="O26"/>
  <c r="F28"/>
  <c r="P27"/>
  <c r="U25"/>
  <c r="G24"/>
  <c r="P19"/>
  <c r="F26"/>
  <c r="L16"/>
  <c r="O30"/>
  <c r="U28"/>
  <c r="K27"/>
  <c r="R29"/>
  <c r="N27"/>
  <c r="J27"/>
  <c r="J15"/>
  <c r="S22"/>
  <c r="V28"/>
  <c r="G20"/>
  <c r="J29"/>
  <c r="E15"/>
  <c r="V30"/>
  <c r="T17"/>
  <c r="F15"/>
  <c r="T29"/>
  <c r="R16"/>
  <c r="V26"/>
  <c r="F25"/>
  <c r="R21"/>
  <c r="E18"/>
  <c r="S16"/>
  <c r="O13"/>
  <c r="O24"/>
  <c r="O19"/>
  <c r="L26"/>
  <c r="K28"/>
  <c r="G19"/>
  <c r="F20"/>
  <c r="O15"/>
  <c r="S14"/>
  <c r="H20"/>
  <c r="F23"/>
  <c r="N22"/>
  <c r="F19"/>
  <c r="K23"/>
  <c r="U27"/>
  <c r="G13"/>
  <c r="W20"/>
  <c r="V15"/>
  <c r="O23"/>
  <c r="H13"/>
  <c r="R28"/>
  <c r="W15"/>
  <c r="J19"/>
  <c r="R23"/>
  <c r="X25"/>
  <c r="Z25" s="1"/>
  <c r="K22"/>
  <c r="W16"/>
  <c r="G29"/>
  <c r="M23"/>
  <c r="N18"/>
  <c r="N14"/>
  <c r="F30"/>
  <c r="T19"/>
  <c r="P24"/>
  <c r="S15"/>
  <c r="P30"/>
  <c r="T25"/>
  <c r="M14"/>
  <c r="K16"/>
  <c r="G16"/>
  <c r="W22"/>
  <c r="V21"/>
  <c r="K29"/>
  <c r="Q17"/>
  <c r="T30"/>
  <c r="P20"/>
  <c r="Q14"/>
  <c r="H23"/>
  <c r="S27"/>
  <c r="Q29"/>
  <c r="M18"/>
  <c r="R15"/>
  <c r="I24"/>
  <c r="L19"/>
  <c r="J25"/>
  <c r="L13"/>
  <c r="O14"/>
  <c r="T22"/>
  <c r="W17"/>
  <c r="N30"/>
  <c r="U29"/>
  <c r="I20"/>
  <c r="O21"/>
  <c r="R25"/>
  <c r="H15"/>
  <c r="S26"/>
  <c r="P29"/>
  <c r="W27"/>
  <c r="P28"/>
  <c r="J28"/>
  <c r="X20"/>
  <c r="Z20" s="1"/>
  <c r="P26"/>
  <c r="G26"/>
  <c r="M28"/>
  <c r="H25"/>
  <c r="U30"/>
  <c r="N20"/>
  <c r="U17"/>
  <c r="N16"/>
  <c r="O28"/>
  <c r="U24"/>
  <c r="M13"/>
  <c r="R18"/>
  <c r="I19"/>
  <c r="U19"/>
  <c r="E20"/>
  <c r="T20"/>
  <c r="E13"/>
  <c r="K13"/>
  <c r="G30"/>
  <c r="M30"/>
  <c r="W18"/>
  <c r="H14"/>
  <c r="P18"/>
  <c r="W23"/>
  <c r="L27"/>
  <c r="T26"/>
  <c r="Q20"/>
  <c r="S13"/>
  <c r="I16"/>
  <c r="H26"/>
  <c r="X19"/>
  <c r="Z19" s="1"/>
  <c r="U20"/>
  <c r="R27"/>
  <c r="I23"/>
  <c r="M19"/>
  <c r="G23"/>
  <c r="S21"/>
  <c r="U13"/>
  <c r="J17"/>
  <c r="X21"/>
  <c r="Z21" s="1"/>
  <c r="Q27"/>
  <c r="W13"/>
  <c r="S24"/>
  <c r="M27"/>
  <c r="G22"/>
  <c r="T21"/>
  <c r="M20"/>
  <c r="E27"/>
  <c r="N24"/>
  <c r="R26"/>
  <c r="X26"/>
  <c r="Z26" s="1"/>
  <c r="V18"/>
  <c r="I25"/>
  <c r="K32" l="1"/>
  <c r="W32"/>
  <c r="U32"/>
  <c r="X32"/>
  <c r="Z32" s="1"/>
  <c r="Z13"/>
  <c r="V32"/>
  <c r="I32"/>
  <c r="T32"/>
  <c r="S32"/>
  <c r="F32"/>
  <c r="O32"/>
  <c r="P32"/>
  <c r="M32"/>
  <c r="J32"/>
  <c r="E32"/>
  <c r="L32"/>
  <c r="H32"/>
  <c r="G32"/>
  <c r="R32"/>
  <c r="Q32"/>
  <c r="N32"/>
  <c r="F33" l="1"/>
  <c r="F38" s="1"/>
  <c r="F52" s="1"/>
  <c r="G33" l="1"/>
  <c r="G38" s="1"/>
  <c r="G52" s="1"/>
  <c r="F40"/>
  <c r="F68"/>
  <c r="F54"/>
  <c r="F59"/>
  <c r="G40" l="1"/>
  <c r="H33"/>
  <c r="H38" s="1"/>
  <c r="G68"/>
  <c r="G54"/>
  <c r="L3" i="20"/>
  <c r="F108" i="12"/>
  <c r="F82"/>
  <c r="F102"/>
  <c r="F96"/>
  <c r="F94"/>
  <c r="F90"/>
  <c r="F87"/>
  <c r="F97"/>
  <c r="F93"/>
  <c r="F104"/>
  <c r="F80"/>
  <c r="F117" s="1"/>
  <c r="F100"/>
  <c r="F70"/>
  <c r="F84"/>
  <c r="F98"/>
  <c r="F83"/>
  <c r="F89"/>
  <c r="F95"/>
  <c r="F92"/>
  <c r="F91"/>
  <c r="F103"/>
  <c r="F101"/>
  <c r="F105"/>
  <c r="F99"/>
  <c r="F86"/>
  <c r="F85"/>
  <c r="F122" s="1"/>
  <c r="F88"/>
  <c r="F125" s="1"/>
  <c r="F106"/>
  <c r="F81"/>
  <c r="F107"/>
  <c r="F61"/>
  <c r="G59"/>
  <c r="F134" l="1"/>
  <c r="I33"/>
  <c r="J33" s="1"/>
  <c r="F120"/>
  <c r="F133"/>
  <c r="F128"/>
  <c r="F123"/>
  <c r="F132"/>
  <c r="F142"/>
  <c r="F129"/>
  <c r="F135"/>
  <c r="F124"/>
  <c r="F139"/>
  <c r="G61"/>
  <c r="M3" i="20"/>
  <c r="G93" i="12"/>
  <c r="G89"/>
  <c r="G88"/>
  <c r="G70"/>
  <c r="G91"/>
  <c r="G86"/>
  <c r="G96"/>
  <c r="G101"/>
  <c r="G106"/>
  <c r="G95"/>
  <c r="G80"/>
  <c r="G117" s="1"/>
  <c r="G100"/>
  <c r="G97"/>
  <c r="G82"/>
  <c r="G84"/>
  <c r="G87"/>
  <c r="G102"/>
  <c r="G108"/>
  <c r="G98"/>
  <c r="G85"/>
  <c r="G103"/>
  <c r="G83"/>
  <c r="G120" s="1"/>
  <c r="G99"/>
  <c r="G107"/>
  <c r="G105"/>
  <c r="G104"/>
  <c r="G81"/>
  <c r="G118" s="1"/>
  <c r="G94"/>
  <c r="G92"/>
  <c r="G129" s="1"/>
  <c r="G90"/>
  <c r="G127" s="1"/>
  <c r="F143"/>
  <c r="F144"/>
  <c r="F138"/>
  <c r="F121"/>
  <c r="F141"/>
  <c r="F127"/>
  <c r="F119"/>
  <c r="H40"/>
  <c r="H52"/>
  <c r="I38"/>
  <c r="F136"/>
  <c r="F137"/>
  <c r="F118"/>
  <c r="F140"/>
  <c r="F126"/>
  <c r="F130"/>
  <c r="F131"/>
  <c r="F145"/>
  <c r="G136" l="1"/>
  <c r="G140"/>
  <c r="G139"/>
  <c r="G145"/>
  <c r="G119"/>
  <c r="G132"/>
  <c r="G123"/>
  <c r="G126"/>
  <c r="G125"/>
  <c r="G141"/>
  <c r="G135"/>
  <c r="F147"/>
  <c r="G131"/>
  <c r="G144"/>
  <c r="J38"/>
  <c r="K33"/>
  <c r="H68"/>
  <c r="H54"/>
  <c r="G121"/>
  <c r="G133"/>
  <c r="H59"/>
  <c r="G122"/>
  <c r="G124"/>
  <c r="G137"/>
  <c r="G138"/>
  <c r="I52"/>
  <c r="I40"/>
  <c r="G142"/>
  <c r="G134"/>
  <c r="G143"/>
  <c r="G128"/>
  <c r="G130"/>
  <c r="G147" l="1"/>
  <c r="J40"/>
  <c r="J52"/>
  <c r="K38"/>
  <c r="L33"/>
  <c r="H61"/>
  <c r="I59"/>
  <c r="I54"/>
  <c r="I68"/>
  <c r="N3" i="20"/>
  <c r="H97" i="12"/>
  <c r="H94"/>
  <c r="H91"/>
  <c r="H82"/>
  <c r="H81"/>
  <c r="H93"/>
  <c r="H104"/>
  <c r="H83"/>
  <c r="H85"/>
  <c r="H70"/>
  <c r="H100"/>
  <c r="H87"/>
  <c r="H84"/>
  <c r="H102"/>
  <c r="H101"/>
  <c r="H138" s="1"/>
  <c r="H106"/>
  <c r="H90"/>
  <c r="H86"/>
  <c r="H103"/>
  <c r="H140" s="1"/>
  <c r="H96"/>
  <c r="H98"/>
  <c r="H135" s="1"/>
  <c r="H88"/>
  <c r="H80"/>
  <c r="H117" s="1"/>
  <c r="H107"/>
  <c r="H144" s="1"/>
  <c r="H105"/>
  <c r="H92"/>
  <c r="H89"/>
  <c r="H126" s="1"/>
  <c r="H95"/>
  <c r="H132" s="1"/>
  <c r="H99"/>
  <c r="H108"/>
  <c r="H120" l="1"/>
  <c r="H137"/>
  <c r="H128"/>
  <c r="H136"/>
  <c r="H143"/>
  <c r="H124"/>
  <c r="H119"/>
  <c r="H123"/>
  <c r="J59"/>
  <c r="I61"/>
  <c r="J54"/>
  <c r="J68"/>
  <c r="K52"/>
  <c r="K40"/>
  <c r="H142"/>
  <c r="H127"/>
  <c r="H121"/>
  <c r="H122"/>
  <c r="H118"/>
  <c r="H134"/>
  <c r="I81"/>
  <c r="I89"/>
  <c r="I90"/>
  <c r="I85"/>
  <c r="I99"/>
  <c r="I94"/>
  <c r="I92"/>
  <c r="I70"/>
  <c r="O3" i="20"/>
  <c r="I103" i="12"/>
  <c r="I101"/>
  <c r="I88"/>
  <c r="I107"/>
  <c r="I84"/>
  <c r="I82"/>
  <c r="I108"/>
  <c r="I83"/>
  <c r="I98"/>
  <c r="I87"/>
  <c r="I97"/>
  <c r="I86"/>
  <c r="I100"/>
  <c r="I106"/>
  <c r="I95"/>
  <c r="I105"/>
  <c r="I96"/>
  <c r="I102"/>
  <c r="I139" s="1"/>
  <c r="I80"/>
  <c r="I117" s="1"/>
  <c r="I104"/>
  <c r="I91"/>
  <c r="I128" s="1"/>
  <c r="I93"/>
  <c r="I130" s="1"/>
  <c r="L38"/>
  <c r="M33"/>
  <c r="H141"/>
  <c r="H133"/>
  <c r="H145"/>
  <c r="H129"/>
  <c r="H125"/>
  <c r="H139"/>
  <c r="H130"/>
  <c r="H131"/>
  <c r="I140" l="1"/>
  <c r="I131"/>
  <c r="I141"/>
  <c r="I120"/>
  <c r="I144"/>
  <c r="I136"/>
  <c r="I123"/>
  <c r="I118"/>
  <c r="H147"/>
  <c r="I133"/>
  <c r="I135"/>
  <c r="I126"/>
  <c r="M38"/>
  <c r="N33"/>
  <c r="K54"/>
  <c r="K68"/>
  <c r="K59"/>
  <c r="J61"/>
  <c r="I142"/>
  <c r="I121"/>
  <c r="I143"/>
  <c r="I124"/>
  <c r="I119"/>
  <c r="I138"/>
  <c r="I129"/>
  <c r="I127"/>
  <c r="L52"/>
  <c r="L40"/>
  <c r="J83"/>
  <c r="J93"/>
  <c r="J108"/>
  <c r="J97"/>
  <c r="J94"/>
  <c r="J90"/>
  <c r="J84"/>
  <c r="J81"/>
  <c r="J106"/>
  <c r="J101"/>
  <c r="J98"/>
  <c r="J86"/>
  <c r="J87"/>
  <c r="J82"/>
  <c r="J88"/>
  <c r="J99"/>
  <c r="P3" i="20"/>
  <c r="J96" i="12"/>
  <c r="J91"/>
  <c r="J102"/>
  <c r="J80"/>
  <c r="J117" s="1"/>
  <c r="J85"/>
  <c r="J95"/>
  <c r="J70"/>
  <c r="J92"/>
  <c r="J100"/>
  <c r="J107"/>
  <c r="J104"/>
  <c r="J103"/>
  <c r="J89"/>
  <c r="J105"/>
  <c r="I137"/>
  <c r="I132"/>
  <c r="I134"/>
  <c r="I145"/>
  <c r="I125"/>
  <c r="I122"/>
  <c r="J142" l="1"/>
  <c r="J144"/>
  <c r="J132"/>
  <c r="J125"/>
  <c r="J135"/>
  <c r="J121"/>
  <c r="I147"/>
  <c r="J140"/>
  <c r="J124"/>
  <c r="J126"/>
  <c r="J137"/>
  <c r="J122"/>
  <c r="J133"/>
  <c r="J119"/>
  <c r="J130"/>
  <c r="L59"/>
  <c r="K61"/>
  <c r="M52"/>
  <c r="M40"/>
  <c r="J138"/>
  <c r="J127"/>
  <c r="J129"/>
  <c r="J143"/>
  <c r="J131"/>
  <c r="J120"/>
  <c r="N38"/>
  <c r="O33"/>
  <c r="L54"/>
  <c r="L68"/>
  <c r="K70"/>
  <c r="K99"/>
  <c r="K103"/>
  <c r="K92"/>
  <c r="K86"/>
  <c r="K95"/>
  <c r="K97"/>
  <c r="K98"/>
  <c r="K93"/>
  <c r="K102"/>
  <c r="K87"/>
  <c r="K100"/>
  <c r="K83"/>
  <c r="K101"/>
  <c r="K106"/>
  <c r="K105"/>
  <c r="K80"/>
  <c r="K117" s="1"/>
  <c r="K90"/>
  <c r="K94"/>
  <c r="K84"/>
  <c r="K91"/>
  <c r="K85"/>
  <c r="Q3" i="20"/>
  <c r="K104" i="12"/>
  <c r="K88"/>
  <c r="K107"/>
  <c r="K82"/>
  <c r="K108"/>
  <c r="K81"/>
  <c r="K118" s="1"/>
  <c r="K89"/>
  <c r="K96"/>
  <c r="J128"/>
  <c r="J145"/>
  <c r="J141"/>
  <c r="J139"/>
  <c r="J136"/>
  <c r="J123"/>
  <c r="J118"/>
  <c r="J134"/>
  <c r="K121" l="1"/>
  <c r="K126"/>
  <c r="K131"/>
  <c r="K124"/>
  <c r="K119"/>
  <c r="K143"/>
  <c r="K129"/>
  <c r="K133"/>
  <c r="K140"/>
  <c r="K145"/>
  <c r="K137"/>
  <c r="L61"/>
  <c r="M59"/>
  <c r="L97"/>
  <c r="L88"/>
  <c r="L104"/>
  <c r="L91"/>
  <c r="L84"/>
  <c r="L106"/>
  <c r="L82"/>
  <c r="L102"/>
  <c r="R3" i="20"/>
  <c r="L95" i="12"/>
  <c r="L103"/>
  <c r="L90"/>
  <c r="L99"/>
  <c r="L80"/>
  <c r="L117" s="1"/>
  <c r="L70"/>
  <c r="L81"/>
  <c r="L98"/>
  <c r="L135" s="1"/>
  <c r="L108"/>
  <c r="L101"/>
  <c r="L85"/>
  <c r="L86"/>
  <c r="L94"/>
  <c r="L105"/>
  <c r="L142" s="1"/>
  <c r="L92"/>
  <c r="L129" s="1"/>
  <c r="L107"/>
  <c r="L83"/>
  <c r="L89"/>
  <c r="L87"/>
  <c r="L100"/>
  <c r="L137" s="1"/>
  <c r="L93"/>
  <c r="L96"/>
  <c r="N52"/>
  <c r="N40"/>
  <c r="M54"/>
  <c r="M68"/>
  <c r="K141"/>
  <c r="K142"/>
  <c r="K135"/>
  <c r="K125"/>
  <c r="K128"/>
  <c r="K120"/>
  <c r="K130"/>
  <c r="K123"/>
  <c r="J147"/>
  <c r="O38"/>
  <c r="P33"/>
  <c r="K134"/>
  <c r="K144"/>
  <c r="K122"/>
  <c r="K127"/>
  <c r="K138"/>
  <c r="K139"/>
  <c r="K132"/>
  <c r="K136"/>
  <c r="L144" l="1"/>
  <c r="L133"/>
  <c r="L126"/>
  <c r="L138"/>
  <c r="L124"/>
  <c r="L122"/>
  <c r="L118"/>
  <c r="L140"/>
  <c r="L119"/>
  <c r="K147"/>
  <c r="O52"/>
  <c r="O40"/>
  <c r="M61"/>
  <c r="N59"/>
  <c r="N54"/>
  <c r="N68"/>
  <c r="L141"/>
  <c r="L139"/>
  <c r="L128"/>
  <c r="L123"/>
  <c r="L136"/>
  <c r="L121"/>
  <c r="L134"/>
  <c r="P38"/>
  <c r="Q33"/>
  <c r="M88"/>
  <c r="M84"/>
  <c r="M91"/>
  <c r="M82"/>
  <c r="M96"/>
  <c r="M100"/>
  <c r="M90"/>
  <c r="M85"/>
  <c r="M93"/>
  <c r="M94"/>
  <c r="M105"/>
  <c r="M81"/>
  <c r="M99"/>
  <c r="M86"/>
  <c r="M107"/>
  <c r="M95"/>
  <c r="S3" i="20"/>
  <c r="M98" i="12"/>
  <c r="M80"/>
  <c r="M117" s="1"/>
  <c r="M108"/>
  <c r="M87"/>
  <c r="M92"/>
  <c r="M129" s="1"/>
  <c r="M97"/>
  <c r="M70"/>
  <c r="M102"/>
  <c r="M103"/>
  <c r="M89"/>
  <c r="M83"/>
  <c r="M120" s="1"/>
  <c r="M106"/>
  <c r="M104"/>
  <c r="M101"/>
  <c r="L127"/>
  <c r="L130"/>
  <c r="L120"/>
  <c r="L131"/>
  <c r="L145"/>
  <c r="L132"/>
  <c r="L143"/>
  <c r="L125"/>
  <c r="M123" l="1"/>
  <c r="M141"/>
  <c r="M135"/>
  <c r="M121"/>
  <c r="L147"/>
  <c r="M140"/>
  <c r="M131"/>
  <c r="M137"/>
  <c r="M126"/>
  <c r="M134"/>
  <c r="M144"/>
  <c r="N82"/>
  <c r="N102"/>
  <c r="N91"/>
  <c r="N81"/>
  <c r="N105"/>
  <c r="N104"/>
  <c r="N95"/>
  <c r="N83"/>
  <c r="N107"/>
  <c r="N87"/>
  <c r="N103"/>
  <c r="N93"/>
  <c r="N99"/>
  <c r="N108"/>
  <c r="N96"/>
  <c r="N133" s="1"/>
  <c r="N100"/>
  <c r="T3" i="20"/>
  <c r="N85" i="12"/>
  <c r="N97"/>
  <c r="N134" s="1"/>
  <c r="N94"/>
  <c r="N131" s="1"/>
  <c r="N89"/>
  <c r="N70"/>
  <c r="N84"/>
  <c r="N90"/>
  <c r="N106"/>
  <c r="N143" s="1"/>
  <c r="N88"/>
  <c r="N125" s="1"/>
  <c r="N80"/>
  <c r="N117" s="1"/>
  <c r="N98"/>
  <c r="N101"/>
  <c r="N92"/>
  <c r="N86"/>
  <c r="O54"/>
  <c r="O68"/>
  <c r="M143"/>
  <c r="M139"/>
  <c r="M124"/>
  <c r="M136"/>
  <c r="M130"/>
  <c r="M133"/>
  <c r="M125"/>
  <c r="P52"/>
  <c r="P40"/>
  <c r="Q38"/>
  <c r="R33"/>
  <c r="N61"/>
  <c r="O59"/>
  <c r="M138"/>
  <c r="M142"/>
  <c r="M127"/>
  <c r="M128"/>
  <c r="M145"/>
  <c r="M132"/>
  <c r="M118"/>
  <c r="M122"/>
  <c r="M119"/>
  <c r="N121" l="1"/>
  <c r="N129"/>
  <c r="N122"/>
  <c r="N124"/>
  <c r="N141"/>
  <c r="N135"/>
  <c r="M147"/>
  <c r="N138"/>
  <c r="N126"/>
  <c r="N136"/>
  <c r="N142"/>
  <c r="N119"/>
  <c r="P54"/>
  <c r="P68"/>
  <c r="P59"/>
  <c r="O61"/>
  <c r="Q52"/>
  <c r="Q40"/>
  <c r="N144"/>
  <c r="N145"/>
  <c r="N123"/>
  <c r="N140"/>
  <c r="N132"/>
  <c r="N128"/>
  <c r="O97"/>
  <c r="O91"/>
  <c r="O94"/>
  <c r="O84"/>
  <c r="O98"/>
  <c r="O135" s="1"/>
  <c r="O102"/>
  <c r="O108"/>
  <c r="O70"/>
  <c r="O107"/>
  <c r="O105"/>
  <c r="O81"/>
  <c r="O103"/>
  <c r="O88"/>
  <c r="O106"/>
  <c r="O99"/>
  <c r="O82"/>
  <c r="O85"/>
  <c r="O122" s="1"/>
  <c r="O104"/>
  <c r="O141" s="1"/>
  <c r="O80"/>
  <c r="O117" s="1"/>
  <c r="O90"/>
  <c r="U3" i="20"/>
  <c r="O92" i="12"/>
  <c r="O129" s="1"/>
  <c r="O87"/>
  <c r="O86"/>
  <c r="O96"/>
  <c r="O95"/>
  <c r="O132" s="1"/>
  <c r="O100"/>
  <c r="O137" s="1"/>
  <c r="O101"/>
  <c r="O93"/>
  <c r="O83"/>
  <c r="O120" s="1"/>
  <c r="O89"/>
  <c r="R38"/>
  <c r="S33"/>
  <c r="N139"/>
  <c r="N127"/>
  <c r="N137"/>
  <c r="N130"/>
  <c r="N120"/>
  <c r="N118"/>
  <c r="O130" l="1"/>
  <c r="O119"/>
  <c r="O133"/>
  <c r="O125"/>
  <c r="O144"/>
  <c r="O139"/>
  <c r="O128"/>
  <c r="O143"/>
  <c r="O124"/>
  <c r="V3" i="20"/>
  <c r="P85" i="12"/>
  <c r="P81"/>
  <c r="P87"/>
  <c r="P98"/>
  <c r="P91"/>
  <c r="P92"/>
  <c r="P100"/>
  <c r="P86"/>
  <c r="P84"/>
  <c r="P103"/>
  <c r="P102"/>
  <c r="P83"/>
  <c r="P93"/>
  <c r="P104"/>
  <c r="P141" s="1"/>
  <c r="P96"/>
  <c r="P107"/>
  <c r="P70"/>
  <c r="P94"/>
  <c r="P106"/>
  <c r="P105"/>
  <c r="P88"/>
  <c r="P101"/>
  <c r="P99"/>
  <c r="P80"/>
  <c r="P117" s="1"/>
  <c r="P108"/>
  <c r="P89"/>
  <c r="P82"/>
  <c r="P97"/>
  <c r="P95"/>
  <c r="P90"/>
  <c r="P127" s="1"/>
  <c r="P61"/>
  <c r="Q59"/>
  <c r="N147"/>
  <c r="O136"/>
  <c r="O118"/>
  <c r="O145"/>
  <c r="O131"/>
  <c r="S38"/>
  <c r="T33"/>
  <c r="Q68"/>
  <c r="Q54"/>
  <c r="R52"/>
  <c r="R40"/>
  <c r="O134"/>
  <c r="O142"/>
  <c r="O126"/>
  <c r="O138"/>
  <c r="O123"/>
  <c r="O127"/>
  <c r="O140"/>
  <c r="O121"/>
  <c r="P123" l="1"/>
  <c r="P138"/>
  <c r="O147"/>
  <c r="P119"/>
  <c r="P134"/>
  <c r="P142"/>
  <c r="P144"/>
  <c r="P120"/>
  <c r="P132"/>
  <c r="P125"/>
  <c r="P130"/>
  <c r="P128"/>
  <c r="T38"/>
  <c r="U33"/>
  <c r="Q61"/>
  <c r="R59"/>
  <c r="Q99"/>
  <c r="Q96"/>
  <c r="Q108"/>
  <c r="Q70"/>
  <c r="Q98"/>
  <c r="Q94"/>
  <c r="Q85"/>
  <c r="Q84"/>
  <c r="Q105"/>
  <c r="Q95"/>
  <c r="Q132" s="1"/>
  <c r="Q102"/>
  <c r="Q89"/>
  <c r="Q88"/>
  <c r="Q81"/>
  <c r="Q80"/>
  <c r="Q117" s="1"/>
  <c r="Q107"/>
  <c r="W3" i="20"/>
  <c r="Q86" i="12"/>
  <c r="Q104"/>
  <c r="Q101"/>
  <c r="Q103"/>
  <c r="Q90"/>
  <c r="Q100"/>
  <c r="Q87"/>
  <c r="Q83"/>
  <c r="Q82"/>
  <c r="Q119" s="1"/>
  <c r="Q106"/>
  <c r="Q92"/>
  <c r="Q91"/>
  <c r="Q93"/>
  <c r="Q97"/>
  <c r="P135"/>
  <c r="P121"/>
  <c r="P122"/>
  <c r="P126"/>
  <c r="P131"/>
  <c r="P140"/>
  <c r="P129"/>
  <c r="P118"/>
  <c r="R54"/>
  <c r="R68"/>
  <c r="S52"/>
  <c r="S40"/>
  <c r="P145"/>
  <c r="P136"/>
  <c r="P143"/>
  <c r="P133"/>
  <c r="P139"/>
  <c r="P137"/>
  <c r="P124"/>
  <c r="Q137" l="1"/>
  <c r="Q143"/>
  <c r="Q141"/>
  <c r="Q139"/>
  <c r="Q122"/>
  <c r="Q145"/>
  <c r="Q130"/>
  <c r="Q127"/>
  <c r="Q123"/>
  <c r="Q118"/>
  <c r="S54"/>
  <c r="S68"/>
  <c r="X3" i="20"/>
  <c r="R91" i="12"/>
  <c r="R97"/>
  <c r="R108"/>
  <c r="R88"/>
  <c r="R100"/>
  <c r="R81"/>
  <c r="R92"/>
  <c r="R82"/>
  <c r="R90"/>
  <c r="R87"/>
  <c r="R70"/>
  <c r="R104"/>
  <c r="R83"/>
  <c r="R105"/>
  <c r="R107"/>
  <c r="R96"/>
  <c r="R102"/>
  <c r="R103"/>
  <c r="R93"/>
  <c r="R130" s="1"/>
  <c r="R99"/>
  <c r="R95"/>
  <c r="R80"/>
  <c r="R117" s="1"/>
  <c r="R89"/>
  <c r="R94"/>
  <c r="R101"/>
  <c r="R138" s="1"/>
  <c r="R84"/>
  <c r="R98"/>
  <c r="R86"/>
  <c r="R85"/>
  <c r="R106"/>
  <c r="R143" s="1"/>
  <c r="T52"/>
  <c r="T40"/>
  <c r="Q133"/>
  <c r="P147"/>
  <c r="Q134"/>
  <c r="Q128"/>
  <c r="Q120"/>
  <c r="Q140"/>
  <c r="Q125"/>
  <c r="Q142"/>
  <c r="Q135"/>
  <c r="Q136"/>
  <c r="U38"/>
  <c r="V33"/>
  <c r="R61"/>
  <c r="S59"/>
  <c r="Q131"/>
  <c r="Q129"/>
  <c r="Q124"/>
  <c r="Q138"/>
  <c r="Q144"/>
  <c r="Q126"/>
  <c r="Q121"/>
  <c r="R126" l="1"/>
  <c r="R129"/>
  <c r="R121"/>
  <c r="R140"/>
  <c r="R123"/>
  <c r="Q147"/>
  <c r="R135"/>
  <c r="R144"/>
  <c r="R133"/>
  <c r="R141"/>
  <c r="R119"/>
  <c r="R125"/>
  <c r="R122"/>
  <c r="U52"/>
  <c r="U40"/>
  <c r="T68"/>
  <c r="T54"/>
  <c r="S102"/>
  <c r="S88"/>
  <c r="S87"/>
  <c r="S93"/>
  <c r="S70"/>
  <c r="S91"/>
  <c r="S105"/>
  <c r="S90"/>
  <c r="Y3" i="20"/>
  <c r="S92" i="12"/>
  <c r="S95"/>
  <c r="S86"/>
  <c r="S98"/>
  <c r="S99"/>
  <c r="S83"/>
  <c r="S84"/>
  <c r="S96"/>
  <c r="S94"/>
  <c r="S89"/>
  <c r="S100"/>
  <c r="S82"/>
  <c r="S80"/>
  <c r="S117" s="1"/>
  <c r="S97"/>
  <c r="S106"/>
  <c r="S108"/>
  <c r="S103"/>
  <c r="S104"/>
  <c r="S85"/>
  <c r="S122" s="1"/>
  <c r="S107"/>
  <c r="S81"/>
  <c r="S118" s="1"/>
  <c r="S101"/>
  <c r="V38"/>
  <c r="W33"/>
  <c r="S61"/>
  <c r="T59"/>
  <c r="R145"/>
  <c r="R131"/>
  <c r="R142"/>
  <c r="R124"/>
  <c r="R118"/>
  <c r="R134"/>
  <c r="R136"/>
  <c r="R132"/>
  <c r="R139"/>
  <c r="R120"/>
  <c r="R127"/>
  <c r="R137"/>
  <c r="R128"/>
  <c r="S129" l="1"/>
  <c r="R147"/>
  <c r="S144"/>
  <c r="S140"/>
  <c r="S131"/>
  <c r="S136"/>
  <c r="S128"/>
  <c r="S125"/>
  <c r="S138"/>
  <c r="S134"/>
  <c r="S120"/>
  <c r="S124"/>
  <c r="U59"/>
  <c r="T61"/>
  <c r="W38"/>
  <c r="X33"/>
  <c r="U68"/>
  <c r="U54"/>
  <c r="S141"/>
  <c r="S126"/>
  <c r="S142"/>
  <c r="S145"/>
  <c r="S119"/>
  <c r="S133"/>
  <c r="S135"/>
  <c r="S139"/>
  <c r="Z3" i="20"/>
  <c r="T96" i="12"/>
  <c r="T87"/>
  <c r="T93"/>
  <c r="T101"/>
  <c r="T92"/>
  <c r="T88"/>
  <c r="T125" s="1"/>
  <c r="T83"/>
  <c r="T105"/>
  <c r="T81"/>
  <c r="T102"/>
  <c r="T106"/>
  <c r="T91"/>
  <c r="T95"/>
  <c r="T90"/>
  <c r="T97"/>
  <c r="T70"/>
  <c r="T94"/>
  <c r="T107"/>
  <c r="T99"/>
  <c r="T86"/>
  <c r="T108"/>
  <c r="T104"/>
  <c r="T89"/>
  <c r="T103"/>
  <c r="T85"/>
  <c r="T82"/>
  <c r="T100"/>
  <c r="T137" s="1"/>
  <c r="T84"/>
  <c r="T80"/>
  <c r="T117" s="1"/>
  <c r="T98"/>
  <c r="V40"/>
  <c r="V52"/>
  <c r="S132"/>
  <c r="S143"/>
  <c r="S137"/>
  <c r="S121"/>
  <c r="S123"/>
  <c r="S127"/>
  <c r="S130"/>
  <c r="T134" l="1"/>
  <c r="T143"/>
  <c r="T130"/>
  <c r="T119"/>
  <c r="T122"/>
  <c r="S147"/>
  <c r="T135"/>
  <c r="T141"/>
  <c r="T144"/>
  <c r="T127"/>
  <c r="T139"/>
  <c r="T124"/>
  <c r="V54"/>
  <c r="V68"/>
  <c r="W52"/>
  <c r="W40"/>
  <c r="T126"/>
  <c r="T120"/>
  <c r="T121"/>
  <c r="T140"/>
  <c r="T123"/>
  <c r="T128"/>
  <c r="T142"/>
  <c r="T138"/>
  <c r="U96"/>
  <c r="U92"/>
  <c r="U95"/>
  <c r="U80"/>
  <c r="U117" s="1"/>
  <c r="U82"/>
  <c r="U88"/>
  <c r="U81"/>
  <c r="U118" s="1"/>
  <c r="U84"/>
  <c r="AA3" i="20"/>
  <c r="U91" i="12"/>
  <c r="U89"/>
  <c r="U70"/>
  <c r="U97"/>
  <c r="U134" s="1"/>
  <c r="U90"/>
  <c r="U83"/>
  <c r="U103"/>
  <c r="U107"/>
  <c r="U106"/>
  <c r="U85"/>
  <c r="U122" s="1"/>
  <c r="U102"/>
  <c r="U100"/>
  <c r="U104"/>
  <c r="U105"/>
  <c r="U99"/>
  <c r="U86"/>
  <c r="U94"/>
  <c r="U98"/>
  <c r="U108"/>
  <c r="U87"/>
  <c r="U93"/>
  <c r="U130" s="1"/>
  <c r="U101"/>
  <c r="V59"/>
  <c r="U61"/>
  <c r="Z33"/>
  <c r="Y38" s="1"/>
  <c r="X38"/>
  <c r="T136"/>
  <c r="T145"/>
  <c r="T131"/>
  <c r="T132"/>
  <c r="T118"/>
  <c r="T129"/>
  <c r="T133"/>
  <c r="U137" l="1"/>
  <c r="U124"/>
  <c r="U123"/>
  <c r="U119"/>
  <c r="U133"/>
  <c r="U144"/>
  <c r="T147"/>
  <c r="U131"/>
  <c r="U141"/>
  <c r="U143"/>
  <c r="U127"/>
  <c r="Y40"/>
  <c r="Y68"/>
  <c r="W54"/>
  <c r="W68"/>
  <c r="U128"/>
  <c r="U125"/>
  <c r="U138"/>
  <c r="U135"/>
  <c r="U142"/>
  <c r="U120"/>
  <c r="U126"/>
  <c r="U132"/>
  <c r="V90"/>
  <c r="V84"/>
  <c r="V100"/>
  <c r="V105"/>
  <c r="V94"/>
  <c r="V108"/>
  <c r="V89"/>
  <c r="V97"/>
  <c r="V107"/>
  <c r="V70"/>
  <c r="V80"/>
  <c r="V117" s="1"/>
  <c r="V92"/>
  <c r="V102"/>
  <c r="V87"/>
  <c r="V85"/>
  <c r="V81"/>
  <c r="V103"/>
  <c r="V96"/>
  <c r="AB3" i="20"/>
  <c r="V106" i="12"/>
  <c r="V143" s="1"/>
  <c r="V101"/>
  <c r="V98"/>
  <c r="V82"/>
  <c r="V93"/>
  <c r="V130" s="1"/>
  <c r="V86"/>
  <c r="V99"/>
  <c r="V136" s="1"/>
  <c r="V88"/>
  <c r="V83"/>
  <c r="V104"/>
  <c r="V141" s="1"/>
  <c r="V91"/>
  <c r="V95"/>
  <c r="X52"/>
  <c r="X40"/>
  <c r="Z38"/>
  <c r="V61"/>
  <c r="W59"/>
  <c r="U129"/>
  <c r="U145"/>
  <c r="U136"/>
  <c r="U139"/>
  <c r="U140"/>
  <c r="U121"/>
  <c r="V120" l="1"/>
  <c r="V118"/>
  <c r="V123"/>
  <c r="V138"/>
  <c r="V144"/>
  <c r="V131"/>
  <c r="V127"/>
  <c r="V140"/>
  <c r="V135"/>
  <c r="V133"/>
  <c r="V121"/>
  <c r="U147"/>
  <c r="Y90"/>
  <c r="Y85"/>
  <c r="Y99"/>
  <c r="Y100"/>
  <c r="Y80"/>
  <c r="Y117" s="1"/>
  <c r="Y93"/>
  <c r="Y89"/>
  <c r="Y95"/>
  <c r="Y103"/>
  <c r="Y105"/>
  <c r="Y83"/>
  <c r="Y82"/>
  <c r="Y106"/>
  <c r="Y102"/>
  <c r="AE3" i="20"/>
  <c r="Y97" i="12"/>
  <c r="Y91"/>
  <c r="Y128" s="1"/>
  <c r="Y94"/>
  <c r="Y131" s="1"/>
  <c r="Y86"/>
  <c r="Y107"/>
  <c r="Y92"/>
  <c r="Y129" s="1"/>
  <c r="Y101"/>
  <c r="Y81"/>
  <c r="Y98"/>
  <c r="Y135" s="1"/>
  <c r="Y88"/>
  <c r="Y108"/>
  <c r="Y84"/>
  <c r="Y121" s="1"/>
  <c r="Y104"/>
  <c r="Y87"/>
  <c r="Y96"/>
  <c r="V139"/>
  <c r="V128"/>
  <c r="V145"/>
  <c r="V132"/>
  <c r="V125"/>
  <c r="V119"/>
  <c r="V122"/>
  <c r="V126"/>
  <c r="V137"/>
  <c r="X59"/>
  <c r="X61" s="1"/>
  <c r="W61"/>
  <c r="X54"/>
  <c r="X68"/>
  <c r="W99"/>
  <c r="W91"/>
  <c r="W87"/>
  <c r="W82"/>
  <c r="W107"/>
  <c r="W90"/>
  <c r="W89"/>
  <c r="W102"/>
  <c r="W103"/>
  <c r="W92"/>
  <c r="W129" s="1"/>
  <c r="W94"/>
  <c r="W105"/>
  <c r="W95"/>
  <c r="W100"/>
  <c r="AC3" i="20"/>
  <c r="W101" i="12"/>
  <c r="W96"/>
  <c r="W97"/>
  <c r="W83"/>
  <c r="W106"/>
  <c r="W143" s="1"/>
  <c r="W81"/>
  <c r="W80"/>
  <c r="W117" s="1"/>
  <c r="W93"/>
  <c r="W86"/>
  <c r="W70"/>
  <c r="W88"/>
  <c r="W98"/>
  <c r="W85"/>
  <c r="W108"/>
  <c r="W145" s="1"/>
  <c r="W84"/>
  <c r="W104"/>
  <c r="Z40"/>
  <c r="V124"/>
  <c r="V129"/>
  <c r="V134"/>
  <c r="V142"/>
  <c r="W133" l="1"/>
  <c r="W121"/>
  <c r="W125"/>
  <c r="Y124"/>
  <c r="W127"/>
  <c r="Y140"/>
  <c r="Y127"/>
  <c r="W140"/>
  <c r="Y137"/>
  <c r="W132"/>
  <c r="W136"/>
  <c r="Y122"/>
  <c r="W118"/>
  <c r="W144"/>
  <c r="V147"/>
  <c r="Y145"/>
  <c r="Y142"/>
  <c r="Y133"/>
  <c r="Y138"/>
  <c r="E148"/>
  <c r="F148" s="1"/>
  <c r="G148" s="1"/>
  <c r="H148" s="1"/>
  <c r="I148" s="1"/>
  <c r="J148" s="1"/>
  <c r="K148" s="1"/>
  <c r="L148" s="1"/>
  <c r="M148" s="1"/>
  <c r="N148" s="1"/>
  <c r="O148" s="1"/>
  <c r="P148" s="1"/>
  <c r="Q148" s="1"/>
  <c r="R148" s="1"/>
  <c r="S148" s="1"/>
  <c r="T148" s="1"/>
  <c r="U148" s="1"/>
  <c r="Y143"/>
  <c r="W134"/>
  <c r="W128"/>
  <c r="Y130"/>
  <c r="W141"/>
  <c r="W135"/>
  <c r="W130"/>
  <c r="W120"/>
  <c r="W131"/>
  <c r="W126"/>
  <c r="W124"/>
  <c r="Y118"/>
  <c r="Y123"/>
  <c r="Y120"/>
  <c r="Y126"/>
  <c r="Y136"/>
  <c r="X99"/>
  <c r="X98"/>
  <c r="X94"/>
  <c r="X84"/>
  <c r="X80"/>
  <c r="X117" s="1"/>
  <c r="X102"/>
  <c r="X85"/>
  <c r="X103"/>
  <c r="X106"/>
  <c r="X87"/>
  <c r="X97"/>
  <c r="X95"/>
  <c r="X104"/>
  <c r="X96"/>
  <c r="X70"/>
  <c r="X86"/>
  <c r="X82"/>
  <c r="X105"/>
  <c r="X108"/>
  <c r="X101"/>
  <c r="X89"/>
  <c r="AD3" i="20"/>
  <c r="X93" i="12"/>
  <c r="X81"/>
  <c r="X107"/>
  <c r="X144" s="1"/>
  <c r="X83"/>
  <c r="X88"/>
  <c r="X91"/>
  <c r="X92"/>
  <c r="X100"/>
  <c r="X90"/>
  <c r="C10"/>
  <c r="Y125"/>
  <c r="W137"/>
  <c r="Y139"/>
  <c r="W122"/>
  <c r="W123"/>
  <c r="W138"/>
  <c r="W142"/>
  <c r="W139"/>
  <c r="W119"/>
  <c r="Y141"/>
  <c r="Y144"/>
  <c r="Y134"/>
  <c r="Y119"/>
  <c r="Y132"/>
  <c r="X118" l="1"/>
  <c r="X140"/>
  <c r="X125"/>
  <c r="X138"/>
  <c r="X121"/>
  <c r="X143"/>
  <c r="X136"/>
  <c r="X128"/>
  <c r="X123"/>
  <c r="X132"/>
  <c r="Y148"/>
  <c r="V148"/>
  <c r="W147"/>
  <c r="X126"/>
  <c r="X119"/>
  <c r="X137"/>
  <c r="X120"/>
  <c r="X142"/>
  <c r="X133"/>
  <c r="X124"/>
  <c r="X139"/>
  <c r="X135"/>
  <c r="X129"/>
  <c r="X141"/>
  <c r="X127"/>
  <c r="X130"/>
  <c r="X145"/>
  <c r="X134"/>
  <c r="X122"/>
  <c r="X131"/>
  <c r="W148" l="1"/>
  <c r="X147"/>
  <c r="X148" l="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  For shaping.
RPM also uses this divided by  savings per unit to calculate units, and then uses kW per unit * units to calculate kW.  
Use Supply Curve Bundled starting in column 2  "column()-9"</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  
Use column()-17 for the column reference</t>
        </r>
      </text>
    </comment>
  </commentList>
</comments>
</file>

<file path=xl/comments2.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0"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0"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0"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0"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0"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0"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5.xml><?xml version="1.0" encoding="utf-8"?>
<comments xmlns="http://schemas.openxmlformats.org/spreadsheetml/2006/main">
  <authors>
    <author>Christian</author>
  </authors>
  <commentList>
    <comment ref="AJ8" authorId="0">
      <text>
        <r>
          <rPr>
            <b/>
            <sz val="9"/>
            <color indexed="81"/>
            <rFont val="Tahoma"/>
            <family val="2"/>
          </rPr>
          <t>Christian:</t>
        </r>
        <r>
          <rPr>
            <sz val="9"/>
            <color indexed="81"/>
            <rFont val="Tahoma"/>
            <family val="2"/>
          </rPr>
          <t xml:space="preserve">
Incremental equipment costs computed as follows:
</t>
        </r>
        <r>
          <rPr>
            <sz val="9"/>
            <color indexed="81"/>
            <rFont val="Tahoma"/>
            <family val="2"/>
          </rPr>
          <t xml:space="preserve">
For New and NR: EE Fixture Cost - Base Fixture Cost
For Retro: Full fixture cost</t>
        </r>
      </text>
    </comment>
    <comment ref="AS8" authorId="0">
      <text>
        <r>
          <rPr>
            <b/>
            <sz val="9"/>
            <color indexed="81"/>
            <rFont val="Tahoma"/>
            <family val="2"/>
          </rPr>
          <t>Christian:</t>
        </r>
        <r>
          <rPr>
            <sz val="9"/>
            <color indexed="81"/>
            <rFont val="Tahoma"/>
            <family val="2"/>
          </rPr>
          <t xml:space="preserve">
Incremental labor costs computed as follows:
</t>
        </r>
        <r>
          <rPr>
            <sz val="9"/>
            <color indexed="81"/>
            <rFont val="Tahoma"/>
            <family val="2"/>
          </rPr>
          <t xml:space="preserve">
For NR: EE Fixture Change Labor - Base Lamp Labor
For Retro: Full EE Fixture Change Labor</t>
        </r>
      </text>
    </comment>
  </commentList>
</comments>
</file>

<file path=xl/comments6.xml><?xml version="1.0" encoding="utf-8"?>
<comments xmlns="http://schemas.openxmlformats.org/spreadsheetml/2006/main">
  <authors>
    <author>Christian</author>
  </authors>
  <commentList>
    <comment ref="I42" authorId="0">
      <text>
        <r>
          <rPr>
            <b/>
            <sz val="9"/>
            <color indexed="81"/>
            <rFont val="Tahoma"/>
            <family val="2"/>
          </rPr>
          <t>Christian:</t>
        </r>
        <r>
          <rPr>
            <sz val="9"/>
            <color indexed="81"/>
            <rFont val="Tahoma"/>
            <family val="2"/>
          </rPr>
          <t xml:space="preserve">
Increased this from 65% to reflect higher fixture efficiencies for parking garage fixtures.
Source: http://apps1.eere.energy.gov/buildings/publications/pdfs/alliances/outdoor_area_lighting.pdf</t>
        </r>
      </text>
    </comment>
  </commentList>
</comments>
</file>

<file path=xl/comments7.xml><?xml version="1.0" encoding="utf-8"?>
<comments xmlns="http://schemas.openxmlformats.org/spreadsheetml/2006/main">
  <authors>
    <author>Christian</author>
  </authors>
  <commentList>
    <comment ref="O5" authorId="0">
      <text>
        <r>
          <rPr>
            <b/>
            <sz val="9"/>
            <color indexed="81"/>
            <rFont val="Tahoma"/>
            <family val="2"/>
          </rPr>
          <t>Christian:</t>
        </r>
        <r>
          <rPr>
            <sz val="9"/>
            <color indexed="81"/>
            <rFont val="Tahoma"/>
            <family val="2"/>
          </rPr>
          <t xml:space="preserve">
This was an early project ~2008.</t>
        </r>
      </text>
    </comment>
  </commentList>
</comments>
</file>

<file path=xl/comments8.xml><?xml version="1.0" encoding="utf-8"?>
<comments xmlns="http://schemas.openxmlformats.org/spreadsheetml/2006/main">
  <authors>
    <author>Christian</author>
  </authors>
  <commentList>
    <comment ref="D2" authorId="0">
      <text>
        <r>
          <rPr>
            <b/>
            <sz val="9"/>
            <color indexed="81"/>
            <rFont val="Tahoma"/>
            <family val="2"/>
          </rPr>
          <t>Christian:</t>
        </r>
        <r>
          <rPr>
            <sz val="9"/>
            <color indexed="81"/>
            <rFont val="Tahoma"/>
            <family val="2"/>
          </rPr>
          <t xml:space="preserve">
mean delivered lumens</t>
        </r>
      </text>
    </comment>
  </commentList>
</comments>
</file>

<file path=xl/sharedStrings.xml><?xml version="1.0" encoding="utf-8"?>
<sst xmlns="http://schemas.openxmlformats.org/spreadsheetml/2006/main" count="2540" uniqueCount="713">
  <si>
    <t>"Bi-Level LED Parking Garage Luminaires." California Energy Commission's Public Interest Energy Research Program (PIER). 2011.</t>
  </si>
  <si>
    <t>Occ Rate</t>
  </si>
  <si>
    <t>Fixture W</t>
  </si>
  <si>
    <t>Pre</t>
  </si>
  <si>
    <t>Post, Low</t>
  </si>
  <si>
    <t>Post, High</t>
  </si>
  <si>
    <t>Annual kWh</t>
  </si>
  <si>
    <t>Savings, kWh</t>
  </si>
  <si>
    <t>Savings, %</t>
  </si>
  <si>
    <t>"Smart Bi-Level Parking Lighting Retrofit at University of California, Davis: Projected Energy Savings of More than 50%</t>
  </si>
  <si>
    <t>Fixture W*</t>
  </si>
  <si>
    <t>*System watts. Base lamp watt is 175. Assume metal halide.</t>
  </si>
  <si>
    <t>First Cost</t>
  </si>
  <si>
    <t>Number of Fixtures</t>
  </si>
  <si>
    <t>Installed Cost per Fixt</t>
  </si>
  <si>
    <t>Delivered Lumens</t>
  </si>
  <si>
    <t>Source</t>
  </si>
  <si>
    <t>2014$ to 2012$ Adjustment, based on GDP Deflator:</t>
  </si>
  <si>
    <t>Cree 304 Series Parking Lighting</t>
  </si>
  <si>
    <t>(Synergy Lighting)</t>
  </si>
  <si>
    <t>Equip Cost -</t>
  </si>
  <si>
    <t>Labor Cost</t>
  </si>
  <si>
    <t>Estimate from ETO file "LED cost data May 2013 updated". Average troffer install labor between $60 and $75.</t>
  </si>
  <si>
    <t>Installed Cost</t>
  </si>
  <si>
    <t>(From RTF Standard Information Workbook)</t>
  </si>
  <si>
    <t>(2012$)</t>
  </si>
  <si>
    <t>Cost</t>
  </si>
  <si>
    <t>Performance Specs</t>
  </si>
  <si>
    <t>Low</t>
  </si>
  <si>
    <t>High</t>
  </si>
  <si>
    <t>W</t>
  </si>
  <si>
    <t>Initial Delivered Lumens</t>
  </si>
  <si>
    <t>Lumen Maint</t>
  </si>
  <si>
    <t>Mean Delivered Lumens</t>
  </si>
  <si>
    <t>Life (hr)</t>
  </si>
  <si>
    <t>Mean Delivered l/W</t>
  </si>
  <si>
    <t>http://www.cree.com/Lighting/Products/Outdoor/Parking-Structure/304-Series-Parking-Structure</t>
  </si>
  <si>
    <t>EE System</t>
  </si>
  <si>
    <t>Forecasted Mean Del l/W</t>
  </si>
  <si>
    <t>Avg.</t>
  </si>
  <si>
    <t>2017 Efficacy Adjustment for LED High Bay Luminaire:</t>
  </si>
  <si>
    <t>(PNNL Forecast)</t>
  </si>
  <si>
    <t>Avg Fixture Cost</t>
  </si>
  <si>
    <t>Avg Cost per klm</t>
  </si>
  <si>
    <t>Forecasted Avg Cost per klm</t>
  </si>
  <si>
    <t>Average Costs (using CREE and CLTC studies)</t>
  </si>
  <si>
    <t>Avg Installed Cost, per Fixt</t>
  </si>
  <si>
    <t>2017 Cost Adjustment for LED Luminaire:</t>
  </si>
  <si>
    <t>Base System</t>
  </si>
  <si>
    <t>Lookup IDs:</t>
  </si>
  <si>
    <t>Lamp Life (Hrs)</t>
  </si>
  <si>
    <t>Ballast Life (Hrs)</t>
  </si>
  <si>
    <t>Efficiency and Wattage</t>
  </si>
  <si>
    <t>Lifetime</t>
  </si>
  <si>
    <t>System Wattage per lamp (W)</t>
  </si>
  <si>
    <t>System Efficacy (w/o fixture efficiency)</t>
  </si>
  <si>
    <t>Lamps per fixture</t>
  </si>
  <si>
    <t>System Lumens (lm)</t>
  </si>
  <si>
    <t>Ballast Factor</t>
  </si>
  <si>
    <t>Ballast Efficiency</t>
  </si>
  <si>
    <t>Fixture Efficiency</t>
  </si>
  <si>
    <t>Median Lamp Life (1000 hrs)</t>
  </si>
  <si>
    <t>Ballast Life (1000 hrs)</t>
  </si>
  <si>
    <t>Fixture Life (1000 hrs)</t>
  </si>
  <si>
    <t>Category Name</t>
  </si>
  <si>
    <t>Proxy Measure Name</t>
  </si>
  <si>
    <t>MOPP</t>
  </si>
  <si>
    <t>Measure Class</t>
  </si>
  <si>
    <t>Base Fixture Type</t>
  </si>
  <si>
    <t>Fixt ID</t>
  </si>
  <si>
    <t>Base Lamp Type</t>
  </si>
  <si>
    <t>EE Measure</t>
  </si>
  <si>
    <t>Building Type</t>
  </si>
  <si>
    <t>Measure Name</t>
  </si>
  <si>
    <t>Base System Efficacy (Delivered l/W)</t>
  </si>
  <si>
    <t>EE System Efficacy (Delivered l/W)</t>
  </si>
  <si>
    <t>Fixture Reference Case</t>
  </si>
  <si>
    <t>Base Fixture Lumens</t>
  </si>
  <si>
    <t>Base Fixture Watts</t>
  </si>
  <si>
    <t>Annual Energy Consump Pre (kWh)</t>
  </si>
  <si>
    <t>Annual Energy Consump Post (kWh)</t>
  </si>
  <si>
    <t>Base Lamp $/klm</t>
  </si>
  <si>
    <t>Base Fixture $/klm</t>
  </si>
  <si>
    <t>EE Lamp $/klm</t>
  </si>
  <si>
    <t>EE Fixture $/klm</t>
  </si>
  <si>
    <t>Base Lamp Cost</t>
  </si>
  <si>
    <t>Base Fixture Cost</t>
  </si>
  <si>
    <t>EE Lamp Cost</t>
  </si>
  <si>
    <t>EE Fixture Cost</t>
  </si>
  <si>
    <t xml:space="preserve">Incremental Equip Cost </t>
  </si>
  <si>
    <t>Base Lamp Lifetime (Hours)</t>
  </si>
  <si>
    <t>EE Lamp Lifetime (Hours)</t>
  </si>
  <si>
    <t>Base Lamp Lifetime (Years)</t>
  </si>
  <si>
    <t>EE Lamp Lifetime (Years)</t>
  </si>
  <si>
    <t>Lamp Change Hours</t>
  </si>
  <si>
    <t>Fixture Change Hours</t>
  </si>
  <si>
    <t>Lamp Change Labor Cost</t>
  </si>
  <si>
    <t>Fixture Change Labor Cost</t>
  </si>
  <si>
    <t>Incremental Labor Cost</t>
  </si>
  <si>
    <t>Total Incremental Cost, Equip + Labor</t>
  </si>
  <si>
    <t>Base O&amp;M Materials Cost</t>
  </si>
  <si>
    <t>Base O&amp;M Labor Cost</t>
  </si>
  <si>
    <t>Base O&amp;M Total Cost</t>
  </si>
  <si>
    <t>Periodic O&amp;M Interval (Yrs)</t>
  </si>
  <si>
    <t>Electric Shape Pointer</t>
  </si>
  <si>
    <t>Gas Shape Pointer</t>
  </si>
  <si>
    <t>Annual Electric Savings per KSF (kWh/KSF)</t>
  </si>
  <si>
    <t>Total Incremental Cost per KSF</t>
  </si>
  <si>
    <t>O&amp;M Savings ($) per KSF</t>
  </si>
  <si>
    <t>Retrofit or Lost-Opportunity</t>
  </si>
  <si>
    <t>FIX_REPL</t>
  </si>
  <si>
    <t>N/A</t>
  </si>
  <si>
    <t>Derived from: "Energy Savings Forecast of Solid-State Lighting in General Illumination Applications". DOE, prepared by Navigant Consulting. 2014.</t>
  </si>
  <si>
    <t>Linked to a version of this table found in the 7th Plan Commercial Interior Lighting workbook.</t>
  </si>
  <si>
    <t>CREE Installed Cost</t>
  </si>
  <si>
    <t>Blended HID Base</t>
  </si>
  <si>
    <t>NR</t>
  </si>
  <si>
    <t>Retro</t>
  </si>
  <si>
    <t>Parking Garage</t>
  </si>
  <si>
    <t>HPS</t>
  </si>
  <si>
    <t>MH</t>
  </si>
  <si>
    <t>BI-LEVEL_LED_FIX</t>
  </si>
  <si>
    <t>ALL</t>
  </si>
  <si>
    <t>PARKING_GARAGE</t>
  </si>
  <si>
    <t>HID</t>
  </si>
  <si>
    <t>EE Fixture Full Lumens</t>
  </si>
  <si>
    <t>&lt;-- forecasted to 2017</t>
  </si>
  <si>
    <t>Lookup ID</t>
  </si>
  <si>
    <t>2010$ to 2012$ Adjustment, based on GDP Deflator:</t>
  </si>
  <si>
    <t>Reference Fixture</t>
  </si>
  <si>
    <t>Reference Lumens</t>
  </si>
  <si>
    <t>EE Fixture Watts @ Full Lumens</t>
  </si>
  <si>
    <t>Total Annual Hours of Operation</t>
  </si>
  <si>
    <t>Total Annal Hours of Operation:</t>
  </si>
  <si>
    <t>Average Parking Garage Occupancy (% of Yr)</t>
  </si>
  <si>
    <t>Parking Garage Occupancy:</t>
  </si>
  <si>
    <t>(CLTC studies)</t>
  </si>
  <si>
    <t>(average from CLTC studies)</t>
  </si>
  <si>
    <t>Annual Hours at Full Lumens</t>
  </si>
  <si>
    <t>Annual Energy Savings  (kWh)</t>
  </si>
  <si>
    <t>Annual Energy Savings  (%)</t>
  </si>
  <si>
    <t>EE Fixture Watts @ Reduced Lumens</t>
  </si>
  <si>
    <t>Annual Hours at Reduced Lumens</t>
  </si>
  <si>
    <t>Low Power State, % of Full Power:</t>
  </si>
  <si>
    <t>Low Pwr % of Full Pwr:</t>
  </si>
  <si>
    <t>&lt;15 ft</t>
  </si>
  <si>
    <t>&gt;15 ft</t>
  </si>
  <si>
    <t>Lamp Change (Hrs)</t>
  </si>
  <si>
    <t>/hr</t>
  </si>
  <si>
    <t>Fixture Change (Hrs)</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</si>
  <si>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</si>
  <si>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</si>
  <si>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</si>
  <si>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</si>
  <si>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</si>
  <si>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</si>
  <si>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</si>
  <si>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</si>
  <si>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</si>
  <si>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</si>
  <si>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</si>
  <si>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</si>
  <si>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</si>
  <si>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</si>
  <si>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</si>
  <si>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</si>
  <si>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</si>
  <si>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</si>
  <si>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</si>
  <si>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</si>
  <si>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</si>
  <si>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</si>
  <si>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</si>
  <si>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</si>
  <si>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</si>
  <si>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Shaped Savings Results; By Category and sorted by TRC BC ratio</t>
  </si>
  <si>
    <t>Savings Allocation by Category and Month for Segments 1</t>
  </si>
  <si>
    <t>Savings Allocation by Category and Month for Segments 2</t>
  </si>
  <si>
    <t>Category</t>
  </si>
  <si>
    <t>Measure</t>
  </si>
  <si>
    <t>Busbar Savings</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</si>
  <si>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</si>
  <si>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</si>
  <si>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</si>
  <si>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</si>
  <si>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</si>
  <si>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</si>
  <si>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Net Levelized Cost (Net of All Benefits) in mills/kWh</t>
  </si>
  <si>
    <t>TRC B/C Ratio</t>
  </si>
  <si>
    <t>Net Electric &amp; Gas System CO2 Avoided (Lifetime Tons)</t>
  </si>
  <si>
    <t>Wholesale KW</t>
  </si>
  <si>
    <t>Jan</t>
  </si>
  <si>
    <t>Feb</t>
  </si>
  <si>
    <t>Mar</t>
  </si>
  <si>
    <t>Apr</t>
  </si>
  <si>
    <t>May</t>
  </si>
  <si>
    <t>Jun</t>
  </si>
  <si>
    <t>Jul</t>
  </si>
  <si>
    <t>Aug</t>
  </si>
  <si>
    <t>Sep</t>
  </si>
  <si>
    <t>Oct</t>
  </si>
  <si>
    <t>Nov</t>
  </si>
  <si>
    <t>Dec</t>
  </si>
  <si>
    <t>NR_PARKING_GARAGE_FIX_REPL_from MH to BI-LEVEL_LED_FIX</t>
  </si>
  <si>
    <t>Retro_PARKING_GARAGE_FIX_REPL_from MH to BI-LEVEL_LED_FIX</t>
  </si>
  <si>
    <t>NR_PARKING_GARAGE_FIX_REPL_from HID to BI-LEVEL_LED_FIX</t>
  </si>
  <si>
    <t>Retro_PARKING_GARAGE_FIX_REPL_from HID to BI-LEVEL_LED_FIX</t>
  </si>
  <si>
    <t>NR_PARKING_GARAGE_FIX_REPL_from HPS to BI-LEVEL_LED_FIX</t>
  </si>
  <si>
    <t>Retro_PARKING_GARAGE_FIX_REPL_from HPS to BI-LEVEL_LED_FIX</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</si>
  <si>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</si>
  <si>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</si>
  <si>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</si>
  <si>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</si>
  <si>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</si>
  <si>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</si>
  <si>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</si>
  <si>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</si>
  <si>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</si>
  <si>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</si>
  <si>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</si>
  <si>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</si>
  <si>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</si>
  <si>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</si>
  <si>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</si>
  <si>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</si>
  <si>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</si>
  <si>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</si>
  <si>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</si>
  <si>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</si>
  <si>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</si>
  <si>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</si>
  <si>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</si>
  <si>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</si>
  <si>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</si>
  <si>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</si>
  <si>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</si>
  <si>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</si>
  <si>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</si>
  <si>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</si>
  <si>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</si>
  <si>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</si>
  <si>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</si>
  <si>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</si>
  <si>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</si>
  <si>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</si>
  <si>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</si>
  <si>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</si>
  <si>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</si>
  <si>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</si>
  <si>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</si>
  <si>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</si>
  <si>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</si>
  <si>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</si>
  <si>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</si>
  <si>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</si>
  <si>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</si>
  <si>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</si>
  <si>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</si>
  <si>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</si>
  <si>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</si>
  <si>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</si>
  <si>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</si>
  <si>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</si>
  <si>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</si>
  <si>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</si>
  <si>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</si>
  <si>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</si>
  <si>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</si>
  <si>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</si>
  <si>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</si>
  <si>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</si>
  <si>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</si>
  <si>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</si>
  <si>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</si>
  <si>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</si>
  <si>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</si>
  <si>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</si>
  <si>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</si>
  <si>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</si>
  <si>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</si>
  <si>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</si>
  <si>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</si>
  <si>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</si>
  <si>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</si>
  <si>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</si>
  <si>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</si>
  <si>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</si>
  <si>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</si>
  <si>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</si>
  <si>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</si>
  <si>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</si>
  <si>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</si>
  <si>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</si>
  <si>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</si>
  <si>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</si>
  <si>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</si>
  <si>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</si>
  <si>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</si>
  <si>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</si>
  <si>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</si>
  <si>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Measure Life</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</si>
  <si>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</si>
  <si>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</si>
  <si>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</si>
  <si>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</si>
  <si>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</si>
  <si>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</si>
  <si>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</si>
  <si>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</si>
  <si>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</si>
  <si>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</si>
  <si>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</si>
  <si>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</si>
  <si>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</si>
  <si>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</si>
  <si>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</si>
  <si>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</si>
  <si>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</si>
  <si>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</si>
  <si>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</si>
  <si>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</si>
  <si>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</si>
  <si>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</si>
  <si>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</si>
  <si>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</si>
  <si>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</si>
  <si>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</si>
  <si>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</si>
  <si>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</si>
  <si>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</si>
  <si>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</si>
  <si>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</si>
  <si>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</si>
  <si>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</si>
  <si>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</si>
  <si>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</si>
  <si>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</si>
  <si>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</si>
  <si>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</si>
  <si>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</si>
  <si>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</si>
  <si>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</si>
  <si>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</si>
  <si>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</si>
  <si>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</si>
  <si>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</si>
  <si>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</si>
  <si>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</si>
  <si>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</si>
  <si>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</si>
  <si>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</si>
  <si>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</si>
  <si>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</si>
  <si>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</si>
  <si>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</si>
  <si>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</si>
  <si>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</si>
  <si>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</si>
  <si>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</si>
  <si>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</si>
  <si>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</si>
  <si>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</si>
  <si>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</si>
  <si>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</si>
  <si>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</si>
  <si>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</si>
  <si>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</si>
  <si>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</si>
  <si>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</si>
  <si>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</si>
  <si>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</si>
  <si>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</si>
  <si>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</si>
  <si>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</si>
  <si>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</si>
  <si>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</si>
  <si>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</si>
  <si>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</si>
  <si>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</si>
  <si>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</si>
  <si>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</si>
  <si>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</si>
  <si>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</si>
  <si>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</si>
  <si>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</si>
  <si>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</si>
  <si>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</si>
  <si>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</si>
  <si>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</si>
  <si>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</si>
  <si>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</si>
  <si>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</si>
  <si>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</si>
  <si>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</si>
  <si>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</si>
  <si>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</si>
  <si>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</si>
  <si>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</si>
  <si>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</si>
  <si>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</si>
  <si>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</si>
  <si>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</si>
  <si>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</si>
  <si>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</si>
  <si>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</si>
  <si>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</si>
  <si>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</si>
  <si>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</si>
  <si>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</si>
  <si>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</si>
  <si>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</si>
  <si>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</si>
  <si>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Other Cost Research</t>
  </si>
  <si>
    <t>Base Fixt</t>
  </si>
  <si>
    <t>Lamp Wattage</t>
  </si>
  <si>
    <t>Luminaire Wattage</t>
  </si>
  <si>
    <t>Fixture Make/Model</t>
  </si>
  <si>
    <t>Delivered Lumens per Watt</t>
  </si>
  <si>
    <t>Lamp/Luminaire Cost (2014$)</t>
  </si>
  <si>
    <t>Lamp/Luminaire Cost (2012$)</t>
  </si>
  <si>
    <t>Web</t>
  </si>
  <si>
    <t>Platt</t>
  </si>
  <si>
    <t>Lamp Replacements</t>
  </si>
  <si>
    <t>Lamp Cost</t>
  </si>
  <si>
    <t>HPS 150W</t>
  </si>
  <si>
    <t>MH 175W</t>
  </si>
  <si>
    <t>Mean Lumens</t>
  </si>
  <si>
    <t>Mean Lumens per Watt</t>
  </si>
  <si>
    <t>Philips Lighting</t>
  </si>
  <si>
    <t>Philips Lighting, Non-Cycling</t>
  </si>
  <si>
    <t>https://www.platt.com/platt-electric-supply/HID-High-Pressure-Sodium-Lamps-Standard/Philips-Lighting/C150S55-ALTO/product.aspx?zpid=441190</t>
  </si>
  <si>
    <t>https://www.platt.com/platt-electric-supply/HID-High-Pressure-Sodium-Lamps-Non-Cycling/Philips-Lighting/C150S55-ALTO-NC-HPS/product.aspx?zpid=596628</t>
  </si>
  <si>
    <t>Average HPS</t>
  </si>
  <si>
    <t>Average MH</t>
  </si>
  <si>
    <t>Average HID</t>
  </si>
  <si>
    <t>$/klm (2012$)</t>
  </si>
  <si>
    <t>https://www.platt.com/platt-electric-supply/HID-Metal-Halide-Traditional/Philips-Lighting/MH175-U-M/product.aspx?zpid=152881</t>
  </si>
  <si>
    <t>https://www.platt.com/platt-electric-supply/HID-Metal-Halide-Traditional/Philips-Lighting/MH175-C-U/product.aspx?zpid=49350</t>
  </si>
  <si>
    <t>Luminaire Replacement Costs</t>
  </si>
  <si>
    <t>Fixture Efficiency*</t>
  </si>
  <si>
    <t>*Source: DOE, http://apps1.eere.energy.gov/buildings/publications/pdfs/alliances/outdoor_area_lighting.pdf.</t>
  </si>
  <si>
    <t>PLT HLF-175HSJ</t>
  </si>
  <si>
    <t>https://www.1000bulbs.com/product/766/HLF-175HSJ175MH.html</t>
  </si>
  <si>
    <t>1000bulbs</t>
  </si>
  <si>
    <t>Luminaire Cost</t>
  </si>
  <si>
    <t>http://www.warehouse-lighting.com/canopy-lighting/150-watt-high-pressure-sodium-white-finish-12-inch-x-12-inch-120-volt.aspx</t>
  </si>
  <si>
    <t>Warehouse Lighting</t>
  </si>
  <si>
    <t>120 VOLT, 150 WATT, HIGH PRESSURE SODIUM 12" X 12" CANOPY FIXTURE WHITE</t>
  </si>
  <si>
    <t>RAB 150 Watt High Pressure Sodium Vandalproof Light White 120V w/ Lamp</t>
  </si>
  <si>
    <t>ProLighting</t>
  </si>
  <si>
    <t>http://www.prolighting.com/van5s150w.html</t>
  </si>
  <si>
    <t>MH 150W</t>
  </si>
  <si>
    <t>e-conolight</t>
  </si>
  <si>
    <t>150 Watt PSMH 12-in Ceiling Mount - White</t>
  </si>
  <si>
    <t>http://www.e-conolight.com/outdoor-lighting/canopy/e-cc2p15qw.html</t>
  </si>
  <si>
    <t>Howard Lighting Canopy, 12"L x 12"W, 60HZ, 150W HPS S55, 120V, Medium, Poly</t>
  </si>
  <si>
    <t>globalindustrial</t>
  </si>
  <si>
    <t>http://www.globalindustrial.com/p/outdoor-grounds-maintenance/lighting-outdoor/flood-lighting/canopy-12l-x-12w-60hz-150w-hps-s55-120v-medium-poly-</t>
  </si>
  <si>
    <t>Howard Lighting Canopy, 12"L x 12"W, 60HZ, 150W PSMH M102/E, 120/208/240/277V, Medium, Poly</t>
  </si>
  <si>
    <t>http://www.globalindustrial.com/p/outdoor-grounds-maintenance/lighting-outdoor/flood-lighting/canopy-12l-x-12w-60hz-150w-psmh-m102e-120208240277v-medium-poly</t>
  </si>
  <si>
    <t>embedded parking garage HID fixtures, CBSA</t>
  </si>
  <si>
    <t>Fixtures per KSF:</t>
  </si>
  <si>
    <t>Fixtures per KSF</t>
  </si>
  <si>
    <t>Data from CBSA</t>
  </si>
  <si>
    <t>HID garage fixtures per kSF from CBSA</t>
  </si>
  <si>
    <t>Connected Lighting Power in Parking Garage</t>
  </si>
  <si>
    <t>Location</t>
  </si>
  <si>
    <t>Parking</t>
  </si>
  <si>
    <t>LPD_Park</t>
  </si>
  <si>
    <t>(Multiple Items)</t>
  </si>
  <si>
    <t>Fixture_Category</t>
  </si>
  <si>
    <t>(All)</t>
  </si>
  <si>
    <t>Values</t>
  </si>
  <si>
    <t>Row Labels</t>
  </si>
  <si>
    <t>Sum of Sf_PNW</t>
  </si>
  <si>
    <t>Count of LPD_Park</t>
  </si>
  <si>
    <t>Average of LPD_Park2</t>
  </si>
  <si>
    <t>Sum of Wt_PNW_Site_Watts</t>
  </si>
  <si>
    <t>Average of Calc_Site_Fixtures/KSF</t>
  </si>
  <si>
    <t>Count of Calc_Site_Fixtures/KSF</t>
  </si>
  <si>
    <t>Assembly</t>
  </si>
  <si>
    <t>Lodging</t>
  </si>
  <si>
    <t>CMH</t>
  </si>
  <si>
    <t>Office</t>
  </si>
  <si>
    <t>Other</t>
  </si>
  <si>
    <t>LPS</t>
  </si>
  <si>
    <t>&lt;=  Ignor this single site with LPS, high LPD and large expansion weight</t>
  </si>
  <si>
    <t>Residential Care</t>
  </si>
  <si>
    <t>&lt;= Use 1.0 HID fixtures per thousand sf.  Also matches typical parking LPD (0.18W/sf) at 190 Watts per fixture for reference fixture</t>
  </si>
  <si>
    <t>Retail/Service</t>
  </si>
  <si>
    <t>&lt;= one site LPS</t>
  </si>
  <si>
    <t>MV</t>
  </si>
  <si>
    <t>School K-12</t>
  </si>
  <si>
    <t>Un</t>
  </si>
  <si>
    <t>Grand Total</t>
  </si>
  <si>
    <t>Sum of Wt_PNW_Site_Watts2</t>
  </si>
  <si>
    <t>CFL</t>
  </si>
  <si>
    <t>Fluorescent T12</t>
  </si>
  <si>
    <t>Fluorescent T5</t>
  </si>
  <si>
    <t>Fluorescent T8</t>
  </si>
  <si>
    <t>&lt;= about 45% HID by watt</t>
  </si>
  <si>
    <t>LED</t>
  </si>
  <si>
    <t>Misc</t>
  </si>
  <si>
    <t>Parking Garage Floor Area</t>
  </si>
  <si>
    <t>Sum of Wt_PNW</t>
  </si>
  <si>
    <t>Sum of Wt_PNW_Sf_Parking</t>
  </si>
  <si>
    <t>Grocery</t>
  </si>
  <si>
    <t>Restaurant</t>
  </si>
  <si>
    <t>&lt;= only one site in retail.  Likely under estimates garage area</t>
  </si>
  <si>
    <t>Warehouse</t>
  </si>
  <si>
    <t>Add garage for Hospital and University</t>
  </si>
  <si>
    <t>Hospital</t>
  </si>
  <si>
    <t>University</t>
  </si>
  <si>
    <t>Total Embedded Parking Garage Floor Area (sf)</t>
  </si>
  <si>
    <t>Units Methodology</t>
  </si>
  <si>
    <t>Forecast Version</t>
  </si>
  <si>
    <t>Vintage</t>
  </si>
  <si>
    <t>End-Use:</t>
  </si>
  <si>
    <t>Measure Bundle</t>
  </si>
  <si>
    <t>Lighting</t>
  </si>
  <si>
    <t>Report Year</t>
  </si>
  <si>
    <t>Total Potential (aMW)</t>
  </si>
  <si>
    <t>TOTAL MAX</t>
  </si>
  <si>
    <t>TOTAL</t>
  </si>
  <si>
    <t>Large Off</t>
  </si>
  <si>
    <t>Medium Off</t>
  </si>
  <si>
    <t>Small Off</t>
  </si>
  <si>
    <t>XLarge Ret</t>
  </si>
  <si>
    <t>Large Ret</t>
  </si>
  <si>
    <t>Medium Ret</t>
  </si>
  <si>
    <t>Small Ret</t>
  </si>
  <si>
    <t>Supermarket</t>
  </si>
  <si>
    <t>MiniMart</t>
  </si>
  <si>
    <t>APPLY MEASURE APPLICABILITY, SATURATION TURNOVER RATE FOR MAX ANNUAL # UNITS</t>
  </si>
  <si>
    <t>Existing Stock</t>
  </si>
  <si>
    <t>Applicability</t>
  </si>
  <si>
    <t>Turnover Rate</t>
  </si>
  <si>
    <t>Saturation</t>
  </si>
  <si>
    <t>INCREMENTAL ACHIEVABILITY</t>
  </si>
  <si>
    <t>Acheivable and 85% Max Per Year</t>
  </si>
  <si>
    <t>CUMULATIVE ADOPTION</t>
  </si>
  <si>
    <t>SUPPLY CURVE SAVINGS BY BUNDLE</t>
  </si>
  <si>
    <t>aMW</t>
  </si>
  <si>
    <t>kWh per Luminaire</t>
  </si>
  <si>
    <t>lvlcost</t>
  </si>
  <si>
    <t>segment</t>
  </si>
  <si>
    <t>measure</t>
  </si>
  <si>
    <t>Max Annual Available</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</si>
  <si>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</si>
  <si>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</si>
  <si>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</si>
  <si>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</si>
  <si>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</si>
  <si>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</si>
  <si>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</si>
  <si>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</si>
  <si>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</si>
  <si>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</si>
  <si>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</si>
  <si>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</si>
  <si>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</si>
  <si>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</si>
  <si>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</si>
  <si>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</si>
  <si>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</si>
  <si>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</si>
  <si>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</si>
  <si>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</si>
  <si>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</si>
  <si>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</si>
  <si>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</si>
  <si>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</si>
  <si>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</si>
  <si>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</si>
  <si>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</si>
  <si>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</si>
  <si>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</si>
  <si>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</si>
  <si>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</si>
  <si>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</si>
  <si>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</si>
  <si>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</si>
  <si>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</si>
  <si>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</si>
  <si>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</si>
  <si>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</si>
  <si>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</si>
  <si>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</si>
  <si>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</si>
  <si>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</si>
  <si>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</si>
  <si>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</si>
  <si>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</si>
  <si>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</si>
  <si>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</si>
  <si>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</si>
  <si>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</si>
  <si>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</si>
  <si>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</si>
  <si>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</si>
  <si>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</si>
  <si>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</si>
  <si>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</si>
  <si>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</si>
  <si>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</si>
  <si>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</si>
  <si>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</si>
  <si>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</si>
  <si>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</si>
  <si>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</si>
  <si>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</si>
  <si>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</si>
  <si>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</si>
  <si>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</si>
  <si>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</si>
  <si>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</si>
  <si>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</si>
  <si>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</si>
  <si>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</si>
  <si>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</si>
  <si>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</si>
  <si>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</si>
  <si>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</si>
  <si>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</si>
  <si>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</si>
  <si>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SC-NR</t>
  </si>
  <si>
    <t>Total per Year</t>
  </si>
  <si>
    <t>Cumulative at Earliest Deployment</t>
  </si>
  <si>
    <t>Total Floor Area for Embedded Parking Garage</t>
  </si>
  <si>
    <t>Life</t>
  </si>
  <si>
    <t>Column Labels</t>
  </si>
  <si>
    <t>Manual</t>
  </si>
  <si>
    <t>None (Continuous)</t>
  </si>
  <si>
    <t>Occupancy Sensor</t>
  </si>
  <si>
    <t>Timeclock</t>
  </si>
  <si>
    <t>Controls on Parking Garage Lighting</t>
  </si>
  <si>
    <t>Uncontrolled HID Parking Lighitng</t>
  </si>
  <si>
    <t>Fraction Uncontrolled</t>
  </si>
  <si>
    <t>Applicability (Fraction HID)</t>
  </si>
  <si>
    <t>Carryover from Untreated New (Code for New)</t>
  </si>
  <si>
    <t>Measure is for HID fixtures in existing parking garages (covered parking embedded within buildings, not parking lots).  Units method is florr area based from CBSA.  Do not distinguish by building type as the CBSA data are thin. Total parking garage floor area of embedded parking and fixture density from CBSA HID garage fixture data.  Turnover rate based on ballast life and lamp operating hours.</t>
  </si>
  <si>
    <t>Applicable HID Parking Area</t>
  </si>
  <si>
    <t>Uncontrolled FL Parking Lighting</t>
  </si>
  <si>
    <t>Average of Watts_Per_Fixture</t>
  </si>
  <si>
    <t>w/sf</t>
  </si>
  <si>
    <t>kWh/sf</t>
  </si>
  <si>
    <t>Total sf million</t>
  </si>
  <si>
    <t>Fraction LF</t>
  </si>
  <si>
    <t>aMW Load</t>
  </si>
  <si>
    <t>aMW Savings</t>
  </si>
  <si>
    <t>Back of Envelope for Fluorescent Systems</t>
  </si>
  <si>
    <t>Save Fraction with controls</t>
  </si>
  <si>
    <t>http://cltc.ucdavis.edu/sites/default/files/files/publication/20110400-pier-bilevel-fluorescent-parking-garage.pdf</t>
  </si>
  <si>
    <t>N</t>
  </si>
  <si>
    <t>Y</t>
  </si>
  <si>
    <t>Ramp Rate</t>
  </si>
  <si>
    <t>Resource Type</t>
  </si>
  <si>
    <t>Measure Category</t>
  </si>
  <si>
    <t>Sector</t>
  </si>
  <si>
    <t>End Use</t>
  </si>
  <si>
    <t>kW per unit</t>
  </si>
  <si>
    <t>kWh per unit</t>
  </si>
  <si>
    <t>TRC Net Levelized Cost (Net of All Benefits)</t>
  </si>
  <si>
    <t>MAX</t>
  </si>
  <si>
    <t>New</t>
  </si>
  <si>
    <t>Commercial</t>
  </si>
  <si>
    <t>Measure:</t>
  </si>
  <si>
    <t>Item</t>
  </si>
  <si>
    <t>Methods &amp; Sources</t>
  </si>
  <si>
    <t>Note</t>
  </si>
  <si>
    <t>7P Updates</t>
  </si>
  <si>
    <t>Measures Described</t>
  </si>
  <si>
    <t>Energy Savings Calculation Basis</t>
  </si>
  <si>
    <t>Baseline Energy Use</t>
  </si>
  <si>
    <t>Applicable Stock</t>
  </si>
  <si>
    <t>Baseline Saturation</t>
  </si>
  <si>
    <t>Baseline Penetration</t>
  </si>
  <si>
    <t>Permutations</t>
  </si>
  <si>
    <t>Costs</t>
  </si>
  <si>
    <t>Savings Shape</t>
  </si>
  <si>
    <t>Achievability Ramp Rate</t>
  </si>
  <si>
    <t>[watts saved high] * [high hours] +  [watts saved low] * [low hours]</t>
  </si>
  <si>
    <t>High low hours and watts from CLTC studies</t>
  </si>
  <si>
    <t>[Fraction of parking garage in HID (45%)] * [fraction uncontrolled]</t>
  </si>
  <si>
    <t>From CBSA</t>
  </si>
  <si>
    <t>Replace existing metal halide fixture with LED fixture and bi-level occupancy control.  NR application - at fixture turnover / ballast failure</t>
  </si>
  <si>
    <t>Assume 8760 hours per year for uncontrolled</t>
  </si>
  <si>
    <t>Reecent retail prices</t>
  </si>
  <si>
    <t>Streetlight</t>
  </si>
  <si>
    <t>LO12Med</t>
  </si>
  <si>
    <t>Moderate</t>
  </si>
  <si>
    <t xml:space="preserve">Currently 3% LED </t>
  </si>
  <si>
    <t>About 20%</t>
  </si>
  <si>
    <t>Extrapolate DOE</t>
  </si>
  <si>
    <t>Could extend controls portion to LF for another 2-3 aMW savings</t>
  </si>
  <si>
    <t xml:space="preserve">8.6 years </t>
  </si>
  <si>
    <t>Stock 2016</t>
  </si>
  <si>
    <t>Description</t>
  </si>
  <si>
    <t>Who</t>
  </si>
  <si>
    <t>When</t>
  </si>
  <si>
    <t>CG</t>
  </si>
  <si>
    <t>Updated ComMaster links</t>
  </si>
  <si>
    <t>Develop Base and EE Specs</t>
  </si>
  <si>
    <t>Incorporate turn down rates from CLTC</t>
  </si>
  <si>
    <t>CBSA Data</t>
  </si>
  <si>
    <t>Incorporate High Low forecast</t>
  </si>
  <si>
    <t>Add measure for Fluorescent Control</t>
  </si>
  <si>
    <t>Back of envelope shows 2-3 aMW additional savings</t>
  </si>
  <si>
    <t>Revised savings shape</t>
  </si>
  <si>
    <t>Moved to 24x7</t>
  </si>
  <si>
    <t>Total Industrial-Total Industrial</t>
  </si>
  <si>
    <t>Wednesday, 18 March , 2015 at 9:19 PM</t>
  </si>
  <si>
    <t>Q:\SeventhPlan\Conservation Analysis\Global EE Inputs\MC Files\MC_AND_LOADSHAPE_v3.0_24segment-7P-D9 - NewSegValues.xlsx</t>
  </si>
</sst>
</file>

<file path=xl/styles.xml><?xml version="1.0" encoding="utf-8"?>
<styleSheet xmlns="http://schemas.openxmlformats.org/spreadsheetml/2006/main">
  <numFmts count="17">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0"/>
    <numFmt numFmtId="168" formatCode="0.000"/>
    <numFmt numFmtId="169" formatCode="0.00000000000000"/>
    <numFmt numFmtId="170" formatCode="0.000000"/>
    <numFmt numFmtId="171" formatCode="0.0;[Red]\-0.0"/>
    <numFmt numFmtId="172" formatCode="\ "/>
    <numFmt numFmtId="173" formatCode="_(* #,##0.0_);_(* \(#,##0.0\);_(* &quot;-&quot;??_);_(@_)"/>
    <numFmt numFmtId="174" formatCode="_(* #,##0.000_);_(* \(#,##0.000\);_(* &quot;-&quot;??_);_(@_)"/>
    <numFmt numFmtId="175" formatCode="_(* #,##0.0_);_(* \(#,##0.0\);_(* &quot;-&quot;?_);_(@_)"/>
    <numFmt numFmtId="176" formatCode="d\-mmm\-yyyy"/>
    <numFmt numFmtId="177" formatCode="m/d/\ h:mm"/>
  </numFmts>
  <fonts count="64">
    <font>
      <sz val="11"/>
      <color theme="1"/>
      <name val="Calibri"/>
      <family val="2"/>
      <scheme val="minor"/>
    </font>
    <font>
      <sz val="10"/>
      <color theme="1"/>
      <name val="Arial"/>
      <family val="2"/>
    </font>
    <font>
      <sz val="10"/>
      <color theme="1"/>
      <name val="Arial"/>
      <family val="2"/>
    </font>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9"/>
      <color indexed="81"/>
      <name val="Tahoma"/>
      <family val="2"/>
    </font>
    <font>
      <b/>
      <sz val="9"/>
      <color indexed="81"/>
      <name val="Tahoma"/>
      <family val="2"/>
    </font>
    <font>
      <sz val="10"/>
      <color theme="1"/>
      <name val="Arial"/>
      <family val="2"/>
    </font>
    <font>
      <u/>
      <sz val="10"/>
      <color theme="10"/>
      <name val="Arial"/>
      <family val="2"/>
    </font>
    <font>
      <b/>
      <sz val="10"/>
      <color theme="1"/>
      <name val="Arial"/>
      <family val="2"/>
    </font>
    <font>
      <sz val="10"/>
      <name val="Arial"/>
      <family val="2"/>
    </font>
    <font>
      <u/>
      <sz val="11"/>
      <color theme="1"/>
      <name val="Calibri"/>
      <family val="2"/>
      <scheme val="minor"/>
    </font>
    <font>
      <sz val="11"/>
      <color theme="0" tint="-0.34998626667073579"/>
      <name val="Calibri"/>
      <family val="2"/>
      <scheme val="minor"/>
    </font>
    <font>
      <b/>
      <sz val="10"/>
      <name val="Arial"/>
      <family val="2"/>
    </font>
    <font>
      <sz val="10"/>
      <color indexed="8"/>
      <name val="Arial"/>
      <family val="2"/>
    </font>
    <font>
      <sz val="10"/>
      <color theme="0"/>
      <name val="Arial"/>
      <family val="2"/>
    </font>
    <font>
      <sz val="11"/>
      <color theme="0" tint="-0.499984740745262"/>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b/>
      <sz val="8"/>
      <color indexed="81"/>
      <name val="Tahoma"/>
      <family val="2"/>
    </font>
    <font>
      <sz val="8"/>
      <color indexed="81"/>
      <name val="Tahoma"/>
      <family val="2"/>
    </font>
    <font>
      <sz val="10"/>
      <color indexed="9"/>
      <name val="Arial"/>
      <family val="2"/>
    </font>
    <font>
      <sz val="10"/>
      <color indexed="10"/>
      <name val="Arial"/>
      <family val="2"/>
    </font>
    <font>
      <b/>
      <u/>
      <sz val="10"/>
      <color theme="10"/>
      <name val="Arial"/>
      <family val="2"/>
    </font>
    <font>
      <sz val="11"/>
      <name val="Calibri"/>
      <family val="2"/>
      <scheme val="minor"/>
    </font>
    <font>
      <sz val="10"/>
      <color rgb="FFFF0000"/>
      <name val="Arial"/>
      <family val="2"/>
    </font>
    <font>
      <i/>
      <sz val="10"/>
      <color theme="1"/>
      <name val="Arial"/>
      <family val="2"/>
    </font>
    <font>
      <sz val="10"/>
      <color rgb="FF0070C0"/>
      <name val="Arial"/>
      <family val="2"/>
    </font>
    <font>
      <sz val="11"/>
      <color rgb="FF0070C0"/>
      <name val="Calibri"/>
      <family val="2"/>
      <scheme val="minor"/>
    </font>
    <font>
      <sz val="11"/>
      <name val="Arial"/>
      <family val="2"/>
    </font>
    <font>
      <b/>
      <sz val="14"/>
      <color theme="1"/>
      <name val="Calibri"/>
      <family val="2"/>
      <scheme val="minor"/>
    </font>
    <font>
      <b/>
      <sz val="11"/>
      <name val="Calibri"/>
      <family val="2"/>
      <scheme val="minor"/>
    </font>
    <font>
      <b/>
      <sz val="11"/>
      <color theme="0"/>
      <name val="Calibri"/>
      <family val="2"/>
      <scheme val="minor"/>
    </font>
    <font>
      <sz val="10"/>
      <color theme="0" tint="-0.49998474074526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2"/>
      <color theme="1"/>
      <name val="Palatino Linotype"/>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s>
  <fills count="56">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indexed="9"/>
        <bgColor indexed="64"/>
      </patternFill>
    </fill>
    <fill>
      <patternFill patternType="solid">
        <fgColor theme="1"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indexed="57"/>
        <bgColor indexed="64"/>
      </patternFill>
    </fill>
    <fill>
      <patternFill patternType="solid">
        <fgColor indexed="44"/>
        <bgColor indexed="64"/>
      </patternFill>
    </fill>
    <fill>
      <patternFill patternType="solid">
        <fgColor indexed="47"/>
        <bgColor indexed="64"/>
      </patternFill>
    </fill>
    <fill>
      <patternFill patternType="solid">
        <fgColor indexed="60"/>
        <bgColor indexed="64"/>
      </patternFill>
    </fill>
    <fill>
      <patternFill patternType="solid">
        <fgColor indexed="31"/>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s>
  <cellStyleXfs count="197">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0" fillId="0" borderId="0" applyNumberFormat="0" applyFill="0" applyBorder="0" applyAlignment="0" applyProtection="0">
      <alignment vertical="top"/>
      <protection locked="0"/>
    </xf>
    <xf numFmtId="0" fontId="12" fillId="0" borderId="0">
      <alignment readingOrder="1"/>
    </xf>
    <xf numFmtId="0" fontId="9" fillId="0" borderId="0"/>
    <xf numFmtId="0" fontId="19" fillId="0" borderId="0"/>
    <xf numFmtId="0" fontId="1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9" fontId="3" fillId="0" borderId="0" applyFont="0" applyFill="0" applyBorder="0" applyAlignment="0" applyProtection="0"/>
    <xf numFmtId="0" fontId="12" fillId="0" borderId="0">
      <alignment readingOrder="1"/>
    </xf>
    <xf numFmtId="0" fontId="1" fillId="0" borderId="0"/>
    <xf numFmtId="43" fontId="1" fillId="0" borderId="0" applyFont="0" applyFill="0" applyBorder="0" applyAlignment="0" applyProtection="0"/>
    <xf numFmtId="44" fontId="1" fillId="0" borderId="0" applyFont="0" applyFill="0" applyBorder="0" applyAlignment="0" applyProtection="0"/>
    <xf numFmtId="0" fontId="12" fillId="0" borderId="0"/>
    <xf numFmtId="0" fontId="40" fillId="32"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34" borderId="0" applyNumberFormat="0" applyBorder="0" applyAlignment="0" applyProtection="0"/>
    <xf numFmtId="0" fontId="40" fillId="36" borderId="0" applyNumberFormat="0" applyBorder="0" applyAlignment="0" applyProtection="0"/>
    <xf numFmtId="0" fontId="40" fillId="33" borderId="0" applyNumberFormat="0" applyBorder="0" applyAlignment="0" applyProtection="0"/>
    <xf numFmtId="0" fontId="40"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34" borderId="0" applyNumberFormat="0" applyBorder="0" applyAlignment="0" applyProtection="0"/>
    <xf numFmtId="0" fontId="40" fillId="42" borderId="0" applyNumberFormat="0" applyBorder="0" applyAlignment="0" applyProtection="0"/>
    <xf numFmtId="0" fontId="40" fillId="34" borderId="0" applyNumberFormat="0" applyBorder="0" applyAlignment="0" applyProtection="0"/>
    <xf numFmtId="0" fontId="40" fillId="36" borderId="0" applyNumberFormat="0" applyBorder="0" applyAlignment="0" applyProtection="0"/>
    <xf numFmtId="0" fontId="40" fillId="40" borderId="0" applyNumberFormat="0" applyBorder="0" applyAlignment="0" applyProtection="0"/>
    <xf numFmtId="0" fontId="40" fillId="39" borderId="0" applyNumberFormat="0" applyBorder="0" applyAlignment="0" applyProtection="0"/>
    <xf numFmtId="0" fontId="40" fillId="43" borderId="0" applyNumberFormat="0" applyBorder="0" applyAlignment="0" applyProtection="0"/>
    <xf numFmtId="0" fontId="40" fillId="38"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1" borderId="0" applyNumberFormat="0" applyBorder="0" applyAlignment="0" applyProtection="0"/>
    <xf numFmtId="0" fontId="41" fillId="34" borderId="0" applyNumberFormat="0" applyBorder="0" applyAlignment="0" applyProtection="0"/>
    <xf numFmtId="0" fontId="41" fillId="42" borderId="0" applyNumberFormat="0" applyBorder="0" applyAlignment="0" applyProtection="0"/>
    <xf numFmtId="0" fontId="41" fillId="34" borderId="0" applyNumberFormat="0" applyBorder="0" applyAlignment="0" applyProtection="0"/>
    <xf numFmtId="0" fontId="41" fillId="46" borderId="0" applyNumberFormat="0" applyBorder="0" applyAlignment="0" applyProtection="0"/>
    <xf numFmtId="0" fontId="41" fillId="40" borderId="0" applyNumberFormat="0" applyBorder="0" applyAlignment="0" applyProtection="0"/>
    <xf numFmtId="0" fontId="41" fillId="45" borderId="0" applyNumberFormat="0" applyBorder="0" applyAlignment="0" applyProtection="0"/>
    <xf numFmtId="0" fontId="41" fillId="47" borderId="0" applyNumberFormat="0" applyBorder="0" applyAlignment="0" applyProtection="0"/>
    <xf numFmtId="0" fontId="41" fillId="38" borderId="0" applyNumberFormat="0" applyBorder="0" applyAlignment="0" applyProtection="0"/>
    <xf numFmtId="0" fontId="41" fillId="48" borderId="0" applyNumberFormat="0" applyBorder="0" applyAlignment="0" applyProtection="0"/>
    <xf numFmtId="0" fontId="41" fillId="45"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34" borderId="0" applyNumberFormat="0" applyBorder="0" applyAlignment="0" applyProtection="0"/>
    <xf numFmtId="0" fontId="41" fillId="46" borderId="0" applyNumberFormat="0" applyBorder="0" applyAlignment="0" applyProtection="0"/>
    <xf numFmtId="0" fontId="41" fillId="51" borderId="0" applyNumberFormat="0" applyBorder="0" applyAlignment="0" applyProtection="0"/>
    <xf numFmtId="0" fontId="41" fillId="45" borderId="0" applyNumberFormat="0" applyBorder="0" applyAlignment="0" applyProtection="0"/>
    <xf numFmtId="0" fontId="41" fillId="52" borderId="0" applyNumberFormat="0" applyBorder="0" applyAlignment="0" applyProtection="0"/>
    <xf numFmtId="0" fontId="42" fillId="34" borderId="0" applyNumberFormat="0" applyBorder="0" applyAlignment="0" applyProtection="0"/>
    <xf numFmtId="0" fontId="42" fillId="36" borderId="0" applyNumberFormat="0" applyBorder="0" applyAlignment="0" applyProtection="0"/>
    <xf numFmtId="0" fontId="43" fillId="40" borderId="31" applyNumberFormat="0" applyAlignment="0" applyProtection="0"/>
    <xf numFmtId="0" fontId="43" fillId="33" borderId="31" applyNumberFormat="0" applyAlignment="0" applyProtection="0"/>
    <xf numFmtId="0" fontId="44" fillId="53" borderId="3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17" borderId="0" applyNumberFormat="0" applyAlignment="0">
      <alignment horizontal="right"/>
    </xf>
    <xf numFmtId="0" fontId="12" fillId="17" borderId="0" applyNumberFormat="0" applyAlignment="0">
      <alignment horizontal="right"/>
    </xf>
    <xf numFmtId="0" fontId="12" fillId="17" borderId="0" applyNumberFormat="0" applyAlignment="0">
      <alignment horizontal="right"/>
    </xf>
    <xf numFmtId="0" fontId="12" fillId="17" borderId="0" applyNumberFormat="0" applyAlignment="0">
      <alignment horizontal="right"/>
    </xf>
    <xf numFmtId="0" fontId="12" fillId="17" borderId="0" applyNumberFormat="0" applyAlignment="0">
      <alignment horizontal="right"/>
    </xf>
    <xf numFmtId="0" fontId="12" fillId="17" borderId="0" applyNumberFormat="0" applyAlignment="0">
      <alignment horizontal="right"/>
    </xf>
    <xf numFmtId="0" fontId="12" fillId="18" borderId="0" applyNumberFormat="0" applyAlignment="0"/>
    <xf numFmtId="177" fontId="45" fillId="0" borderId="0"/>
    <xf numFmtId="0" fontId="46" fillId="0" borderId="0" applyNumberFormat="0" applyFill="0" applyBorder="0" applyAlignment="0" applyProtection="0"/>
    <xf numFmtId="0" fontId="47" fillId="35" borderId="0" applyNumberFormat="0" applyBorder="0" applyAlignment="0" applyProtection="0"/>
    <xf numFmtId="0" fontId="48" fillId="0" borderId="0">
      <alignment horizontal="center" wrapText="1"/>
    </xf>
    <xf numFmtId="0" fontId="49" fillId="0" borderId="33" applyNumberFormat="0" applyFill="0" applyAlignment="0" applyProtection="0"/>
    <xf numFmtId="0" fontId="50" fillId="0" borderId="34" applyNumberFormat="0" applyFill="0" applyAlignment="0" applyProtection="0"/>
    <xf numFmtId="0" fontId="51" fillId="0" borderId="35" applyNumberFormat="0" applyFill="0" applyAlignment="0" applyProtection="0"/>
    <xf numFmtId="0" fontId="52" fillId="0" borderId="36"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4" fillId="38" borderId="31" applyNumberFormat="0" applyAlignment="0" applyProtection="0"/>
    <xf numFmtId="0" fontId="55" fillId="0" borderId="37" applyNumberFormat="0" applyFill="0" applyAlignment="0" applyProtection="0"/>
    <xf numFmtId="0" fontId="56" fillId="54" borderId="0" applyNumberFormat="0" applyBorder="0" applyAlignment="0" applyProtection="0"/>
    <xf numFmtId="0" fontId="40" fillId="0" borderId="0"/>
    <xf numFmtId="0" fontId="40" fillId="0" borderId="0"/>
    <xf numFmtId="0" fontId="40" fillId="0" borderId="0"/>
    <xf numFmtId="0" fontId="12" fillId="0" borderId="0"/>
    <xf numFmtId="0" fontId="3" fillId="0" borderId="0"/>
    <xf numFmtId="0" fontId="12" fillId="0" borderId="0">
      <alignment readingOrder="1"/>
    </xf>
    <xf numFmtId="0" fontId="3" fillId="0" borderId="0"/>
    <xf numFmtId="0" fontId="3" fillId="0" borderId="0"/>
    <xf numFmtId="0" fontId="3" fillId="0" borderId="0"/>
    <xf numFmtId="0" fontId="3" fillId="0" borderId="0"/>
    <xf numFmtId="0" fontId="3" fillId="0" borderId="0"/>
    <xf numFmtId="0" fontId="12" fillId="0" borderId="0">
      <alignment readingOrder="1"/>
    </xf>
    <xf numFmtId="0" fontId="3" fillId="0" borderId="0"/>
    <xf numFmtId="0" fontId="57" fillId="0" borderId="0"/>
    <xf numFmtId="0" fontId="12" fillId="0" borderId="0"/>
    <xf numFmtId="0" fontId="12" fillId="0" borderId="0"/>
    <xf numFmtId="0" fontId="12" fillId="0" borderId="0"/>
    <xf numFmtId="0" fontId="12" fillId="0" borderId="0"/>
    <xf numFmtId="0" fontId="12" fillId="0" borderId="0"/>
    <xf numFmtId="0" fontId="12" fillId="0" borderId="0"/>
    <xf numFmtId="0" fontId="40" fillId="0" borderId="0"/>
    <xf numFmtId="0" fontId="40" fillId="0" borderId="0"/>
    <xf numFmtId="0" fontId="12" fillId="0" borderId="0"/>
    <xf numFmtId="0" fontId="12" fillId="0" borderId="0">
      <alignment readingOrder="1"/>
    </xf>
    <xf numFmtId="0" fontId="12" fillId="0" borderId="0">
      <alignment readingOrder="1"/>
    </xf>
    <xf numFmtId="0" fontId="12" fillId="0" borderId="0">
      <alignment readingOrder="1"/>
    </xf>
    <xf numFmtId="0" fontId="40" fillId="0" borderId="0"/>
    <xf numFmtId="0" fontId="12" fillId="0" borderId="0">
      <alignment readingOrder="1"/>
    </xf>
    <xf numFmtId="0" fontId="12" fillId="0" borderId="0"/>
    <xf numFmtId="0" fontId="12" fillId="0" borderId="0">
      <alignment readingOrder="1"/>
    </xf>
    <xf numFmtId="0" fontId="12" fillId="0" borderId="0"/>
    <xf numFmtId="0" fontId="12" fillId="0" borderId="0"/>
    <xf numFmtId="0" fontId="12" fillId="0" borderId="0"/>
    <xf numFmtId="0" fontId="12" fillId="0" borderId="0"/>
    <xf numFmtId="0" fontId="12" fillId="0" borderId="0"/>
    <xf numFmtId="0" fontId="3"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40" fillId="0" borderId="0"/>
    <xf numFmtId="0" fontId="58" fillId="0" borderId="0"/>
    <xf numFmtId="0" fontId="40" fillId="0" borderId="0"/>
    <xf numFmtId="0" fontId="40" fillId="0" borderId="0"/>
    <xf numFmtId="0" fontId="40" fillId="0" borderId="0"/>
    <xf numFmtId="0" fontId="40" fillId="0" borderId="0"/>
    <xf numFmtId="0" fontId="12" fillId="0" borderId="0">
      <alignment readingOrder="1"/>
    </xf>
    <xf numFmtId="0" fontId="12" fillId="0" borderId="0">
      <alignment readingOrder="1"/>
    </xf>
    <xf numFmtId="0" fontId="12" fillId="0" borderId="0">
      <alignment readingOrder="1"/>
    </xf>
    <xf numFmtId="0" fontId="40" fillId="55" borderId="38" applyNumberFormat="0" applyFont="0" applyAlignment="0" applyProtection="0"/>
    <xf numFmtId="0" fontId="12" fillId="55" borderId="38" applyNumberFormat="0" applyFont="0" applyAlignment="0" applyProtection="0"/>
    <xf numFmtId="0" fontId="59" fillId="40" borderId="39" applyNumberFormat="0" applyAlignment="0" applyProtection="0"/>
    <xf numFmtId="0" fontId="59" fillId="33" borderId="39"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40" applyNumberFormat="0" applyFill="0" applyAlignment="0" applyProtection="0"/>
    <xf numFmtId="0" fontId="62" fillId="0" borderId="41" applyNumberFormat="0" applyFill="0" applyAlignment="0" applyProtection="0"/>
    <xf numFmtId="0" fontId="63" fillId="0" borderId="0" applyNumberFormat="0" applyFill="0" applyBorder="0" applyAlignment="0" applyProtection="0"/>
    <xf numFmtId="0" fontId="12" fillId="0" borderId="0"/>
    <xf numFmtId="0" fontId="12" fillId="0" borderId="0"/>
    <xf numFmtId="9" fontId="1" fillId="0" borderId="0" applyFont="0" applyFill="0" applyBorder="0" applyAlignment="0" applyProtection="0"/>
  </cellStyleXfs>
  <cellXfs count="358">
    <xf numFmtId="0" fontId="0" fillId="0" borderId="0" xfId="0"/>
    <xf numFmtId="9" fontId="0" fillId="0" borderId="0" xfId="3" applyFont="1"/>
    <xf numFmtId="2" fontId="0" fillId="0" borderId="0" xfId="3" applyNumberFormat="1" applyFont="1"/>
    <xf numFmtId="164" fontId="0" fillId="0" borderId="0" xfId="1" applyNumberFormat="1" applyFont="1"/>
    <xf numFmtId="164" fontId="0" fillId="0" borderId="0" xfId="0" applyNumberFormat="1"/>
    <xf numFmtId="0" fontId="6" fillId="3" borderId="0" xfId="0" applyFont="1" applyFill="1"/>
    <xf numFmtId="44" fontId="0" fillId="0" borderId="0" xfId="2" applyFont="1"/>
    <xf numFmtId="165" fontId="0" fillId="0" borderId="0" xfId="2" applyNumberFormat="1" applyFont="1"/>
    <xf numFmtId="165" fontId="0" fillId="0" borderId="0" xfId="0" applyNumberFormat="1"/>
    <xf numFmtId="0" fontId="10" fillId="0" borderId="0" xfId="4" applyAlignment="1" applyProtection="1"/>
    <xf numFmtId="0" fontId="0" fillId="0" borderId="0" xfId="0" applyAlignment="1">
      <alignment horizontal="right"/>
    </xf>
    <xf numFmtId="0" fontId="0" fillId="0" borderId="0" xfId="0" applyFill="1" applyBorder="1" applyAlignment="1"/>
    <xf numFmtId="165" fontId="0" fillId="0" borderId="0" xfId="0" applyNumberFormat="1" applyFill="1" applyBorder="1"/>
    <xf numFmtId="44" fontId="0" fillId="0" borderId="0" xfId="0" applyNumberFormat="1"/>
    <xf numFmtId="165" fontId="0" fillId="0" borderId="0" xfId="0" applyNumberFormat="1" applyFont="1"/>
    <xf numFmtId="0" fontId="13" fillId="0" borderId="0" xfId="0" applyFont="1"/>
    <xf numFmtId="1" fontId="0" fillId="0" borderId="0" xfId="0" applyNumberFormat="1"/>
    <xf numFmtId="165" fontId="4" fillId="4" borderId="0" xfId="0" applyNumberFormat="1" applyFont="1" applyFill="1"/>
    <xf numFmtId="0" fontId="0" fillId="2" borderId="0" xfId="0" applyFill="1"/>
    <xf numFmtId="0" fontId="4" fillId="2" borderId="0" xfId="0" applyFont="1" applyFill="1"/>
    <xf numFmtId="0" fontId="0" fillId="0" borderId="0" xfId="0" applyFont="1"/>
    <xf numFmtId="0" fontId="0" fillId="0" borderId="0" xfId="0" applyFont="1" applyAlignment="1">
      <alignment wrapText="1"/>
    </xf>
    <xf numFmtId="1" fontId="0" fillId="0" borderId="0" xfId="0" applyNumberFormat="1" applyFill="1"/>
    <xf numFmtId="1" fontId="4" fillId="4" borderId="0" xfId="0" applyNumberFormat="1" applyFont="1" applyFill="1"/>
    <xf numFmtId="165" fontId="0" fillId="0" borderId="0" xfId="0" applyNumberFormat="1" applyFont="1" applyFill="1"/>
    <xf numFmtId="1" fontId="0" fillId="0" borderId="0" xfId="0" applyNumberFormat="1" applyFont="1" applyFill="1"/>
    <xf numFmtId="0" fontId="14" fillId="0" borderId="0" xfId="0" applyFont="1"/>
    <xf numFmtId="0" fontId="9" fillId="0" borderId="0" xfId="6"/>
    <xf numFmtId="0" fontId="9" fillId="0" borderId="0" xfId="6" applyFill="1"/>
    <xf numFmtId="2" fontId="16" fillId="0" borderId="3" xfId="6" applyNumberFormat="1" applyFont="1" applyFill="1" applyBorder="1" applyAlignment="1">
      <alignment horizontal="center" vertical="center" wrapText="1"/>
    </xf>
    <xf numFmtId="0" fontId="9" fillId="0" borderId="3" xfId="6" applyFill="1" applyBorder="1" applyAlignment="1">
      <alignment horizontal="center" vertical="center" wrapText="1"/>
    </xf>
    <xf numFmtId="0" fontId="12" fillId="0" borderId="3" xfId="6" applyFont="1" applyFill="1" applyBorder="1" applyAlignment="1">
      <alignment horizontal="center" vertical="center" wrapText="1"/>
    </xf>
    <xf numFmtId="0" fontId="0" fillId="0" borderId="1" xfId="0" applyBorder="1"/>
    <xf numFmtId="164" fontId="0" fillId="0" borderId="1" xfId="1" applyNumberFormat="1" applyFont="1" applyBorder="1"/>
    <xf numFmtId="164" fontId="0" fillId="4" borderId="1" xfId="1" applyNumberFormat="1" applyFont="1" applyFill="1" applyBorder="1"/>
    <xf numFmtId="164" fontId="0" fillId="4" borderId="0" xfId="0" applyNumberFormat="1" applyFill="1"/>
    <xf numFmtId="44" fontId="0" fillId="4" borderId="0" xfId="2" applyFont="1" applyFill="1"/>
    <xf numFmtId="0" fontId="5" fillId="6" borderId="1" xfId="0" applyFont="1" applyFill="1" applyBorder="1" applyAlignment="1">
      <alignment wrapText="1"/>
    </xf>
    <xf numFmtId="0" fontId="17" fillId="6" borderId="1" xfId="5" applyFont="1" applyFill="1" applyBorder="1" applyAlignment="1">
      <alignment wrapText="1" readingOrder="1"/>
    </xf>
    <xf numFmtId="0" fontId="17" fillId="6" borderId="2" xfId="5" applyFont="1" applyFill="1" applyBorder="1" applyAlignment="1">
      <alignment wrapText="1" readingOrder="1"/>
    </xf>
    <xf numFmtId="0" fontId="0" fillId="7" borderId="1" xfId="0" applyFill="1" applyBorder="1"/>
    <xf numFmtId="0" fontId="0" fillId="9" borderId="1" xfId="0" applyFill="1" applyBorder="1"/>
    <xf numFmtId="0" fontId="5" fillId="6" borderId="0" xfId="0" applyFont="1" applyFill="1"/>
    <xf numFmtId="1" fontId="0" fillId="9" borderId="1" xfId="0" applyNumberFormat="1" applyFill="1" applyBorder="1"/>
    <xf numFmtId="0" fontId="5" fillId="6" borderId="0" xfId="0" applyFont="1" applyFill="1" applyAlignment="1">
      <alignment wrapText="1"/>
    </xf>
    <xf numFmtId="0" fontId="18" fillId="0" borderId="0" xfId="0" applyFont="1"/>
    <xf numFmtId="0" fontId="18" fillId="0" borderId="0" xfId="0" applyFont="1" applyAlignment="1">
      <alignment wrapText="1"/>
    </xf>
    <xf numFmtId="166" fontId="0" fillId="0" borderId="1" xfId="0" applyNumberFormat="1" applyBorder="1"/>
    <xf numFmtId="1" fontId="0" fillId="0" borderId="1" xfId="0" applyNumberFormat="1" applyBorder="1"/>
    <xf numFmtId="165" fontId="0" fillId="0" borderId="1" xfId="2" applyNumberFormat="1" applyFont="1" applyBorder="1"/>
    <xf numFmtId="164" fontId="0" fillId="0" borderId="1" xfId="0" applyNumberFormat="1" applyBorder="1"/>
    <xf numFmtId="0" fontId="0" fillId="0" borderId="0" xfId="0" applyFill="1" applyBorder="1" applyAlignment="1">
      <alignment horizontal="right"/>
    </xf>
    <xf numFmtId="164" fontId="0" fillId="0" borderId="0" xfId="1" applyNumberFormat="1" applyFont="1" applyFill="1" applyBorder="1"/>
    <xf numFmtId="0" fontId="0" fillId="0" borderId="0" xfId="0" applyFill="1" applyBorder="1"/>
    <xf numFmtId="1" fontId="0" fillId="0" borderId="0" xfId="0" applyNumberFormat="1" applyFill="1" applyBorder="1"/>
    <xf numFmtId="164" fontId="0" fillId="9" borderId="1" xfId="1" applyNumberFormat="1" applyFont="1" applyFill="1" applyBorder="1"/>
    <xf numFmtId="9" fontId="0" fillId="4" borderId="1" xfId="0" applyNumberFormat="1" applyFill="1" applyBorder="1"/>
    <xf numFmtId="9" fontId="0" fillId="0" borderId="1" xfId="0" applyNumberFormat="1" applyBorder="1"/>
    <xf numFmtId="0" fontId="17" fillId="6" borderId="5" xfId="5" applyFont="1" applyFill="1" applyBorder="1" applyAlignment="1">
      <alignment wrapText="1" readingOrder="1"/>
    </xf>
    <xf numFmtId="9" fontId="0" fillId="0" borderId="1" xfId="3" applyNumberFormat="1" applyFont="1" applyBorder="1"/>
    <xf numFmtId="9" fontId="0" fillId="0" borderId="0" xfId="3" applyFont="1" applyFill="1" applyBorder="1"/>
    <xf numFmtId="9" fontId="0" fillId="0" borderId="0" xfId="3" applyFont="1" applyAlignment="1">
      <alignment horizontal="right"/>
    </xf>
    <xf numFmtId="44" fontId="0" fillId="0" borderId="1" xfId="2" applyFont="1" applyBorder="1"/>
    <xf numFmtId="0" fontId="14" fillId="0" borderId="0" xfId="0" applyFont="1" applyAlignment="1">
      <alignment wrapText="1"/>
    </xf>
    <xf numFmtId="168" fontId="0" fillId="0" borderId="1" xfId="0" applyNumberFormat="1" applyBorder="1"/>
    <xf numFmtId="0" fontId="0" fillId="0" borderId="0" xfId="0" applyAlignment="1">
      <alignment horizontal="center"/>
    </xf>
    <xf numFmtId="2" fontId="0" fillId="4" borderId="1" xfId="0" applyNumberFormat="1" applyFill="1" applyBorder="1"/>
    <xf numFmtId="165" fontId="0" fillId="4" borderId="1" xfId="2" applyNumberFormat="1" applyFont="1" applyFill="1" applyBorder="1"/>
    <xf numFmtId="44" fontId="0" fillId="0" borderId="1" xfId="0" applyNumberFormat="1" applyBorder="1"/>
    <xf numFmtId="165" fontId="0" fillId="0" borderId="1" xfId="0" applyNumberFormat="1" applyBorder="1"/>
    <xf numFmtId="0" fontId="20" fillId="0" borderId="0" xfId="7" applyFont="1"/>
    <xf numFmtId="0" fontId="21" fillId="0" borderId="0" xfId="8" applyFont="1"/>
    <xf numFmtId="0" fontId="12" fillId="0" borderId="0" xfId="7" applyFont="1"/>
    <xf numFmtId="5" fontId="12" fillId="0" borderId="0" xfId="7" applyNumberFormat="1" applyFont="1"/>
    <xf numFmtId="166" fontId="12" fillId="0" borderId="0" xfId="7" applyNumberFormat="1" applyFont="1"/>
    <xf numFmtId="166" fontId="21" fillId="0" borderId="0" xfId="7" applyNumberFormat="1" applyFont="1"/>
    <xf numFmtId="0" fontId="12" fillId="0" borderId="0" xfId="7" applyFont="1" applyFill="1"/>
    <xf numFmtId="169" fontId="12" fillId="0" borderId="0" xfId="7" applyNumberFormat="1" applyFont="1"/>
    <xf numFmtId="0" fontId="20" fillId="0" borderId="0" xfId="7" applyFont="1" applyAlignment="1">
      <alignment horizontal="left"/>
    </xf>
    <xf numFmtId="0" fontId="0" fillId="0" borderId="0" xfId="0">
      <alignment readingOrder="1"/>
    </xf>
    <xf numFmtId="170" fontId="0" fillId="0" borderId="0" xfId="0" applyNumberFormat="1" applyAlignment="1">
      <alignment horizontal="center" readingOrder="1"/>
    </xf>
    <xf numFmtId="167" fontId="0" fillId="0" borderId="0" xfId="0" applyNumberFormat="1" applyAlignment="1">
      <alignment horizontal="center" readingOrder="1"/>
    </xf>
    <xf numFmtId="0" fontId="12" fillId="0" borderId="0" xfId="0" applyFont="1">
      <alignment readingOrder="1"/>
    </xf>
    <xf numFmtId="0" fontId="12" fillId="0" borderId="0" xfId="7" applyFont="1" applyAlignment="1">
      <alignment horizontal="center"/>
    </xf>
    <xf numFmtId="0" fontId="22" fillId="10" borderId="6" xfId="7" applyFont="1" applyFill="1" applyBorder="1" applyAlignment="1">
      <alignment horizontal="centerContinuous"/>
    </xf>
    <xf numFmtId="0" fontId="23" fillId="10" borderId="6" xfId="7" applyFont="1" applyFill="1" applyBorder="1" applyAlignment="1">
      <alignment horizontal="centerContinuous"/>
    </xf>
    <xf numFmtId="0" fontId="23" fillId="10" borderId="3" xfId="7" applyFont="1" applyFill="1" applyBorder="1" applyAlignment="1">
      <alignment horizontal="centerContinuous"/>
    </xf>
    <xf numFmtId="0" fontId="24" fillId="10" borderId="7" xfId="7" applyFont="1" applyFill="1" applyBorder="1" applyAlignment="1">
      <alignment horizontal="centerContinuous"/>
    </xf>
    <xf numFmtId="0" fontId="23" fillId="13" borderId="7" xfId="7" applyFont="1" applyFill="1" applyBorder="1" applyAlignment="1">
      <alignment horizontal="center"/>
    </xf>
    <xf numFmtId="0" fontId="23" fillId="0" borderId="0" xfId="7" applyFont="1" applyFill="1" applyBorder="1" applyAlignment="1">
      <alignment horizontal="centerContinuous"/>
    </xf>
    <xf numFmtId="0" fontId="24" fillId="0" borderId="0" xfId="7" applyFont="1" applyFill="1" applyBorder="1" applyAlignment="1">
      <alignment horizontal="centerContinuous"/>
    </xf>
    <xf numFmtId="0" fontId="16" fillId="0" borderId="0" xfId="7" applyFont="1" applyFill="1" applyBorder="1" applyAlignment="1">
      <alignment horizontal="centerContinuous"/>
    </xf>
    <xf numFmtId="0" fontId="12" fillId="0" borderId="0" xfId="7" applyFont="1" applyFill="1" applyBorder="1"/>
    <xf numFmtId="0" fontId="16" fillId="15" borderId="1" xfId="7" applyFont="1" applyFill="1" applyBorder="1" applyAlignment="1">
      <alignment horizontal="center" wrapText="1"/>
    </xf>
    <xf numFmtId="0" fontId="16" fillId="15" borderId="9" xfId="7" applyFont="1" applyFill="1" applyBorder="1" applyAlignment="1">
      <alignment horizontal="center" wrapText="1"/>
    </xf>
    <xf numFmtId="0" fontId="16" fillId="15" borderId="4" xfId="7" applyFont="1" applyFill="1" applyBorder="1" applyAlignment="1">
      <alignment horizontal="center" wrapText="1"/>
    </xf>
    <xf numFmtId="0" fontId="16" fillId="15" borderId="4" xfId="0" applyFont="1" applyFill="1" applyBorder="1" applyAlignment="1">
      <alignment horizontal="center" wrapText="1"/>
    </xf>
    <xf numFmtId="0" fontId="16" fillId="8" borderId="7" xfId="7" applyFont="1" applyFill="1" applyBorder="1" applyAlignment="1">
      <alignment horizontal="center" wrapText="1"/>
    </xf>
    <xf numFmtId="0" fontId="16" fillId="8" borderId="1" xfId="7" applyFont="1" applyFill="1" applyBorder="1" applyAlignment="1">
      <alignment horizontal="center" wrapText="1"/>
    </xf>
    <xf numFmtId="0" fontId="16" fillId="0" borderId="0" xfId="7" applyFont="1" applyFill="1" applyBorder="1" applyAlignment="1">
      <alignment horizontal="center" wrapText="1"/>
    </xf>
    <xf numFmtId="166" fontId="0" fillId="0" borderId="0" xfId="0" applyNumberFormat="1"/>
    <xf numFmtId="0" fontId="27" fillId="16" borderId="2" xfId="0" applyFont="1" applyFill="1" applyBorder="1" applyAlignment="1">
      <alignment horizontal="left" readingOrder="1"/>
    </xf>
    <xf numFmtId="0" fontId="27" fillId="16" borderId="7" xfId="0" applyFont="1" applyFill="1" applyBorder="1" applyAlignment="1">
      <alignment horizontal="center" wrapText="1" readingOrder="1"/>
    </xf>
    <xf numFmtId="166" fontId="0" fillId="0" borderId="0" xfId="0" applyNumberFormat="1">
      <alignment readingOrder="1"/>
    </xf>
    <xf numFmtId="0" fontId="16" fillId="17" borderId="1" xfId="0" applyFont="1" applyFill="1" applyBorder="1" applyAlignment="1">
      <alignment horizontal="center" wrapText="1" readingOrder="1"/>
    </xf>
    <xf numFmtId="0" fontId="16" fillId="17" borderId="7" xfId="0" applyFont="1" applyFill="1" applyBorder="1" applyAlignment="1">
      <alignment horizontal="center" wrapText="1" readingOrder="1"/>
    </xf>
    <xf numFmtId="166" fontId="16" fillId="17" borderId="7" xfId="0" applyNumberFormat="1" applyFont="1" applyFill="1" applyBorder="1" applyAlignment="1">
      <alignment horizontal="center" wrapText="1" readingOrder="1"/>
    </xf>
    <xf numFmtId="166" fontId="16" fillId="17" borderId="10" xfId="0" applyNumberFormat="1" applyFont="1" applyFill="1" applyBorder="1" applyAlignment="1">
      <alignment horizontal="centerContinuous" wrapText="1" readingOrder="1"/>
    </xf>
    <xf numFmtId="166" fontId="16" fillId="17" borderId="11" xfId="0" applyNumberFormat="1" applyFont="1" applyFill="1" applyBorder="1" applyAlignment="1">
      <alignment horizontal="centerContinuous" wrapText="1" readingOrder="1"/>
    </xf>
    <xf numFmtId="166" fontId="16" fillId="17" borderId="12" xfId="0" applyNumberFormat="1" applyFont="1" applyFill="1" applyBorder="1" applyAlignment="1">
      <alignment horizontal="centerContinuous" wrapText="1" readingOrder="1"/>
    </xf>
    <xf numFmtId="0" fontId="16" fillId="18" borderId="1" xfId="0" applyFont="1" applyFill="1" applyBorder="1" applyAlignment="1">
      <alignment horizontal="center" wrapText="1" readingOrder="1"/>
    </xf>
    <xf numFmtId="0" fontId="16" fillId="18" borderId="7" xfId="0" applyFont="1" applyFill="1" applyBorder="1" applyAlignment="1">
      <alignment horizontal="center" wrapText="1" readingOrder="1"/>
    </xf>
    <xf numFmtId="166" fontId="16" fillId="18" borderId="7" xfId="0" applyNumberFormat="1" applyFont="1" applyFill="1" applyBorder="1" applyAlignment="1">
      <alignment horizontal="center" wrapText="1" readingOrder="1"/>
    </xf>
    <xf numFmtId="1" fontId="0" fillId="0" borderId="0" xfId="0" applyNumberFormat="1">
      <alignment readingOrder="1"/>
    </xf>
    <xf numFmtId="166" fontId="28" fillId="0" borderId="0" xfId="0" applyNumberFormat="1" applyFont="1">
      <alignment readingOrder="1"/>
    </xf>
    <xf numFmtId="0" fontId="27" fillId="19" borderId="2" xfId="0" applyFont="1" applyFill="1" applyBorder="1" applyAlignment="1">
      <alignment horizontal="left" wrapText="1" readingOrder="1"/>
    </xf>
    <xf numFmtId="0" fontId="27" fillId="19" borderId="7" xfId="0" applyFont="1" applyFill="1" applyBorder="1" applyAlignment="1">
      <alignment horizontal="center" wrapText="1" readingOrder="1"/>
    </xf>
    <xf numFmtId="0" fontId="27" fillId="16" borderId="8" xfId="0" applyFont="1" applyFill="1" applyBorder="1" applyAlignment="1">
      <alignment horizontal="center" wrapText="1" readingOrder="1"/>
    </xf>
    <xf numFmtId="0" fontId="0" fillId="0" borderId="13" xfId="0" applyBorder="1">
      <alignment readingOrder="1"/>
    </xf>
    <xf numFmtId="0" fontId="0" fillId="0" borderId="14" xfId="0" applyBorder="1">
      <alignment readingOrder="1"/>
    </xf>
    <xf numFmtId="0" fontId="0" fillId="0" borderId="15" xfId="0" applyBorder="1">
      <alignment readingOrder="1"/>
    </xf>
    <xf numFmtId="0" fontId="0" fillId="0" borderId="16" xfId="0" applyBorder="1">
      <alignment readingOrder="1"/>
    </xf>
    <xf numFmtId="0" fontId="0" fillId="0" borderId="0" xfId="0" applyBorder="1">
      <alignment readingOrder="1"/>
    </xf>
    <xf numFmtId="0" fontId="0" fillId="0" borderId="17" xfId="0" applyBorder="1">
      <alignment readingOrder="1"/>
    </xf>
    <xf numFmtId="0" fontId="0" fillId="0" borderId="18" xfId="0" applyBorder="1">
      <alignment readingOrder="1"/>
    </xf>
    <xf numFmtId="0" fontId="0" fillId="0" borderId="19" xfId="0" applyBorder="1">
      <alignment readingOrder="1"/>
    </xf>
    <xf numFmtId="0" fontId="0" fillId="0" borderId="20" xfId="0" applyBorder="1">
      <alignment readingOrder="1"/>
    </xf>
    <xf numFmtId="0" fontId="16" fillId="20" borderId="21" xfId="0" applyFont="1" applyFill="1" applyBorder="1" applyAlignment="1">
      <alignment horizontal="centerContinuous" wrapText="1" readingOrder="1"/>
    </xf>
    <xf numFmtId="0" fontId="16" fillId="20" borderId="12" xfId="0" applyFont="1" applyFill="1" applyBorder="1" applyAlignment="1">
      <alignment horizontal="centerContinuous" wrapText="1" readingOrder="1"/>
    </xf>
    <xf numFmtId="166" fontId="16" fillId="20" borderId="21" xfId="0" applyNumberFormat="1" applyFont="1" applyFill="1" applyBorder="1" applyAlignment="1">
      <alignment horizontal="centerContinuous" wrapText="1" readingOrder="1"/>
    </xf>
    <xf numFmtId="166" fontId="16" fillId="20" borderId="22" xfId="0" applyNumberFormat="1" applyFont="1" applyFill="1" applyBorder="1" applyAlignment="1">
      <alignment horizontal="centerContinuous" wrapText="1" readingOrder="1"/>
    </xf>
    <xf numFmtId="166" fontId="16" fillId="20" borderId="12" xfId="0" applyNumberFormat="1" applyFont="1" applyFill="1" applyBorder="1" applyAlignment="1">
      <alignment horizontal="centerContinuous" wrapText="1" readingOrder="1"/>
    </xf>
    <xf numFmtId="166" fontId="16" fillId="20" borderId="8" xfId="0" applyNumberFormat="1" applyFont="1" applyFill="1" applyBorder="1" applyAlignment="1">
      <alignment horizontal="center" wrapText="1" readingOrder="1"/>
    </xf>
    <xf numFmtId="171" fontId="16" fillId="18" borderId="7" xfId="0" applyNumberFormat="1" applyFont="1" applyFill="1" applyBorder="1" applyAlignment="1">
      <alignment horizontal="center" wrapText="1" readingOrder="1"/>
    </xf>
    <xf numFmtId="166" fontId="24" fillId="0" borderId="0" xfId="0" applyNumberFormat="1" applyFont="1">
      <alignment readingOrder="1"/>
    </xf>
    <xf numFmtId="0" fontId="16" fillId="17" borderId="21" xfId="0" applyFont="1" applyFill="1" applyBorder="1" applyAlignment="1">
      <alignment horizontal="centerContinuous" wrapText="1" readingOrder="1"/>
    </xf>
    <xf numFmtId="0" fontId="16" fillId="17" borderId="22" xfId="0" applyFont="1" applyFill="1" applyBorder="1" applyAlignment="1">
      <alignment horizontal="centerContinuous" wrapText="1" readingOrder="1"/>
    </xf>
    <xf numFmtId="166" fontId="16" fillId="17" borderId="22" xfId="0" applyNumberFormat="1" applyFont="1" applyFill="1" applyBorder="1" applyAlignment="1">
      <alignment horizontal="centerContinuous" wrapText="1" readingOrder="1"/>
    </xf>
    <xf numFmtId="166" fontId="16" fillId="17" borderId="8" xfId="0" applyNumberFormat="1" applyFont="1" applyFill="1" applyBorder="1" applyAlignment="1">
      <alignment horizontal="center" wrapText="1" readingOrder="1"/>
    </xf>
    <xf numFmtId="166" fontId="16" fillId="17" borderId="21" xfId="0" applyNumberFormat="1" applyFont="1" applyFill="1" applyBorder="1" applyAlignment="1">
      <alignment horizontal="centerContinuous" wrapText="1" readingOrder="1"/>
    </xf>
    <xf numFmtId="0" fontId="15" fillId="0" borderId="0" xfId="0" applyFont="1">
      <alignment readingOrder="1"/>
    </xf>
    <xf numFmtId="172" fontId="15" fillId="0" borderId="0" xfId="0" applyNumberFormat="1" applyFont="1">
      <alignment readingOrder="1"/>
    </xf>
    <xf numFmtId="172" fontId="0" fillId="0" borderId="0" xfId="0" applyNumberFormat="1">
      <alignment readingOrder="1"/>
    </xf>
    <xf numFmtId="172" fontId="28" fillId="0" borderId="0" xfId="0" applyNumberFormat="1" applyFont="1">
      <alignment readingOrder="1"/>
    </xf>
    <xf numFmtId="0" fontId="0" fillId="21" borderId="0" xfId="0" applyFill="1" applyBorder="1" applyAlignment="1">
      <alignment wrapText="1"/>
    </xf>
    <xf numFmtId="0" fontId="0" fillId="21" borderId="0" xfId="0" applyFill="1" applyAlignment="1">
      <alignment wrapText="1"/>
    </xf>
    <xf numFmtId="0" fontId="11" fillId="0" borderId="0" xfId="0" applyFont="1" applyBorder="1"/>
    <xf numFmtId="1" fontId="11" fillId="0" borderId="0" xfId="2" applyNumberFormat="1" applyFont="1"/>
    <xf numFmtId="165" fontId="9" fillId="0" borderId="0" xfId="2" applyNumberFormat="1" applyFont="1"/>
    <xf numFmtId="165" fontId="11" fillId="0" borderId="0" xfId="2" applyNumberFormat="1" applyFont="1"/>
    <xf numFmtId="164" fontId="11" fillId="0" borderId="0" xfId="1" applyNumberFormat="1" applyFont="1" applyBorder="1"/>
    <xf numFmtId="0" fontId="0" fillId="0" borderId="0" xfId="0" applyBorder="1"/>
    <xf numFmtId="44" fontId="0" fillId="0" borderId="0" xfId="2" applyFont="1" applyBorder="1"/>
    <xf numFmtId="0" fontId="10" fillId="0" borderId="0" xfId="4" applyBorder="1" applyAlignment="1" applyProtection="1"/>
    <xf numFmtId="1" fontId="0" fillId="0" borderId="0" xfId="0" applyNumberFormat="1" applyBorder="1"/>
    <xf numFmtId="44" fontId="9" fillId="0" borderId="0" xfId="2" applyFont="1" applyBorder="1"/>
    <xf numFmtId="0" fontId="4" fillId="0" borderId="0" xfId="0" applyFont="1"/>
    <xf numFmtId="44" fontId="4" fillId="0" borderId="0" xfId="2" applyFont="1"/>
    <xf numFmtId="0" fontId="29" fillId="0" borderId="0" xfId="4" applyFont="1" applyAlignment="1" applyProtection="1"/>
    <xf numFmtId="164" fontId="4" fillId="0" borderId="0" xfId="1" applyNumberFormat="1" applyFont="1"/>
    <xf numFmtId="164" fontId="4" fillId="0" borderId="0" xfId="0" applyNumberFormat="1" applyFont="1"/>
    <xf numFmtId="0" fontId="0" fillId="4" borderId="0" xfId="0" applyFill="1"/>
    <xf numFmtId="164" fontId="4" fillId="4" borderId="0" xfId="0" applyNumberFormat="1" applyFont="1" applyFill="1"/>
    <xf numFmtId="44" fontId="4" fillId="4" borderId="0" xfId="2" applyFont="1" applyFill="1"/>
    <xf numFmtId="1" fontId="30" fillId="0" borderId="1" xfId="0" applyNumberFormat="1" applyFont="1" applyBorder="1"/>
    <xf numFmtId="166" fontId="15" fillId="0" borderId="0" xfId="0" applyNumberFormat="1" applyFont="1">
      <alignment readingOrder="1"/>
    </xf>
    <xf numFmtId="164" fontId="4" fillId="0" borderId="0" xfId="0" applyNumberFormat="1" applyFont="1" applyFill="1"/>
    <xf numFmtId="164" fontId="4" fillId="0" borderId="0" xfId="0" applyNumberFormat="1" applyFont="1" applyFill="1" applyBorder="1"/>
    <xf numFmtId="0" fontId="0" fillId="0" borderId="0" xfId="0" applyFill="1"/>
    <xf numFmtId="44" fontId="4" fillId="4" borderId="0" xfId="0" applyNumberFormat="1" applyFont="1" applyFill="1"/>
    <xf numFmtId="0" fontId="14" fillId="0" borderId="0" xfId="0" applyFont="1" applyFill="1" applyBorder="1"/>
    <xf numFmtId="0" fontId="14" fillId="0" borderId="0" xfId="0" applyFont="1" applyFill="1" applyBorder="1" applyAlignment="1">
      <alignment horizontal="right"/>
    </xf>
    <xf numFmtId="43" fontId="0" fillId="0" borderId="0" xfId="0" applyNumberFormat="1" applyFill="1" applyBorder="1"/>
    <xf numFmtId="0" fontId="12" fillId="0" borderId="0" xfId="6" applyFont="1" applyFill="1" applyBorder="1" applyAlignment="1">
      <alignment horizontal="center" vertical="center" wrapText="1"/>
    </xf>
    <xf numFmtId="2" fontId="16" fillId="0" borderId="0" xfId="6" applyNumberFormat="1" applyFont="1" applyFill="1" applyBorder="1" applyAlignment="1">
      <alignment horizontal="center" vertical="center" wrapText="1"/>
    </xf>
    <xf numFmtId="0" fontId="9" fillId="0" borderId="0" xfId="6" applyFill="1" applyBorder="1" applyAlignment="1">
      <alignment horizontal="center" vertical="center" wrapText="1"/>
    </xf>
    <xf numFmtId="0" fontId="0" fillId="0" borderId="0" xfId="0" applyFill="1" applyBorder="1" applyAlignment="1">
      <alignment horizontal="center" wrapText="1"/>
    </xf>
    <xf numFmtId="44" fontId="0" fillId="0" borderId="0" xfId="2" applyNumberFormat="1" applyFont="1" applyFill="1" applyBorder="1"/>
    <xf numFmtId="164" fontId="0" fillId="0" borderId="0" xfId="0" applyNumberFormat="1" applyFill="1" applyBorder="1"/>
    <xf numFmtId="44" fontId="0" fillId="0" borderId="0" xfId="2" applyFont="1" applyFill="1" applyBorder="1"/>
    <xf numFmtId="0" fontId="11" fillId="0" borderId="0" xfId="6" applyFont="1" applyFill="1" applyBorder="1" applyAlignment="1"/>
    <xf numFmtId="0" fontId="0" fillId="0" borderId="0" xfId="0" applyFill="1" applyBorder="1" applyAlignment="1">
      <alignment vertical="center"/>
    </xf>
    <xf numFmtId="0" fontId="12" fillId="0" borderId="1" xfId="6" applyFont="1" applyFill="1" applyBorder="1" applyAlignment="1">
      <alignment horizontal="center" vertical="center" wrapText="1"/>
    </xf>
    <xf numFmtId="0" fontId="9" fillId="0" borderId="1" xfId="6" applyFill="1" applyBorder="1" applyAlignment="1">
      <alignment horizontal="center" vertical="center" wrapText="1"/>
    </xf>
    <xf numFmtId="0" fontId="0" fillId="4" borderId="1" xfId="0" applyFill="1" applyBorder="1"/>
    <xf numFmtId="166" fontId="0" fillId="4" borderId="1" xfId="0" applyNumberFormat="1" applyFill="1" applyBorder="1"/>
    <xf numFmtId="0" fontId="32" fillId="0" borderId="0" xfId="9" applyFont="1"/>
    <xf numFmtId="0" fontId="2" fillId="0" borderId="0" xfId="9"/>
    <xf numFmtId="164" fontId="2" fillId="21" borderId="0" xfId="9" applyNumberFormat="1" applyFill="1"/>
    <xf numFmtId="0" fontId="2" fillId="21" borderId="0" xfId="9" applyFill="1"/>
    <xf numFmtId="0" fontId="4" fillId="22" borderId="0" xfId="9" applyFont="1" applyFill="1"/>
    <xf numFmtId="0" fontId="4" fillId="22" borderId="23" xfId="9" applyFont="1" applyFill="1" applyBorder="1"/>
    <xf numFmtId="0" fontId="4" fillId="22" borderId="23" xfId="9" applyFont="1" applyFill="1" applyBorder="1" applyAlignment="1">
      <alignment wrapText="1"/>
    </xf>
    <xf numFmtId="164" fontId="4" fillId="22" borderId="23" xfId="9" applyNumberFormat="1" applyFont="1" applyFill="1" applyBorder="1" applyAlignment="1">
      <alignment wrapText="1"/>
    </xf>
    <xf numFmtId="0" fontId="2" fillId="0" borderId="0" xfId="9" applyAlignment="1">
      <alignment horizontal="left"/>
    </xf>
    <xf numFmtId="164" fontId="2" fillId="0" borderId="0" xfId="9" applyNumberFormat="1"/>
    <xf numFmtId="43" fontId="2" fillId="0" borderId="0" xfId="9" applyNumberFormat="1"/>
    <xf numFmtId="164" fontId="2" fillId="0" borderId="0" xfId="9" applyNumberFormat="1" applyAlignment="1">
      <alignment wrapText="1"/>
    </xf>
    <xf numFmtId="0" fontId="2" fillId="0" borderId="0" xfId="9" applyAlignment="1">
      <alignment wrapText="1"/>
    </xf>
    <xf numFmtId="164" fontId="4" fillId="0" borderId="23" xfId="9" applyNumberFormat="1" applyFont="1" applyBorder="1" applyAlignment="1">
      <alignment horizontal="left"/>
    </xf>
    <xf numFmtId="164" fontId="4" fillId="0" borderId="23" xfId="9" applyNumberFormat="1" applyFont="1" applyBorder="1"/>
    <xf numFmtId="173" fontId="4" fillId="0" borderId="23" xfId="9" applyNumberFormat="1" applyFont="1" applyBorder="1"/>
    <xf numFmtId="164" fontId="2" fillId="0" borderId="0" xfId="9" applyNumberFormat="1" applyAlignment="1">
      <alignment horizontal="left" indent="1"/>
    </xf>
    <xf numFmtId="173" fontId="2" fillId="0" borderId="0" xfId="9" applyNumberFormat="1"/>
    <xf numFmtId="0" fontId="33" fillId="0" borderId="0" xfId="9" applyFont="1"/>
    <xf numFmtId="173" fontId="2" fillId="23" borderId="1" xfId="9" applyNumberFormat="1" applyFill="1" applyBorder="1"/>
    <xf numFmtId="43" fontId="33" fillId="0" borderId="0" xfId="9" applyNumberFormat="1" applyFont="1"/>
    <xf numFmtId="0" fontId="4" fillId="22" borderId="24" xfId="9" applyFont="1" applyFill="1" applyBorder="1" applyAlignment="1">
      <alignment horizontal="left"/>
    </xf>
    <xf numFmtId="164" fontId="4" fillId="22" borderId="24" xfId="9" applyNumberFormat="1" applyFont="1" applyFill="1" applyBorder="1"/>
    <xf numFmtId="43" fontId="4" fillId="22" borderId="24" xfId="9" applyNumberFormat="1" applyFont="1" applyFill="1" applyBorder="1"/>
    <xf numFmtId="164" fontId="4" fillId="22" borderId="24" xfId="9" applyNumberFormat="1" applyFont="1" applyFill="1" applyBorder="1" applyAlignment="1">
      <alignment horizontal="left"/>
    </xf>
    <xf numFmtId="173" fontId="4" fillId="22" borderId="24" xfId="9" applyNumberFormat="1" applyFont="1" applyFill="1" applyBorder="1"/>
    <xf numFmtId="164" fontId="4" fillId="22" borderId="0" xfId="9" applyNumberFormat="1" applyFont="1" applyFill="1" applyAlignment="1">
      <alignment wrapText="1"/>
    </xf>
    <xf numFmtId="164" fontId="4" fillId="22" borderId="0" xfId="9" applyNumberFormat="1" applyFont="1" applyFill="1"/>
    <xf numFmtId="164" fontId="2" fillId="0" borderId="0" xfId="9" applyNumberFormat="1" applyAlignment="1">
      <alignment horizontal="left"/>
    </xf>
    <xf numFmtId="9" fontId="2" fillId="0" borderId="0" xfId="9" applyNumberFormat="1"/>
    <xf numFmtId="9" fontId="4" fillId="22" borderId="24" xfId="9" applyNumberFormat="1" applyFont="1" applyFill="1" applyBorder="1"/>
    <xf numFmtId="0" fontId="4" fillId="0" borderId="0" xfId="9" applyFont="1" applyFill="1" applyBorder="1"/>
    <xf numFmtId="174" fontId="2" fillId="0" borderId="0" xfId="9" applyNumberFormat="1" applyFill="1" applyBorder="1"/>
    <xf numFmtId="9" fontId="0" fillId="0" borderId="0" xfId="10" applyFont="1"/>
    <xf numFmtId="174" fontId="2" fillId="0" borderId="0" xfId="9" applyNumberFormat="1" applyFill="1"/>
    <xf numFmtId="0" fontId="34" fillId="0" borderId="0" xfId="9" applyFont="1"/>
    <xf numFmtId="174" fontId="4" fillId="0" borderId="0" xfId="9" applyNumberFormat="1" applyFont="1" applyFill="1" applyBorder="1"/>
    <xf numFmtId="0" fontId="2" fillId="21" borderId="0" xfId="9" applyFill="1" applyAlignment="1">
      <alignment horizontal="left"/>
    </xf>
    <xf numFmtId="164" fontId="4" fillId="22" borderId="23" xfId="11" applyNumberFormat="1" applyFont="1" applyFill="1" applyBorder="1" applyAlignment="1">
      <alignment wrapText="1"/>
    </xf>
    <xf numFmtId="0" fontId="15" fillId="24" borderId="3" xfId="0" applyFont="1" applyFill="1" applyBorder="1">
      <alignment readingOrder="1"/>
    </xf>
    <xf numFmtId="0" fontId="0" fillId="0" borderId="0" xfId="0" applyFill="1">
      <alignment readingOrder="1"/>
    </xf>
    <xf numFmtId="0" fontId="0" fillId="24" borderId="5" xfId="0" applyFill="1" applyBorder="1">
      <alignment readingOrder="1"/>
    </xf>
    <xf numFmtId="0" fontId="0" fillId="0" borderId="0" xfId="0" applyFill="1" applyAlignment="1">
      <alignment vertical="center" wrapText="1" readingOrder="1"/>
    </xf>
    <xf numFmtId="0" fontId="15" fillId="24" borderId="5" xfId="0" applyFont="1" applyFill="1" applyBorder="1">
      <alignment readingOrder="1"/>
    </xf>
    <xf numFmtId="49" fontId="0" fillId="24" borderId="9" xfId="0" quotePrefix="1" applyNumberFormat="1" applyFill="1" applyBorder="1">
      <alignment readingOrder="1"/>
    </xf>
    <xf numFmtId="0" fontId="0" fillId="24" borderId="8" xfId="0" applyNumberFormat="1" applyFill="1" applyBorder="1" applyAlignment="1">
      <alignment vertical="center" wrapText="1" readingOrder="1"/>
    </xf>
    <xf numFmtId="0" fontId="0" fillId="24" borderId="7" xfId="0" applyNumberFormat="1" applyFill="1" applyBorder="1" applyAlignment="1">
      <alignment vertical="center" wrapText="1" readingOrder="1"/>
    </xf>
    <xf numFmtId="0" fontId="0" fillId="24" borderId="29" xfId="0" applyNumberFormat="1" applyFill="1" applyBorder="1" applyAlignment="1">
      <alignment vertical="center" wrapText="1" readingOrder="1"/>
    </xf>
    <xf numFmtId="0" fontId="0" fillId="24" borderId="30" xfId="0" applyNumberFormat="1" applyFill="1" applyBorder="1" applyAlignment="1">
      <alignment vertical="center" wrapText="1" readingOrder="1"/>
    </xf>
    <xf numFmtId="0" fontId="0" fillId="21" borderId="6" xfId="0" applyFill="1" applyBorder="1">
      <alignment readingOrder="1"/>
    </xf>
    <xf numFmtId="0" fontId="0" fillId="21" borderId="0" xfId="0" applyFill="1">
      <alignment readingOrder="1"/>
    </xf>
    <xf numFmtId="0" fontId="17" fillId="25" borderId="0" xfId="0" applyFont="1" applyFill="1">
      <alignment readingOrder="1"/>
    </xf>
    <xf numFmtId="0" fontId="0" fillId="21" borderId="27" xfId="0" applyFill="1" applyBorder="1">
      <alignment readingOrder="1"/>
    </xf>
    <xf numFmtId="1" fontId="0" fillId="0" borderId="0" xfId="0" quotePrefix="1" applyNumberFormat="1">
      <alignment readingOrder="1"/>
    </xf>
    <xf numFmtId="0" fontId="31" fillId="0" borderId="0" xfId="0" applyFont="1">
      <alignment readingOrder="1"/>
    </xf>
    <xf numFmtId="0" fontId="0" fillId="21" borderId="0" xfId="0" applyFill="1" applyAlignment="1">
      <alignment vertical="center" wrapText="1" readingOrder="1"/>
    </xf>
    <xf numFmtId="0" fontId="0" fillId="0" borderId="0" xfId="0" quotePrefix="1">
      <alignment readingOrder="1"/>
    </xf>
    <xf numFmtId="0" fontId="0" fillId="21" borderId="9" xfId="0" applyFill="1" applyBorder="1">
      <alignment readingOrder="1"/>
    </xf>
    <xf numFmtId="0" fontId="0" fillId="26" borderId="0" xfId="0" applyFill="1">
      <alignment readingOrder="1"/>
    </xf>
    <xf numFmtId="0" fontId="0" fillId="24" borderId="0" xfId="0" applyFill="1">
      <alignment readingOrder="1"/>
    </xf>
    <xf numFmtId="9" fontId="0" fillId="26" borderId="0" xfId="0" applyNumberFormat="1" applyFill="1" applyAlignment="1">
      <alignment horizontal="center"/>
    </xf>
    <xf numFmtId="1" fontId="0" fillId="0" borderId="0" xfId="0" quotePrefix="1" applyNumberFormat="1" applyFill="1">
      <alignment readingOrder="1"/>
    </xf>
    <xf numFmtId="164" fontId="17" fillId="0" borderId="0" xfId="11" applyNumberFormat="1" applyFont="1" applyFill="1">
      <alignment readingOrder="1"/>
    </xf>
    <xf numFmtId="164" fontId="0" fillId="0" borderId="0" xfId="11" applyNumberFormat="1" applyFont="1">
      <alignment readingOrder="1"/>
    </xf>
    <xf numFmtId="164" fontId="0" fillId="0" borderId="0" xfId="11" applyNumberFormat="1" applyFont="1"/>
    <xf numFmtId="0" fontId="4" fillId="27" borderId="3" xfId="0" applyFont="1" applyFill="1" applyBorder="1"/>
    <xf numFmtId="0" fontId="4" fillId="21" borderId="1" xfId="0" applyFont="1" applyFill="1" applyBorder="1"/>
    <xf numFmtId="173" fontId="0" fillId="0" borderId="0" xfId="11" applyNumberFormat="1" applyFont="1">
      <alignment readingOrder="1"/>
    </xf>
    <xf numFmtId="9" fontId="30" fillId="0" borderId="0" xfId="12" applyFont="1" applyAlignment="1">
      <alignment horizontal="center" readingOrder="1"/>
    </xf>
    <xf numFmtId="164" fontId="0" fillId="27" borderId="0" xfId="0" applyNumberFormat="1" applyFill="1"/>
    <xf numFmtId="9" fontId="0" fillId="0" borderId="0" xfId="12" applyFont="1" applyAlignment="1">
      <alignment horizontal="center"/>
    </xf>
    <xf numFmtId="0" fontId="0" fillId="27" borderId="0" xfId="0" applyFill="1"/>
    <xf numFmtId="0" fontId="4" fillId="21" borderId="2" xfId="0" applyFont="1" applyFill="1" applyBorder="1"/>
    <xf numFmtId="0" fontId="11" fillId="0" borderId="0" xfId="0" applyFont="1"/>
    <xf numFmtId="0" fontId="4" fillId="27" borderId="1" xfId="0" applyFont="1" applyFill="1" applyBorder="1"/>
    <xf numFmtId="9" fontId="4" fillId="21" borderId="1" xfId="10" applyFont="1" applyFill="1" applyBorder="1"/>
    <xf numFmtId="173" fontId="0" fillId="0" borderId="0" xfId="0" applyNumberFormat="1"/>
    <xf numFmtId="43" fontId="0" fillId="0" borderId="0" xfId="0" applyNumberFormat="1"/>
    <xf numFmtId="0" fontId="0" fillId="0" borderId="0" xfId="0" applyFill="1" applyBorder="1">
      <alignment readingOrder="1"/>
    </xf>
    <xf numFmtId="0" fontId="4" fillId="21" borderId="6" xfId="0" applyFont="1" applyFill="1" applyBorder="1"/>
    <xf numFmtId="0" fontId="4" fillId="21" borderId="9" xfId="0" applyFont="1" applyFill="1" applyBorder="1"/>
    <xf numFmtId="1" fontId="30" fillId="0" borderId="0" xfId="0" applyNumberFormat="1" applyFont="1"/>
    <xf numFmtId="43" fontId="0" fillId="0" borderId="0" xfId="11" applyNumberFormat="1" applyFont="1">
      <alignment readingOrder="1"/>
    </xf>
    <xf numFmtId="175" fontId="0" fillId="0" borderId="0" xfId="0" applyNumberFormat="1"/>
    <xf numFmtId="164" fontId="0" fillId="0" borderId="0" xfId="11" applyNumberFormat="1" applyFont="1" applyFill="1">
      <alignment readingOrder="1"/>
    </xf>
    <xf numFmtId="1" fontId="30" fillId="0" borderId="0" xfId="0" applyNumberFormat="1" applyFont="1">
      <alignment readingOrder="1"/>
    </xf>
    <xf numFmtId="166" fontId="0" fillId="9" borderId="0" xfId="0" applyNumberFormat="1" applyFill="1" applyAlignment="1">
      <alignment horizontal="center" readingOrder="1"/>
    </xf>
    <xf numFmtId="0" fontId="4" fillId="24" borderId="1" xfId="0" applyFont="1" applyFill="1" applyBorder="1"/>
    <xf numFmtId="0" fontId="0" fillId="0" borderId="0" xfId="0" applyAlignment="1">
      <alignment horizontal="center" readingOrder="1"/>
    </xf>
    <xf numFmtId="0" fontId="0" fillId="28" borderId="0" xfId="0" applyFill="1">
      <alignment readingOrder="1"/>
    </xf>
    <xf numFmtId="0" fontId="0" fillId="21" borderId="0" xfId="0" applyFill="1" applyAlignment="1">
      <alignment horizontal="center" readingOrder="1"/>
    </xf>
    <xf numFmtId="168" fontId="0" fillId="0" borderId="0" xfId="0" applyNumberFormat="1">
      <alignment readingOrder="1"/>
    </xf>
    <xf numFmtId="1" fontId="0" fillId="28" borderId="0" xfId="0" applyNumberFormat="1" applyFill="1">
      <alignment readingOrder="1"/>
    </xf>
    <xf numFmtId="0" fontId="0" fillId="21" borderId="0" xfId="0" applyFill="1" applyAlignment="1">
      <alignment horizontal="right" readingOrder="1"/>
    </xf>
    <xf numFmtId="175" fontId="0" fillId="0" borderId="0" xfId="0" applyNumberFormat="1">
      <alignment readingOrder="1"/>
    </xf>
    <xf numFmtId="2" fontId="0" fillId="0" borderId="0" xfId="0" applyNumberFormat="1">
      <alignment readingOrder="1"/>
    </xf>
    <xf numFmtId="0" fontId="4" fillId="9" borderId="1" xfId="0" applyFont="1" applyFill="1" applyBorder="1"/>
    <xf numFmtId="166" fontId="4" fillId="9" borderId="1" xfId="0" applyNumberFormat="1" applyFont="1" applyFill="1" applyBorder="1"/>
    <xf numFmtId="166" fontId="0" fillId="9" borderId="1" xfId="0" applyNumberFormat="1" applyFill="1" applyBorder="1"/>
    <xf numFmtId="9" fontId="0" fillId="0" borderId="0" xfId="3" applyFont="1">
      <alignment readingOrder="1"/>
    </xf>
    <xf numFmtId="164" fontId="0" fillId="21" borderId="0" xfId="0" applyNumberFormat="1" applyFill="1"/>
    <xf numFmtId="0" fontId="0" fillId="21" borderId="0" xfId="0" applyFill="1"/>
    <xf numFmtId="164" fontId="4" fillId="22" borderId="23" xfId="0" applyNumberFormat="1" applyFont="1" applyFill="1" applyBorder="1" applyAlignment="1">
      <alignment wrapText="1"/>
    </xf>
    <xf numFmtId="164" fontId="4" fillId="22" borderId="23" xfId="0" applyNumberFormat="1" applyFont="1" applyFill="1" applyBorder="1"/>
    <xf numFmtId="164" fontId="0" fillId="0" borderId="0" xfId="0" applyNumberFormat="1" applyAlignment="1">
      <alignment horizontal="left"/>
    </xf>
    <xf numFmtId="9" fontId="0" fillId="0" borderId="0" xfId="0" applyNumberFormat="1"/>
    <xf numFmtId="164" fontId="4" fillId="22" borderId="24" xfId="0" applyNumberFormat="1" applyFont="1" applyFill="1" applyBorder="1" applyAlignment="1">
      <alignment horizontal="left"/>
    </xf>
    <xf numFmtId="9" fontId="4" fillId="22" borderId="24" xfId="0" applyNumberFormat="1" applyFont="1" applyFill="1" applyBorder="1"/>
    <xf numFmtId="9" fontId="2" fillId="29" borderId="1" xfId="9" applyNumberFormat="1" applyFill="1" applyBorder="1"/>
    <xf numFmtId="173" fontId="0" fillId="28" borderId="0" xfId="11" applyNumberFormat="1" applyFont="1" applyFill="1">
      <alignment readingOrder="1"/>
    </xf>
    <xf numFmtId="164" fontId="4" fillId="22" borderId="24" xfId="0" applyNumberFormat="1" applyFont="1" applyFill="1" applyBorder="1"/>
    <xf numFmtId="9" fontId="2" fillId="29" borderId="1" xfId="3" applyFont="1" applyFill="1" applyBorder="1"/>
    <xf numFmtId="43" fontId="4" fillId="22" borderId="24" xfId="0" applyNumberFormat="1" applyFont="1" applyFill="1" applyBorder="1"/>
    <xf numFmtId="43" fontId="2" fillId="29" borderId="1" xfId="9" applyNumberFormat="1" applyFill="1" applyBorder="1"/>
    <xf numFmtId="43" fontId="0" fillId="29" borderId="1" xfId="0" applyNumberFormat="1" applyFill="1" applyBorder="1"/>
    <xf numFmtId="2" fontId="2" fillId="0" borderId="0" xfId="9" applyNumberFormat="1"/>
    <xf numFmtId="166" fontId="2" fillId="0" borderId="0" xfId="9" applyNumberFormat="1"/>
    <xf numFmtId="164" fontId="4" fillId="0" borderId="23" xfId="0" applyNumberFormat="1" applyFont="1" applyBorder="1" applyAlignment="1">
      <alignment horizontal="left"/>
    </xf>
    <xf numFmtId="164" fontId="4" fillId="0" borderId="23" xfId="0" applyNumberFormat="1" applyFont="1" applyBorder="1"/>
    <xf numFmtId="164" fontId="0" fillId="0" borderId="0" xfId="0" applyNumberFormat="1" applyAlignment="1">
      <alignment horizontal="left" indent="1"/>
    </xf>
    <xf numFmtId="0" fontId="4" fillId="21" borderId="25" xfId="0" applyFont="1" applyFill="1" applyBorder="1"/>
    <xf numFmtId="0" fontId="4" fillId="21" borderId="26" xfId="0" applyFont="1" applyFill="1" applyBorder="1"/>
    <xf numFmtId="0" fontId="4" fillId="21" borderId="29" xfId="0" applyFont="1" applyFill="1" applyBorder="1"/>
    <xf numFmtId="0" fontId="4" fillId="21" borderId="30" xfId="0" applyFont="1" applyFill="1" applyBorder="1"/>
    <xf numFmtId="2" fontId="0" fillId="8" borderId="0" xfId="0" applyNumberFormat="1" applyFill="1" applyAlignment="1">
      <alignment horizontal="center" readingOrder="1"/>
    </xf>
    <xf numFmtId="1" fontId="0" fillId="8" borderId="0" xfId="0" applyNumberFormat="1" applyFill="1" applyAlignment="1">
      <alignment horizontal="center" readingOrder="1"/>
    </xf>
    <xf numFmtId="164" fontId="0" fillId="8" borderId="0" xfId="11" applyNumberFormat="1" applyFont="1" applyFill="1" applyAlignment="1">
      <alignment horizontal="center" readingOrder="1"/>
    </xf>
    <xf numFmtId="0" fontId="3" fillId="0" borderId="0" xfId="0" applyFont="1"/>
    <xf numFmtId="0" fontId="36" fillId="24" borderId="21" xfId="0" applyFont="1" applyFill="1" applyBorder="1"/>
    <xf numFmtId="0" fontId="36" fillId="24" borderId="22" xfId="0" applyFont="1" applyFill="1" applyBorder="1"/>
    <xf numFmtId="0" fontId="36" fillId="24" borderId="12" xfId="0" applyFont="1" applyFill="1" applyBorder="1"/>
    <xf numFmtId="0" fontId="37" fillId="21" borderId="4" xfId="13" applyFont="1" applyFill="1" applyBorder="1" applyAlignment="1">
      <alignment horizontal="left" vertical="center" wrapText="1"/>
    </xf>
    <xf numFmtId="0" fontId="37" fillId="21" borderId="1" xfId="13" applyFont="1" applyFill="1" applyBorder="1" applyAlignment="1">
      <alignment horizontal="left" vertical="center" wrapText="1"/>
    </xf>
    <xf numFmtId="0" fontId="30" fillId="0" borderId="1" xfId="13" applyNumberFormat="1" applyFont="1" applyFill="1" applyBorder="1" applyAlignment="1">
      <alignment horizontal="left" vertical="center" wrapText="1"/>
    </xf>
    <xf numFmtId="0" fontId="30" fillId="0" borderId="1" xfId="13" applyFont="1" applyFill="1" applyBorder="1" applyAlignment="1">
      <alignment horizontal="left" vertical="center" wrapText="1"/>
    </xf>
    <xf numFmtId="0" fontId="3" fillId="0" borderId="1" xfId="13" applyFont="1" applyFill="1" applyBorder="1" applyAlignment="1">
      <alignment horizontal="left" vertical="center" wrapText="1"/>
    </xf>
    <xf numFmtId="0" fontId="30" fillId="0" borderId="1" xfId="13" applyFont="1" applyBorder="1" applyAlignment="1">
      <alignment horizontal="left" vertical="center" wrapText="1" readingOrder="1"/>
    </xf>
    <xf numFmtId="0" fontId="30" fillId="0" borderId="1" xfId="13" applyNumberFormat="1" applyFont="1" applyBorder="1" applyAlignment="1">
      <alignment horizontal="left" vertical="center" wrapText="1" readingOrder="1"/>
    </xf>
    <xf numFmtId="0" fontId="30" fillId="0" borderId="1" xfId="13" applyFont="1" applyBorder="1" applyAlignment="1">
      <alignment vertical="center" wrapText="1" readingOrder="1"/>
    </xf>
    <xf numFmtId="0" fontId="30" fillId="0" borderId="1" xfId="13" applyFont="1" applyBorder="1" applyAlignment="1">
      <alignment wrapText="1" readingOrder="1"/>
    </xf>
    <xf numFmtId="0" fontId="30" fillId="0" borderId="1" xfId="13" applyNumberFormat="1" applyFont="1" applyBorder="1" applyAlignment="1">
      <alignment vertical="center" wrapText="1" readingOrder="1"/>
    </xf>
    <xf numFmtId="0" fontId="0" fillId="0" borderId="1" xfId="13" applyFont="1" applyFill="1" applyBorder="1" applyAlignment="1">
      <alignment horizontal="left" vertical="center" wrapText="1"/>
    </xf>
    <xf numFmtId="0" fontId="36" fillId="30" borderId="22" xfId="0" applyFont="1" applyFill="1" applyBorder="1"/>
    <xf numFmtId="0" fontId="17" fillId="25" borderId="26" xfId="0" applyFont="1" applyFill="1" applyBorder="1">
      <alignment readingOrder="1"/>
    </xf>
    <xf numFmtId="0" fontId="17" fillId="25" borderId="28" xfId="0" applyFont="1" applyFill="1" applyBorder="1">
      <alignment readingOrder="1"/>
    </xf>
    <xf numFmtId="0" fontId="30" fillId="0" borderId="0" xfId="0" applyFont="1">
      <alignment readingOrder="1"/>
    </xf>
    <xf numFmtId="1" fontId="11" fillId="9" borderId="29" xfId="0" applyNumberFormat="1" applyFont="1" applyFill="1" applyBorder="1" applyAlignment="1">
      <alignment horizontal="center" readingOrder="1"/>
    </xf>
    <xf numFmtId="0" fontId="38" fillId="31" borderId="0" xfId="0" applyFont="1" applyFill="1" applyBorder="1" applyAlignment="1">
      <alignment horizontal="center" wrapText="1"/>
    </xf>
    <xf numFmtId="0" fontId="39" fillId="0" borderId="0" xfId="0" applyFont="1"/>
    <xf numFmtId="176" fontId="39" fillId="0" borderId="0" xfId="0" applyNumberFormat="1" applyFont="1"/>
    <xf numFmtId="15" fontId="39" fillId="0" borderId="0" xfId="0" applyNumberFormat="1" applyFont="1"/>
    <xf numFmtId="0" fontId="12" fillId="0" borderId="0" xfId="0" applyFont="1"/>
    <xf numFmtId="0" fontId="0" fillId="21" borderId="29" xfId="0" applyFill="1" applyBorder="1">
      <alignment readingOrder="1"/>
    </xf>
    <xf numFmtId="0" fontId="35" fillId="24" borderId="6" xfId="0" applyNumberFormat="1" applyFont="1" applyFill="1" applyBorder="1" applyAlignment="1">
      <alignment horizontal="left" vertical="center" wrapText="1" readingOrder="1"/>
    </xf>
    <xf numFmtId="0" fontId="35" fillId="24" borderId="25" xfId="0" applyNumberFormat="1" applyFont="1" applyFill="1" applyBorder="1" applyAlignment="1">
      <alignment horizontal="left" vertical="center" wrapText="1" readingOrder="1"/>
    </xf>
    <xf numFmtId="0" fontId="35" fillId="24" borderId="26" xfId="0" applyNumberFormat="1" applyFont="1" applyFill="1" applyBorder="1" applyAlignment="1">
      <alignment horizontal="left" vertical="center" wrapText="1" readingOrder="1"/>
    </xf>
    <xf numFmtId="0" fontId="35" fillId="24" borderId="27" xfId="0" applyNumberFormat="1" applyFont="1" applyFill="1" applyBorder="1" applyAlignment="1">
      <alignment horizontal="left" vertical="center" wrapText="1" readingOrder="1"/>
    </xf>
    <xf numFmtId="0" fontId="35" fillId="24" borderId="0" xfId="0" applyNumberFormat="1" applyFont="1" applyFill="1" applyBorder="1" applyAlignment="1">
      <alignment horizontal="left" vertical="center" wrapText="1" readingOrder="1"/>
    </xf>
    <xf numFmtId="0" fontId="35" fillId="24" borderId="28" xfId="0" applyNumberFormat="1" applyFont="1" applyFill="1" applyBorder="1" applyAlignment="1">
      <alignment horizontal="left" vertical="center" wrapText="1" readingOrder="1"/>
    </xf>
    <xf numFmtId="0" fontId="35" fillId="24" borderId="29" xfId="0" applyNumberFormat="1" applyFont="1" applyFill="1" applyBorder="1" applyAlignment="1">
      <alignment horizontal="left" vertical="center" wrapText="1" readingOrder="1"/>
    </xf>
    <xf numFmtId="0" fontId="35" fillId="24" borderId="30" xfId="0" applyNumberFormat="1" applyFont="1" applyFill="1" applyBorder="1" applyAlignment="1">
      <alignment horizontal="left" vertical="center" wrapText="1" readingOrder="1"/>
    </xf>
    <xf numFmtId="0" fontId="16" fillId="11" borderId="2" xfId="7" applyFont="1" applyFill="1" applyBorder="1" applyAlignment="1">
      <alignment horizontal="center"/>
    </xf>
    <xf numFmtId="0" fontId="16" fillId="11" borderId="8" xfId="7" applyFont="1" applyFill="1" applyBorder="1" applyAlignment="1">
      <alignment horizontal="center"/>
    </xf>
    <xf numFmtId="0" fontId="16" fillId="11" borderId="7" xfId="7" applyFont="1" applyFill="1" applyBorder="1" applyAlignment="1">
      <alignment horizontal="center"/>
    </xf>
    <xf numFmtId="0" fontId="22" fillId="12" borderId="1" xfId="0" applyFont="1" applyFill="1" applyBorder="1" applyAlignment="1">
      <alignment horizontal="center"/>
    </xf>
    <xf numFmtId="0" fontId="15" fillId="0" borderId="1" xfId="0" applyFont="1" applyBorder="1" applyAlignment="1">
      <alignment horizontal="center"/>
    </xf>
    <xf numFmtId="0" fontId="15" fillId="14" borderId="1" xfId="7" applyFont="1" applyFill="1" applyBorder="1" applyAlignment="1">
      <alignment horizontal="center"/>
    </xf>
    <xf numFmtId="0" fontId="15" fillId="5" borderId="2" xfId="6" applyFont="1" applyFill="1" applyBorder="1" applyAlignment="1">
      <alignment horizontal="center"/>
    </xf>
    <xf numFmtId="0" fontId="15" fillId="5" borderId="8" xfId="6" applyFont="1" applyFill="1" applyBorder="1" applyAlignment="1">
      <alignment horizontal="center"/>
    </xf>
    <xf numFmtId="0" fontId="15" fillId="5" borderId="7" xfId="6" applyFont="1" applyFill="1" applyBorder="1" applyAlignment="1">
      <alignment horizontal="center"/>
    </xf>
    <xf numFmtId="0" fontId="15" fillId="0" borderId="1" xfId="6" applyFont="1" applyFill="1" applyBorder="1" applyAlignment="1">
      <alignment horizontal="center"/>
    </xf>
    <xf numFmtId="0" fontId="2" fillId="21" borderId="0" xfId="9" applyFill="1" applyAlignment="1">
      <alignment horizontal="center" wrapText="1"/>
    </xf>
  </cellXfs>
  <cellStyles count="197">
    <cellStyle name="20% - Accent1 2" xfId="18"/>
    <cellStyle name="20% - Accent1 2 2" xfId="19"/>
    <cellStyle name="20% - Accent2 2" xfId="20"/>
    <cellStyle name="20% - Accent3 2" xfId="21"/>
    <cellStyle name="20% - Accent3 2 2" xfId="22"/>
    <cellStyle name="20% - Accent4 2" xfId="23"/>
    <cellStyle name="20% - Accent4 2 2" xfId="24"/>
    <cellStyle name="20% - Accent5 2" xfId="25"/>
    <cellStyle name="20% - Accent6 2" xfId="26"/>
    <cellStyle name="40% - Accent1 2" xfId="27"/>
    <cellStyle name="40% - Accent1 2 2" xfId="28"/>
    <cellStyle name="40% - Accent2 2" xfId="29"/>
    <cellStyle name="40% - Accent2 2 2" xfId="30"/>
    <cellStyle name="40% - Accent3 2" xfId="31"/>
    <cellStyle name="40% - Accent3 2 2" xfId="32"/>
    <cellStyle name="40% - Accent4 2" xfId="33"/>
    <cellStyle name="40% - Accent4 2 2" xfId="34"/>
    <cellStyle name="40% - Accent5 2" xfId="35"/>
    <cellStyle name="40% - Accent6 2" xfId="36"/>
    <cellStyle name="40% - Accent6 2 2" xfId="37"/>
    <cellStyle name="60% - Accent1 2" xfId="38"/>
    <cellStyle name="60% - Accent1 2 2" xfId="39"/>
    <cellStyle name="60% - Accent2 2" xfId="40"/>
    <cellStyle name="60% - Accent2 2 2" xfId="41"/>
    <cellStyle name="60% - Accent3 2" xfId="42"/>
    <cellStyle name="60% - Accent3 2 2" xfId="43"/>
    <cellStyle name="60% - Accent4 2" xfId="44"/>
    <cellStyle name="60% - Accent4 2 2" xfId="45"/>
    <cellStyle name="60% - Accent5 2" xfId="46"/>
    <cellStyle name="60% - Accent6 2" xfId="47"/>
    <cellStyle name="60% - Accent6 2 2" xfId="48"/>
    <cellStyle name="Accent1 2" xfId="49"/>
    <cellStyle name="Accent1 2 2" xfId="50"/>
    <cellStyle name="Accent2 2" xfId="51"/>
    <cellStyle name="Accent3 2" xfId="52"/>
    <cellStyle name="Accent3 2 2" xfId="53"/>
    <cellStyle name="Accent4 2" xfId="54"/>
    <cellStyle name="Accent4 2 2" xfId="55"/>
    <cellStyle name="Accent5 2" xfId="56"/>
    <cellStyle name="Accent6 2" xfId="57"/>
    <cellStyle name="Bad 2" xfId="58"/>
    <cellStyle name="Bad 2 2" xfId="59"/>
    <cellStyle name="Calculation 2" xfId="60"/>
    <cellStyle name="Calculation 2 2" xfId="61"/>
    <cellStyle name="Check Cell 2" xfId="62"/>
    <cellStyle name="Comma" xfId="1" builtinId="3"/>
    <cellStyle name="Comma 2" xfId="11"/>
    <cellStyle name="Comma 2 2" xfId="64"/>
    <cellStyle name="Comma 2 2 2" xfId="65"/>
    <cellStyle name="Comma 2 2 3" xfId="66"/>
    <cellStyle name="Comma 2 3" xfId="67"/>
    <cellStyle name="Comma 2 4" xfId="68"/>
    <cellStyle name="Comma 2 5" xfId="63"/>
    <cellStyle name="Comma 3" xfId="69"/>
    <cellStyle name="Comma 3 2" xfId="70"/>
    <cellStyle name="Comma 3 2 2" xfId="71"/>
    <cellStyle name="Comma 3 2 3" xfId="72"/>
    <cellStyle name="Comma 3 3" xfId="73"/>
    <cellStyle name="Comma 3 4" xfId="74"/>
    <cellStyle name="Comma 4" xfId="15"/>
    <cellStyle name="Currency" xfId="2" builtinId="4"/>
    <cellStyle name="Currency 2" xfId="75"/>
    <cellStyle name="Currency 2 2" xfId="76"/>
    <cellStyle name="Currency 2 2 2" xfId="77"/>
    <cellStyle name="Currency 2 2 3" xfId="78"/>
    <cellStyle name="Currency 2 3" xfId="79"/>
    <cellStyle name="Currency 2 4" xfId="80"/>
    <cellStyle name="Currency 3" xfId="81"/>
    <cellStyle name="Currency 3 2" xfId="82"/>
    <cellStyle name="Currency 3 2 2" xfId="83"/>
    <cellStyle name="Currency 3 2 3" xfId="84"/>
    <cellStyle name="Currency 3 3" xfId="85"/>
    <cellStyle name="Currency 3 4" xfId="86"/>
    <cellStyle name="Currency 4" xfId="16"/>
    <cellStyle name="Data Field" xfId="87"/>
    <cellStyle name="Data Field 2" xfId="88"/>
    <cellStyle name="Data Field 2 2" xfId="89"/>
    <cellStyle name="Data Field 2 3" xfId="90"/>
    <cellStyle name="Data Field 3" xfId="91"/>
    <cellStyle name="Data Field 4" xfId="92"/>
    <cellStyle name="Data Name" xfId="93"/>
    <cellStyle name="Date/Time" xfId="94"/>
    <cellStyle name="Explanatory Text 2" xfId="95"/>
    <cellStyle name="Good 2" xfId="96"/>
    <cellStyle name="Heading" xfId="97"/>
    <cellStyle name="Heading 1 2" xfId="98"/>
    <cellStyle name="Heading 1 2 2" xfId="99"/>
    <cellStyle name="Heading 3 2" xfId="100"/>
    <cellStyle name="Heading 3 2 2" xfId="101"/>
    <cellStyle name="Heading 4 2" xfId="102"/>
    <cellStyle name="Heading 4 2 2" xfId="103"/>
    <cellStyle name="Hyperlink" xfId="4" builtinId="8"/>
    <cellStyle name="Hyperlink 2" xfId="104"/>
    <cellStyle name="Hyperlink 3" xfId="105"/>
    <cellStyle name="Input 2" xfId="106"/>
    <cellStyle name="Linked Cell 2" xfId="107"/>
    <cellStyle name="Neutral 2" xfId="108"/>
    <cellStyle name="Normal" xfId="0" builtinId="0"/>
    <cellStyle name="Normal 10" xfId="109"/>
    <cellStyle name="Normal 11" xfId="110"/>
    <cellStyle name="Normal 12" xfId="111"/>
    <cellStyle name="Normal 13" xfId="5"/>
    <cellStyle name="Normal 13 2" xfId="112"/>
    <cellStyle name="Normal 14" xfId="113"/>
    <cellStyle name="Normal 14 2" xfId="114"/>
    <cellStyle name="Normal 14 3" xfId="115"/>
    <cellStyle name="Normal 14 4" xfId="116"/>
    <cellStyle name="Normal 15" xfId="117"/>
    <cellStyle name="Normal 15 2" xfId="118"/>
    <cellStyle name="Normal 15 3" xfId="119"/>
    <cellStyle name="Normal 16" xfId="120"/>
    <cellStyle name="Normal 17" xfId="121"/>
    <cellStyle name="Normal 18" xfId="14"/>
    <cellStyle name="Normal 2" xfId="9"/>
    <cellStyle name="Normal 2 2" xfId="123"/>
    <cellStyle name="Normal 2 2 2" xfId="124"/>
    <cellStyle name="Normal 2 2 2 2" xfId="125"/>
    <cellStyle name="Normal 2 2 2 3" xfId="126"/>
    <cellStyle name="Normal 2 2 3" xfId="127"/>
    <cellStyle name="Normal 2 2 4" xfId="128"/>
    <cellStyle name="Normal 2 3" xfId="129"/>
    <cellStyle name="Normal 2 3 2" xfId="130"/>
    <cellStyle name="Normal 2 3 3" xfId="131"/>
    <cellStyle name="Normal 2 4" xfId="132"/>
    <cellStyle name="Normal 2 4 2" xfId="133"/>
    <cellStyle name="Normal 2 4 3" xfId="134"/>
    <cellStyle name="Normal 2 5" xfId="135"/>
    <cellStyle name="Normal 2 6" xfId="136"/>
    <cellStyle name="Normal 2 6 2" xfId="137"/>
    <cellStyle name="Normal 2 7" xfId="138"/>
    <cellStyle name="Normal 2 8" xfId="122"/>
    <cellStyle name="Normal 3" xfId="17"/>
    <cellStyle name="Normal 3 2" xfId="139"/>
    <cellStyle name="Normal 3 2 2" xfId="140"/>
    <cellStyle name="Normal 3 2 3" xfId="141"/>
    <cellStyle name="Normal 3 3" xfId="142"/>
    <cellStyle name="Normal 3 4" xfId="143"/>
    <cellStyle name="Normal 4" xfId="144"/>
    <cellStyle name="Normal 4 2" xfId="145"/>
    <cellStyle name="Normal 4 3" xfId="146"/>
    <cellStyle name="Normal 4 3 2" xfId="147"/>
    <cellStyle name="Normal 4 3 3" xfId="148"/>
    <cellStyle name="Normal 4 4" xfId="149"/>
    <cellStyle name="Normal 4 4 2" xfId="150"/>
    <cellStyle name="Normal 4 4 3" xfId="151"/>
    <cellStyle name="Normal 4 5" xfId="152"/>
    <cellStyle name="Normal 4 5 2" xfId="153"/>
    <cellStyle name="Normal 4 5 3" xfId="154"/>
    <cellStyle name="Normal 4 6" xfId="155"/>
    <cellStyle name="Normal 4 7" xfId="156"/>
    <cellStyle name="Normal 5" xfId="157"/>
    <cellStyle name="Normal 5 2" xfId="158"/>
    <cellStyle name="Normal 6" xfId="6"/>
    <cellStyle name="Normal 6 2" xfId="159"/>
    <cellStyle name="Normal 7" xfId="160"/>
    <cellStyle name="Normal 7 2" xfId="161"/>
    <cellStyle name="Normal 8" xfId="162"/>
    <cellStyle name="Normal 8 2" xfId="163"/>
    <cellStyle name="Normal 9" xfId="164"/>
    <cellStyle name="Normal 9 2" xfId="165"/>
    <cellStyle name="Normal 9 3" xfId="166"/>
    <cellStyle name="Normal_MTDUCT" xfId="7"/>
    <cellStyle name="Normal_PC-LPDPackage-6P-D14" xfId="13"/>
    <cellStyle name="Normal_ProCostFinAssumptions_Sector" xfId="8"/>
    <cellStyle name="Note 2" xfId="167"/>
    <cellStyle name="Note 2 2" xfId="168"/>
    <cellStyle name="Output 2" xfId="169"/>
    <cellStyle name="Output 2 2" xfId="170"/>
    <cellStyle name="Percent" xfId="3" builtinId="5"/>
    <cellStyle name="Percent 2" xfId="10"/>
    <cellStyle name="Percent 2 2" xfId="172"/>
    <cellStyle name="Percent 2 2 2" xfId="173"/>
    <cellStyle name="Percent 2 2 2 2" xfId="174"/>
    <cellStyle name="Percent 2 2 2 3" xfId="175"/>
    <cellStyle name="Percent 2 2 3" xfId="176"/>
    <cellStyle name="Percent 2 2 4" xfId="177"/>
    <cellStyle name="Percent 2 3" xfId="12"/>
    <cellStyle name="Percent 2 3 2" xfId="178"/>
    <cellStyle name="Percent 2 3 3" xfId="179"/>
    <cellStyle name="Percent 2 4" xfId="171"/>
    <cellStyle name="Percent 3" xfId="180"/>
    <cellStyle name="Percent 3 2" xfId="181"/>
    <cellStyle name="Percent 3 2 2" xfId="182"/>
    <cellStyle name="Percent 3 2 3" xfId="183"/>
    <cellStyle name="Percent 3 3" xfId="184"/>
    <cellStyle name="Percent 3 4" xfId="185"/>
    <cellStyle name="Percent 4" xfId="186"/>
    <cellStyle name="Percent 4 2" xfId="187"/>
    <cellStyle name="Percent 5" xfId="188"/>
    <cellStyle name="Percent 6" xfId="196"/>
    <cellStyle name="Title 2" xfId="189"/>
    <cellStyle name="Title 2 2" xfId="190"/>
    <cellStyle name="Total 2" xfId="191"/>
    <cellStyle name="Total 2 2" xfId="192"/>
    <cellStyle name="Warning Text 2" xfId="193"/>
    <cellStyle name="표준_ENERGY CONSUMP" xfId="194"/>
    <cellStyle name="常规_海外市场服务网站资料操作BOM" xfId="19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3</xdr:row>
      <xdr:rowOff>47625</xdr:rowOff>
    </xdr:from>
    <xdr:to>
      <xdr:col>14</xdr:col>
      <xdr:colOff>142876</xdr:colOff>
      <xdr:row>21</xdr:row>
      <xdr:rowOff>85725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 xmlns:a14="http://schemas.microsoft.com/office/drawing/2010/main" val="0"/>
            </a:ext>
          </a:extLst>
        </a:blip>
        <a:srcRect/>
        <a:stretch/>
      </xdr:blipFill>
      <xdr:spPr>
        <a:xfrm>
          <a:off x="38100" y="238125"/>
          <a:ext cx="8867776" cy="3467100"/>
        </a:xfrm>
        <a:prstGeom prst="rect">
          <a:avLst/>
        </a:prstGeom>
      </xdr:spPr>
    </xdr:pic>
    <xdr:clientData/>
  </xdr:twoCellAnchor>
  <xdr:twoCellAnchor>
    <xdr:from>
      <xdr:col>0</xdr:col>
      <xdr:colOff>85725</xdr:colOff>
      <xdr:row>22</xdr:row>
      <xdr:rowOff>66675</xdr:rowOff>
    </xdr:from>
    <xdr:to>
      <xdr:col>14</xdr:col>
      <xdr:colOff>371475</xdr:colOff>
      <xdr:row>25</xdr:row>
      <xdr:rowOff>76200</xdr:rowOff>
    </xdr:to>
    <xdr:sp macro="" textlink="">
      <xdr:nvSpPr>
        <xdr:cNvPr id="3" name="TextBox 2"/>
        <xdr:cNvSpPr txBox="1"/>
      </xdr:nvSpPr>
      <xdr:spPr>
        <a:xfrm>
          <a:off x="85725" y="3876675"/>
          <a:ext cx="882015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r>
            <a:rPr lang="en-US" sz="1100" baseline="0"/>
            <a:t> Operated in low mode between midnight and 6 a.m.</a:t>
          </a:r>
        </a:p>
        <a:p>
          <a:r>
            <a:rPr lang="en-US" sz="1100" baseline="0"/>
            <a:t>- During daytime and evening hours only 30% of the LED luminaires operated in high mode</a:t>
          </a:r>
          <a:endParaRPr lang="en-US" sz="1100"/>
        </a:p>
      </xdr:txBody>
    </xdr:sp>
    <xdr:clientData/>
  </xdr:twoCellAnchor>
  <xdr:twoCellAnchor editAs="oneCell">
    <xdr:from>
      <xdr:col>0</xdr:col>
      <xdr:colOff>66675</xdr:colOff>
      <xdr:row>28</xdr:row>
      <xdr:rowOff>19050</xdr:rowOff>
    </xdr:from>
    <xdr:to>
      <xdr:col>14</xdr:col>
      <xdr:colOff>180975</xdr:colOff>
      <xdr:row>46</xdr:row>
      <xdr:rowOff>66676</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 xmlns:a14="http://schemas.microsoft.com/office/drawing/2010/main" val="0"/>
            </a:ext>
          </a:extLst>
        </a:blip>
        <a:srcRect/>
        <a:stretch/>
      </xdr:blipFill>
      <xdr:spPr>
        <a:xfrm>
          <a:off x="66675" y="6305550"/>
          <a:ext cx="8877300" cy="3476626"/>
        </a:xfrm>
        <a:prstGeom prst="rect">
          <a:avLst/>
        </a:prstGeom>
      </xdr:spPr>
    </xdr:pic>
    <xdr:clientData/>
  </xdr:twoCellAnchor>
  <xdr:twoCellAnchor editAs="oneCell">
    <xdr:from>
      <xdr:col>0</xdr:col>
      <xdr:colOff>85725</xdr:colOff>
      <xdr:row>50</xdr:row>
      <xdr:rowOff>9525</xdr:rowOff>
    </xdr:from>
    <xdr:to>
      <xdr:col>14</xdr:col>
      <xdr:colOff>228601</xdr:colOff>
      <xdr:row>76</xdr:row>
      <xdr:rowOff>152401</xdr:rowOff>
    </xdr:to>
    <xdr:pic>
      <xdr:nvPicPr>
        <xdr:cNvPr id="5" name="Picture 4"/>
        <xdr:cNvPicPr>
          <a:picLocks noChangeAspect="1"/>
        </xdr:cNvPicPr>
      </xdr:nvPicPr>
      <xdr:blipFill rotWithShape="1">
        <a:blip xmlns:r="http://schemas.openxmlformats.org/officeDocument/2006/relationships" r:embed="rId3" cstate="print">
          <a:extLst>
            <a:ext uri="{28A0092B-C50C-407E-A947-70E740481C1C}">
              <a14:useLocalDpi xmlns="" xmlns:a14="http://schemas.microsoft.com/office/drawing/2010/main" val="0"/>
            </a:ext>
          </a:extLst>
        </a:blip>
        <a:srcRect/>
        <a:stretch/>
      </xdr:blipFill>
      <xdr:spPr>
        <a:xfrm>
          <a:off x="85725" y="10106025"/>
          <a:ext cx="8905876" cy="5095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ExteriorLighting-7P_V11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20is%20for%20Posting/Com_Master_7P.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hristian\Google%20Drive\Christian\NWPCC\7th%20Plan\Commercial%20Lighting\Com-LightingInterior-7P-V1.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SC-Retro"/>
      <sheetName val="M_Input_Out"/>
      <sheetName val="M_Input"/>
      <sheetName val="M_Input(Fixture)_Out"/>
      <sheetName val="M_Input(Fixture)"/>
      <sheetName val="M_Input(Fixt wo OM)_Out"/>
      <sheetName val="M_Input(Fixt wo OM)"/>
      <sheetName val="M_Weight"/>
      <sheetName val="Watt Allocation"/>
      <sheetName val="Savings and Cost Analysis"/>
      <sheetName val="Reference Fixtures"/>
      <sheetName val="DOE2014 Sales Pen"/>
      <sheetName val="CBSA Data"/>
      <sheetName val="Approach"/>
      <sheetName val="ETO Cost Data"/>
      <sheetName val="Sheet1"/>
      <sheetName val="References"/>
      <sheetName val="ToDo7P"/>
    </sheetNames>
    <sheetDataSet>
      <sheetData sheetId="0"/>
      <sheetData sheetId="1"/>
      <sheetData sheetId="2">
        <row r="62">
          <cell r="D62">
            <v>1000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Com_Master_7P"/>
    </sheetNames>
    <definedNames>
      <definedName name="ACHIEV" refersTo="='ACHIEV'!$B$19:$Y$119"/>
    </definedNames>
    <sheetDataSet>
      <sheetData sheetId="0"/>
      <sheetData sheetId="1"/>
      <sheetData sheetId="2"/>
      <sheetData sheetId="3"/>
      <sheetData sheetId="4"/>
      <sheetData sheetId="5"/>
      <sheetData sheetId="6"/>
      <sheetData sheetId="7">
        <row r="19">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cell r="X19"/>
        </row>
        <row r="20">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cell r="X20"/>
        </row>
        <row r="21">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cell r="X21"/>
        </row>
        <row r="22">
          <cell r="B22" t="str">
            <v>Commercial Computer 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cell r="X22"/>
        </row>
        <row r="23">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cell r="X23"/>
        </row>
        <row r="24">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cell r="X24"/>
        </row>
        <row r="25">
          <cell r="B25" t="str">
            <v>Commercial Computer 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cell r="X25"/>
        </row>
        <row r="26">
          <cell r="B26" t="str">
            <v>Commercial Computer 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cell r="X26"/>
        </row>
        <row r="27">
          <cell r="B27" t="str">
            <v>Pre-Rinse Spray Valve-Retro</v>
          </cell>
          <cell r="C27" t="str">
            <v>LO20Fast</v>
          </cell>
          <cell r="D27">
            <v>0.22119921692859512</v>
          </cell>
          <cell r="E27">
            <v>0.37624232795148943</v>
          </cell>
          <cell r="F27">
            <v>0.48357361352878442</v>
          </cell>
          <cell r="G27">
            <v>0.56716330278444227</v>
          </cell>
          <cell r="H27">
            <v>0.64040048266456928</v>
          </cell>
          <cell r="I27">
            <v>0.70377511937632964</v>
          </cell>
          <cell r="J27">
            <v>0.7580669577441127</v>
          </cell>
          <cell r="K27">
            <v>0.80419335000071168</v>
          </cell>
          <cell r="L27">
            <v>0.84311022627788457</v>
          </cell>
          <cell r="M27">
            <v>0.87575014259103623</v>
          </cell>
          <cell r="N27">
            <v>0.90298584871682319</v>
          </cell>
          <cell r="O27">
            <v>0.92419703797508856</v>
          </cell>
          <cell r="P27">
            <v>0.94071632877930145</v>
          </cell>
          <cell r="Q27">
            <v>0.95358156539340677</v>
          </cell>
          <cell r="R27">
            <v>0.96360102174287088</v>
          </cell>
          <cell r="S27">
            <v>0.97140418219378311</v>
          </cell>
          <cell r="T27">
            <v>0.97748128966338554</v>
          </cell>
          <cell r="U27">
            <v>0.98221414571952104</v>
          </cell>
          <cell r="V27">
            <v>0.98590009772220355</v>
          </cell>
          <cell r="W27">
            <v>0.98877072002825628</v>
          </cell>
          <cell r="X27"/>
        </row>
        <row r="28">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cell r="X28"/>
        </row>
        <row r="29">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cell r="X29"/>
        </row>
        <row r="30">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cell r="X30"/>
        </row>
        <row r="31">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cell r="X31"/>
        </row>
        <row r="32">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cell r="X32"/>
        </row>
        <row r="33">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cell r="X33"/>
        </row>
        <row r="34">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cell r="X34"/>
        </row>
        <row r="35">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cell r="X35"/>
        </row>
        <row r="36">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cell r="X36"/>
        </row>
        <row r="37">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cell r="X37"/>
        </row>
        <row r="38">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cell r="X38"/>
        </row>
        <row r="39">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cell r="X40"/>
        </row>
        <row r="41">
          <cell r="B41" t="str">
            <v>Commercial EM-Retro</v>
          </cell>
          <cell r="C41" t="str">
            <v>RetroEven20</v>
          </cell>
          <cell r="D41">
            <v>0.05</v>
          </cell>
          <cell r="E41">
            <v>0.05</v>
          </cell>
          <cell r="F41">
            <v>0.05</v>
          </cell>
          <cell r="G41">
            <v>0.05</v>
          </cell>
          <cell r="H41">
            <v>0.05</v>
          </cell>
          <cell r="I41">
            <v>0.05</v>
          </cell>
          <cell r="J41">
            <v>0.05</v>
          </cell>
          <cell r="K41">
            <v>0.05</v>
          </cell>
          <cell r="L41">
            <v>0.05</v>
          </cell>
          <cell r="M41">
            <v>0.05</v>
          </cell>
          <cell r="N41">
            <v>0.05</v>
          </cell>
          <cell r="O41">
            <v>0.05</v>
          </cell>
          <cell r="P41">
            <v>0.05</v>
          </cell>
          <cell r="Q41">
            <v>0.05</v>
          </cell>
          <cell r="R41">
            <v>0.05</v>
          </cell>
          <cell r="S41">
            <v>0.05</v>
          </cell>
          <cell r="T41">
            <v>0.05</v>
          </cell>
          <cell r="U41">
            <v>0.05</v>
          </cell>
          <cell r="V41">
            <v>0.05</v>
          </cell>
          <cell r="W41">
            <v>0.05</v>
          </cell>
          <cell r="X41"/>
        </row>
        <row r="42">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cell r="X42"/>
        </row>
        <row r="43">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cell r="X43"/>
        </row>
        <row r="44">
          <cell r="B44" t="str">
            <v>Low Pressure Distribution Complex HVAC-New</v>
          </cell>
          <cell r="C44" t="str">
            <v>LO1Slow</v>
          </cell>
          <cell r="D44">
            <v>2.5643970768378654E-3</v>
          </cell>
          <cell r="E44">
            <v>7.6904586297764643E-3</v>
          </cell>
          <cell r="F44">
            <v>1.6792013047419844E-2</v>
          </cell>
          <cell r="G44">
            <v>3.15969387774655E-2</v>
          </cell>
          <cell r="H44">
            <v>5.406874819795171E-2</v>
          </cell>
          <cell r="I44">
            <v>8.6253181011834101E-2</v>
          </cell>
          <cell r="J44">
            <v>0.1300328481838382</v>
          </cell>
          <cell r="K44">
            <v>0.18678710893858319</v>
          </cell>
          <cell r="L44">
            <v>0.2569823480072907</v>
          </cell>
          <cell r="M44">
            <v>0.33975920985004748</v>
          </cell>
          <cell r="N44">
            <v>0.43262946935754232</v>
          </cell>
          <cell r="O44">
            <v>0.53142594003645804</v>
          </cell>
          <cell r="P44">
            <v>0.63063487292644704</v>
          </cell>
          <cell r="Q44">
            <v>0.7241560234206913</v>
          </cell>
          <cell r="R44">
            <v>0.80638203131755359</v>
          </cell>
          <cell r="S44">
            <v>0.87331559734491926</v>
          </cell>
          <cell r="T44">
            <v>0.92334516248836807</v>
          </cell>
          <cell r="U44">
            <v>0.95737002770730018</v>
          </cell>
          <cell r="V44">
            <v>0.97821608704807483</v>
          </cell>
          <cell r="W44">
            <v>0.98821608704807484</v>
          </cell>
          <cell r="X44"/>
        </row>
        <row r="45">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cell r="X45"/>
        </row>
        <row r="46">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cell r="X46"/>
        </row>
        <row r="47">
          <cell r="B47" t="str">
            <v>Demand Control Ventilation-Retro</v>
          </cell>
          <cell r="C47" t="str">
            <v>RetroEven20</v>
          </cell>
          <cell r="D47">
            <v>0.05</v>
          </cell>
          <cell r="E47">
            <v>0.05</v>
          </cell>
          <cell r="F47">
            <v>0.05</v>
          </cell>
          <cell r="G47">
            <v>0.05</v>
          </cell>
          <cell r="H47">
            <v>0.05</v>
          </cell>
          <cell r="I47">
            <v>0.05</v>
          </cell>
          <cell r="J47">
            <v>0.05</v>
          </cell>
          <cell r="K47">
            <v>0.05</v>
          </cell>
          <cell r="L47">
            <v>0.05</v>
          </cell>
          <cell r="M47">
            <v>0.05</v>
          </cell>
          <cell r="N47">
            <v>0.05</v>
          </cell>
          <cell r="O47">
            <v>0.05</v>
          </cell>
          <cell r="P47">
            <v>0.05</v>
          </cell>
          <cell r="Q47">
            <v>0.05</v>
          </cell>
          <cell r="R47">
            <v>0.05</v>
          </cell>
          <cell r="S47">
            <v>0.05</v>
          </cell>
          <cell r="T47">
            <v>0.05</v>
          </cell>
          <cell r="U47">
            <v>0.05</v>
          </cell>
          <cell r="V47">
            <v>0.05</v>
          </cell>
          <cell r="W47">
            <v>0.05</v>
          </cell>
          <cell r="X47"/>
        </row>
        <row r="48">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cell r="X48"/>
        </row>
        <row r="49">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cell r="X49"/>
        </row>
        <row r="50">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cell r="X50"/>
        </row>
        <row r="51">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cell r="X51"/>
        </row>
        <row r="52">
          <cell r="B52" t="str">
            <v>Commercial Computer Laptop-NR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cell r="X52"/>
        </row>
        <row r="53">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cell r="X53"/>
        </row>
        <row r="54">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cell r="X54"/>
        </row>
        <row r="55">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cell r="X55"/>
        </row>
        <row r="56">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cell r="X56"/>
        </row>
        <row r="57">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cell r="X57"/>
        </row>
        <row r="58">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cell r="X58"/>
        </row>
        <row r="59">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cell r="X59"/>
        </row>
        <row r="60">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cell r="X60"/>
        </row>
        <row r="61">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cell r="X61"/>
        </row>
        <row r="62">
          <cell r="B62" t="str">
            <v>VRF-Retro</v>
          </cell>
          <cell r="C62" t="str">
            <v>Retro1Slow</v>
          </cell>
          <cell r="D62">
            <v>2.5643970768378654E-3</v>
          </cell>
          <cell r="E62">
            <v>5.1260615529385989E-3</v>
          </cell>
          <cell r="F62">
            <v>9.1015544176433795E-3</v>
          </cell>
          <cell r="G62">
            <v>1.4804925730045659E-2</v>
          </cell>
          <cell r="H62">
            <v>2.2471809420486211E-2</v>
          </cell>
          <cell r="I62">
            <v>3.2184432813882391E-2</v>
          </cell>
          <cell r="J62">
            <v>4.3779667172004086E-2</v>
          </cell>
          <cell r="K62">
            <v>5.675426075474499E-2</v>
          </cell>
          <cell r="L62">
            <v>7.0195239068707532E-2</v>
          </cell>
          <cell r="M62">
            <v>8.2776861842756788E-2</v>
          </cell>
          <cell r="N62">
            <v>9.2870259507494834E-2</v>
          </cell>
          <cell r="O62">
            <v>9.8796470678915727E-2</v>
          </cell>
          <cell r="P62">
            <v>9.9208932889988999E-2</v>
          </cell>
          <cell r="Q62">
            <v>9.3521150494244254E-2</v>
          </cell>
          <cell r="R62">
            <v>8.2226007896862296E-2</v>
          </cell>
          <cell r="S62">
            <v>6.6933566027365665E-2</v>
          </cell>
          <cell r="T62">
            <v>5.0029565143448806E-2</v>
          </cell>
          <cell r="U62">
            <v>3.402486521893211E-2</v>
          </cell>
          <cell r="V62">
            <v>2.0846059340774659E-2</v>
          </cell>
          <cell r="W62">
            <v>0.01</v>
          </cell>
          <cell r="X62"/>
        </row>
        <row r="63">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cell r="X63"/>
        </row>
        <row r="64">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cell r="X64"/>
        </row>
        <row r="65">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cell r="X65"/>
        </row>
        <row r="66">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cell r="X66"/>
        </row>
        <row r="67">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cell r="X67"/>
        </row>
        <row r="68">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cell r="X68"/>
        </row>
        <row r="69">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cell r="X69"/>
        </row>
        <row r="70">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cell r="X70"/>
        </row>
        <row r="71">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cell r="X71"/>
        </row>
        <row r="72">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cell r="X72"/>
        </row>
        <row r="73">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cell r="X73"/>
        </row>
        <row r="74">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cell r="X74"/>
        </row>
        <row r="75">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cell r="X75"/>
        </row>
        <row r="76">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cell r="X76"/>
        </row>
        <row r="77">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cell r="X77"/>
        </row>
        <row r="78">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cell r="X78"/>
        </row>
        <row r="79">
          <cell r="B79" t="str">
            <v>Bi-Level Stiarwell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row>
        <row r="81">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row>
        <row r="82">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cell r="X82"/>
        </row>
        <row r="83">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cell r="X83"/>
        </row>
        <row r="84">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row>
        <row r="85">
          <cell r="B85" t="str">
            <v>Municipal Sewage Treatment-Retro</v>
          </cell>
          <cell r="C85" t="str">
            <v>retro5med</v>
          </cell>
          <cell r="D85">
            <v>4.2999999999999997E-2</v>
          </cell>
          <cell r="E85">
            <v>5.279714228027832E-2</v>
          </cell>
          <cell r="F85">
            <v>6.4608251467478173E-2</v>
          </cell>
          <cell r="G85">
            <v>7.4999999999999997E-2</v>
          </cell>
          <cell r="H85">
            <v>8.5546997470333563E-2</v>
          </cell>
          <cell r="I85">
            <v>0.10001472303820647</v>
          </cell>
          <cell r="J85">
            <v>0.10971770435235073</v>
          </cell>
          <cell r="K85">
            <v>0.11208438511970376</v>
          </cell>
          <cell r="L85">
            <v>0.10562608162722853</v>
          </cell>
          <cell r="M85">
            <v>9.0794563997872335E-2</v>
          </cell>
          <cell r="N85">
            <v>7.0260666991849297E-2</v>
          </cell>
          <cell r="O85">
            <v>4.8218360404944538E-2</v>
          </cell>
          <cell r="P85">
            <v>2.8854234614640095E-2</v>
          </cell>
          <cell r="Q85">
            <v>1.4773964924806759E-2</v>
          </cell>
          <cell r="R85">
            <v>6.3385343681182649E-3</v>
          </cell>
          <cell r="S85">
            <v>2.2268577196306039E-3</v>
          </cell>
          <cell r="T85">
            <v>6.2471001963848583E-4</v>
          </cell>
          <cell r="U85">
            <v>1.3615841889635938E-4</v>
          </cell>
          <cell r="V85">
            <v>2.2380636622298944E-5</v>
          </cell>
          <cell r="W85">
            <v>2.68643837586513E-6</v>
          </cell>
          <cell r="X85"/>
        </row>
        <row r="86">
          <cell r="B86" t="str">
            <v>Municipal Water Supply-Retro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cell r="X86"/>
        </row>
        <row r="87">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cell r="X87"/>
        </row>
        <row r="88">
          <cell r="B88" t="str">
            <v>Grocery Refrigeration Bundle-Retro</v>
          </cell>
          <cell r="C88" t="str">
            <v>Retro12Med</v>
          </cell>
          <cell r="D88">
            <v>0.10937459468255628</v>
          </cell>
          <cell r="E88">
            <v>0.10937459468255628</v>
          </cell>
          <cell r="F88">
            <v>0.10937459468255628</v>
          </cell>
          <cell r="G88">
            <v>0.10937459468255628</v>
          </cell>
          <cell r="H88">
            <v>0.10937459468255628</v>
          </cell>
          <cell r="I88">
            <v>9.8437135214300656E-2</v>
          </cell>
          <cell r="J88">
            <v>7.874970817144053E-2</v>
          </cell>
          <cell r="K88">
            <v>6.2999766537152418E-2</v>
          </cell>
          <cell r="L88">
            <v>5.0399813229721938E-2</v>
          </cell>
          <cell r="M88">
            <v>4.0319850583777551E-2</v>
          </cell>
          <cell r="N88">
            <v>3.225588046702204E-2</v>
          </cell>
          <cell r="O88">
            <v>2.5804704373617631E-2</v>
          </cell>
          <cell r="P88">
            <v>2.0643763498894106E-2</v>
          </cell>
          <cell r="Q88">
            <v>1.6515010799115284E-2</v>
          </cell>
          <cell r="R88">
            <v>1.3212008639292228E-2</v>
          </cell>
          <cell r="S88">
            <v>1.0569606911433781E-2</v>
          </cell>
          <cell r="T88">
            <v>7.2092823794611682E-5</v>
          </cell>
          <cell r="U88">
            <v>2.5747437069512102E-5</v>
          </cell>
          <cell r="V88">
            <v>8.7775353646568632E-6</v>
          </cell>
          <cell r="W88">
            <v>2.8622397928446119E-6</v>
          </cell>
          <cell r="X88"/>
        </row>
        <row r="89">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cell r="X89"/>
        </row>
        <row r="90">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cell r="X90"/>
        </row>
        <row r="91">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cell r="X91"/>
        </row>
        <row r="92">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cell r="X92"/>
        </row>
        <row r="93">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cell r="X93"/>
        </row>
        <row r="94">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cell r="X94"/>
        </row>
        <row r="95">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cell r="X95"/>
        </row>
        <row r="96">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cell r="X96"/>
        </row>
        <row r="97">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cell r="X97"/>
        </row>
        <row r="98">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cell r="X98"/>
        </row>
        <row r="99">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cell r="X99"/>
        </row>
        <row r="100">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cell r="X100"/>
        </row>
        <row r="101">
          <cell r="B101" t="str">
            <v>HPLowPowerGSFL-NR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cell r="X101"/>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BPA Taxonomy"/>
    </sheetNames>
    <definedNames>
      <definedName name="ACHIEV" refersTo="='ACHIEV'!$B$19:$Y$119"/>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9">
          <cell r="B19" t="str">
            <v>Desktop</v>
          </cell>
          <cell r="C19" t="str">
            <v>NR</v>
          </cell>
          <cell r="D19" t="str">
            <v>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Advanced Rooftop Controller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Advanced Rooftop Controller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Advanced Rooftop Controller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Economizer</v>
          </cell>
          <cell r="C37" t="str">
            <v>Retro</v>
          </cell>
          <cell r="D37" t="str">
            <v>Economizer-Retro</v>
          </cell>
          <cell r="E37" t="str">
            <v>kWh per KSF BT</v>
          </cell>
          <cell r="F37" t="str">
            <v>Economizer Improvements</v>
          </cell>
          <cell r="G37">
            <v>2</v>
          </cell>
          <cell r="H37" t="str">
            <v>Economizer maintenance and repair</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Energy Recovery Ventilator</v>
          </cell>
          <cell r="C45" t="str">
            <v>NR</v>
          </cell>
          <cell r="D45" t="str">
            <v>Energy Recovery Ventilator-NR</v>
          </cell>
          <cell r="E45" t="str">
            <v>Count</v>
          </cell>
          <cell r="F45" t="str">
            <v>Heat Recovery Ventilation</v>
          </cell>
          <cell r="G45">
            <v>1</v>
          </cell>
          <cell r="H45" t="str">
            <v>Heat Recovery Ventilation</v>
          </cell>
          <cell r="I45" t="str">
            <v>All</v>
          </cell>
          <cell r="L45" t="str">
            <v>CBSA 20154</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Lighting Controls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Lighting Controls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Lighting Controls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cell r="V70" t="str">
            <v>Lamps/Ballasts/Fixtures w/Controls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cell r="V71" t="str">
            <v>Lamps/Ballasts/Fixtures w/Controls</v>
          </cell>
        </row>
        <row r="72">
          <cell r="B72" t="str">
            <v>Bi-Level Stairwell Lighting</v>
          </cell>
          <cell r="C72" t="str">
            <v>NR</v>
          </cell>
          <cell r="D72" t="str">
            <v>Bi-Level Stairwell Lighting-NR</v>
          </cell>
          <cell r="E72" t="str">
            <v>kWh per KSF BT</v>
          </cell>
          <cell r="F72" t="str">
            <v xml:space="preserve">Bi-Level occupancy sensor control on stairwell </v>
          </cell>
          <cell r="G72">
            <v>1</v>
          </cell>
          <cell r="H72" t="str">
            <v>Bi-Level Stairwell</v>
          </cell>
          <cell r="I72" t="str">
            <v>All</v>
          </cell>
          <cell r="L72" t="str">
            <v>CBSA 2014</v>
          </cell>
          <cell r="R72" t="str">
            <v>N/A</v>
          </cell>
          <cell r="U72" t="str">
            <v>Lighting Controls</v>
          </cell>
        </row>
        <row r="73">
          <cell r="B73" t="str">
            <v>ECM-VAV</v>
          </cell>
          <cell r="C73" t="str">
            <v>New</v>
          </cell>
          <cell r="D73" t="str">
            <v>ECM-VAV-New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ECM-VAV</v>
          </cell>
          <cell r="C74" t="str">
            <v>NR</v>
          </cell>
          <cell r="D74" t="str">
            <v>ECM-VAV-NR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MotorsRewind</v>
          </cell>
          <cell r="C76" t="str">
            <v>New</v>
          </cell>
          <cell r="D76" t="str">
            <v>MotorsRewind-New</v>
          </cell>
          <cell r="E76" t="str">
            <v>Count</v>
          </cell>
          <cell r="F76" t="str">
            <v>Motors - Rewind</v>
          </cell>
          <cell r="G76">
            <v>1</v>
          </cell>
          <cell r="H76" t="str">
            <v>Motors - Rewind</v>
          </cell>
          <cell r="I76" t="str">
            <v>All</v>
          </cell>
          <cell r="L76" t="str">
            <v>CBSA 2014</v>
          </cell>
          <cell r="Q76" t="str">
            <v>x</v>
          </cell>
          <cell r="R76" t="str">
            <v>N/A</v>
          </cell>
          <cell r="U76" t="str">
            <v>Motors</v>
          </cell>
        </row>
        <row r="77">
          <cell r="B77" t="str">
            <v>MotorsRewind</v>
          </cell>
          <cell r="C77" t="str">
            <v>NR</v>
          </cell>
          <cell r="D77" t="str">
            <v>MotorsRewind-NR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NR</v>
          </cell>
          <cell r="D85" t="str">
            <v>Water Cooler Controls-NR</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WHTanks</v>
          </cell>
          <cell r="C86" t="str">
            <v>New</v>
          </cell>
          <cell r="D86" t="str">
            <v>WHTanks-New</v>
          </cell>
          <cell r="E86" t="str">
            <v>Count</v>
          </cell>
          <cell r="F86" t="str">
            <v>Clotheswashers more efficient than federal standard</v>
          </cell>
          <cell r="H86" t="str">
            <v>DHW - Efficient Tanks</v>
          </cell>
          <cell r="I86" t="str">
            <v>Some</v>
          </cell>
          <cell r="L86" t="str">
            <v>CBSA 2014</v>
          </cell>
          <cell r="R86" t="str">
            <v>N/A</v>
          </cell>
          <cell r="U86" t="str">
            <v>Water Using Devices</v>
          </cell>
        </row>
        <row r="87">
          <cell r="B87" t="str">
            <v>WHTanks</v>
          </cell>
          <cell r="C87" t="str">
            <v>NR</v>
          </cell>
          <cell r="D87" t="str">
            <v>WHTanks-NR</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Showerheads</v>
          </cell>
          <cell r="C89" t="str">
            <v>Retro</v>
          </cell>
          <cell r="D89" t="str">
            <v>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Ultra Low Energy Building</v>
          </cell>
          <cell r="C93" t="str">
            <v>New</v>
          </cell>
          <cell r="D93" t="str">
            <v>Ultra Low Energy Building-New</v>
          </cell>
          <cell r="E93" t="str">
            <v>kWh per KSF BT</v>
          </cell>
          <cell r="F93" t="str">
            <v>Multiple measures applied in integrated design practice</v>
          </cell>
          <cell r="G93">
            <v>13</v>
          </cell>
          <cell r="H93" t="str">
            <v>Ultra Low Energy Building</v>
          </cell>
          <cell r="I93" t="str">
            <v>Some</v>
          </cell>
          <cell r="L93" t="str">
            <v>Code</v>
          </cell>
          <cell r="R93" t="str">
            <v>POST2006</v>
          </cell>
          <cell r="U93" t="str">
            <v>Whole Bldg/Meter Level System Improvements</v>
          </cell>
        </row>
        <row r="94">
          <cell r="B94" t="str">
            <v>Low Power LF Lamps</v>
          </cell>
          <cell r="C94" t="str">
            <v>NR</v>
          </cell>
          <cell r="D94" t="str">
            <v>Low Power LF Lamps-NR</v>
          </cell>
          <cell r="E94" t="str">
            <v>lamp</v>
          </cell>
          <cell r="F94" t="str">
            <v>Shift mix of 32W, 28W and 25W lamps towards low watt lamps</v>
          </cell>
          <cell r="G94">
            <v>2</v>
          </cell>
          <cell r="H94" t="str">
            <v>High Performance Low Power Fluorescent Lamps</v>
          </cell>
          <cell r="I94" t="str">
            <v>All</v>
          </cell>
          <cell r="L94" t="str">
            <v>Federal GSFL 2014</v>
          </cell>
          <cell r="Q94" t="str">
            <v>x</v>
          </cell>
          <cell r="R94" t="str">
            <v>N/A</v>
          </cell>
          <cell r="U94" t="str">
            <v>Lamps/Ballasts/Fixtures</v>
          </cell>
        </row>
        <row r="112">
          <cell r="B112" t="str">
            <v>Category_Name</v>
          </cell>
          <cell r="C112" t="str">
            <v>TAP_Name</v>
          </cell>
        </row>
        <row r="113">
          <cell r="B113" t="str">
            <v>Compressed Air System Controls</v>
          </cell>
          <cell r="C113" t="str">
            <v>Compressed Air Control Improvements (non-VFD)</v>
          </cell>
        </row>
        <row r="114">
          <cell r="B114" t="str">
            <v>Compressed Air System Improvements</v>
          </cell>
          <cell r="C114" t="str">
            <v>Compressed Air Control Improvements (VFD)</v>
          </cell>
        </row>
        <row r="115">
          <cell r="B115" t="str">
            <v>Computer Technologies</v>
          </cell>
          <cell r="C115" t="str">
            <v>Compressed Air System Compressor Improvements (non-VFD)</v>
          </cell>
        </row>
        <row r="116">
          <cell r="B116" t="str">
            <v>Cooking</v>
          </cell>
          <cell r="C116" t="str">
            <v>Compressed Air System Compressor Improvements (VFD)</v>
          </cell>
        </row>
        <row r="117">
          <cell r="B117" t="str">
            <v>Delamping</v>
          </cell>
          <cell r="C117" t="str">
            <v>Compressed Air System Demand Side Improvements</v>
          </cell>
        </row>
        <row r="118">
          <cell r="B118" t="str">
            <v>Elevators</v>
          </cell>
          <cell r="C118" t="str">
            <v>Compressed Air System Dryer Improvements</v>
          </cell>
        </row>
        <row r="119">
          <cell r="B119" t="str">
            <v>Envelope</v>
          </cell>
          <cell r="C119" t="str">
            <v>Compressed Air System Regulation Improvements</v>
          </cell>
        </row>
      </sheetData>
      <sheetData sheetId="2">
        <row r="4">
          <cell r="H4">
            <v>2035</v>
          </cell>
        </row>
        <row r="19">
          <cell r="B19" t="str">
            <v>Desktop-NR</v>
          </cell>
          <cell r="C19" t="str">
            <v>COM-Computers-7P_V1.xlsx</v>
          </cell>
          <cell r="F19" t="str">
            <v>ENERGY STAR Desktop</v>
          </cell>
          <cell r="H19">
            <v>55.8193241357245</v>
          </cell>
          <cell r="I19">
            <v>0</v>
          </cell>
          <cell r="K19" t="str">
            <v/>
          </cell>
          <cell r="O19" t="str">
            <v>tj</v>
          </cell>
        </row>
        <row r="20">
          <cell r="B20" t="str">
            <v>Pre-Rinse Spray Valve-Retro</v>
          </cell>
          <cell r="C20" t="str">
            <v>COM-PreRinseSpray-7P_V2.xlsm</v>
          </cell>
          <cell r="F20" t="str">
            <v>Pre-Rinse Spray Valve</v>
          </cell>
          <cell r="H20">
            <v>0.97671631632425404</v>
          </cell>
          <cell r="I20">
            <v>0</v>
          </cell>
          <cell r="K20">
            <v>1.8020364840570837</v>
          </cell>
          <cell r="O20" t="str">
            <v>ks</v>
          </cell>
        </row>
        <row r="21">
          <cell r="B21" t="str">
            <v>Cooking Equipment-NR</v>
          </cell>
          <cell r="C21" t="str">
            <v>COM-Cooking-7P_V4.xlsm</v>
          </cell>
          <cell r="F21" t="str">
            <v>Cooking Equipment</v>
          </cell>
          <cell r="H21">
            <v>66.300435443908256</v>
          </cell>
          <cell r="I21">
            <v>0</v>
          </cell>
          <cell r="K21">
            <v>31.83672767383753</v>
          </cell>
          <cell r="O21" t="str">
            <v>ks</v>
          </cell>
        </row>
        <row r="22">
          <cell r="B22" t="str">
            <v>Premium HVAC Equipment-New</v>
          </cell>
          <cell r="C22" t="str">
            <v>dropped for 7p Stds</v>
          </cell>
          <cell r="F22" t="str">
            <v>Premium HVAC Equipment</v>
          </cell>
          <cell r="H22">
            <v>0</v>
          </cell>
          <cell r="K22">
            <v>7.3598915362035227</v>
          </cell>
        </row>
        <row r="23">
          <cell r="B23" t="str">
            <v>Premium HVAC Equipment-NR</v>
          </cell>
          <cell r="C23" t="str">
            <v>dropped for 7p Stds</v>
          </cell>
          <cell r="F23" t="str">
            <v>Premium HVAC Equipment</v>
          </cell>
          <cell r="H23">
            <v>0</v>
          </cell>
          <cell r="K23">
            <v>28.437885955279242</v>
          </cell>
        </row>
        <row r="24">
          <cell r="B24" t="str">
            <v>Glass-New</v>
          </cell>
          <cell r="C24" t="str">
            <v>dropped for 7p - codes</v>
          </cell>
          <cell r="F24" t="str">
            <v>Windows</v>
          </cell>
          <cell r="K24">
            <v>3.1359227208655991</v>
          </cell>
        </row>
        <row r="25">
          <cell r="B25" t="str">
            <v>Glass-NR</v>
          </cell>
          <cell r="C25" t="str">
            <v>dropped for 7p - codes</v>
          </cell>
          <cell r="F25" t="str">
            <v>Windows</v>
          </cell>
          <cell r="K25">
            <v>7.2056124298919988</v>
          </cell>
        </row>
        <row r="26">
          <cell r="B26" t="str">
            <v>Glass-Retro</v>
          </cell>
          <cell r="C26" t="str">
            <v>see secondary glazing</v>
          </cell>
          <cell r="F26" t="str">
            <v>Windows</v>
          </cell>
          <cell r="K26">
            <v>20.889312946804694</v>
          </cell>
        </row>
        <row r="27">
          <cell r="B27" t="str">
            <v>Advanced Rooftop Controller-New</v>
          </cell>
          <cell r="F27" t="str">
            <v>Advanced Rooftop Controller</v>
          </cell>
          <cell r="K27" t="str">
            <v/>
          </cell>
          <cell r="O27" t="str">
            <v>ks</v>
          </cell>
        </row>
        <row r="28">
          <cell r="B28" t="str">
            <v>Advanced Rooftop Controller-NR</v>
          </cell>
          <cell r="F28" t="str">
            <v>Advanced Rooftop Controller</v>
          </cell>
          <cell r="K28" t="str">
            <v/>
          </cell>
          <cell r="O28" t="str">
            <v>ks</v>
          </cell>
        </row>
        <row r="29">
          <cell r="B29" t="str">
            <v>Advanced Rooftop Controller-Retro</v>
          </cell>
          <cell r="C29" t="str">
            <v>Com-RooftopController-7P_V5.xlsm</v>
          </cell>
          <cell r="F29" t="str">
            <v>Advanced Rooftop Controller</v>
          </cell>
          <cell r="H29">
            <v>119.37282587197582</v>
          </cell>
          <cell r="I29">
            <v>0</v>
          </cell>
          <cell r="K29" t="str">
            <v/>
          </cell>
          <cell r="O29" t="str">
            <v>ks</v>
          </cell>
        </row>
        <row r="30">
          <cell r="B30" t="str">
            <v>Variable Speed Chiller-New</v>
          </cell>
          <cell r="F30" t="str">
            <v>Variable Speed Chiller</v>
          </cell>
          <cell r="K30">
            <v>1.1125921894779771</v>
          </cell>
        </row>
        <row r="31">
          <cell r="B31" t="str">
            <v>Variable Speed Chiller-NR</v>
          </cell>
          <cell r="F31" t="str">
            <v>Variable Speed Chiller</v>
          </cell>
          <cell r="K31">
            <v>12.287439737441444</v>
          </cell>
        </row>
        <row r="32">
          <cell r="B32" t="str">
            <v>Commercial EM-New</v>
          </cell>
          <cell r="F32" t="str">
            <v>Commercial Energy Management For Complex systems</v>
          </cell>
          <cell r="K32">
            <v>9.3003260024451517</v>
          </cell>
        </row>
        <row r="33">
          <cell r="B33" t="str">
            <v>Commercial EM-NR</v>
          </cell>
          <cell r="F33" t="str">
            <v>Commercial Energy Management For Complex systems</v>
          </cell>
          <cell r="K33">
            <v>0</v>
          </cell>
          <cell r="O33" t="str">
            <v>ks</v>
          </cell>
        </row>
        <row r="34">
          <cell r="B34" t="str">
            <v>Commercial EM-Retro</v>
          </cell>
          <cell r="C34" t="str">
            <v>COM-EM-Retro-7P_V3.xlsm</v>
          </cell>
          <cell r="F34" t="str">
            <v>Commercial Energy Management For Complex systems</v>
          </cell>
          <cell r="H34">
            <v>73.075152066903428</v>
          </cell>
          <cell r="I34">
            <v>10.961272810035513</v>
          </cell>
          <cell r="K34">
            <v>120.33075078506094</v>
          </cell>
          <cell r="O34" t="str">
            <v>ks</v>
          </cell>
        </row>
        <row r="35">
          <cell r="B35" t="str">
            <v>Evaporative Assist Cooling-New</v>
          </cell>
          <cell r="C35" t="str">
            <v>dropped for 7p - no data</v>
          </cell>
          <cell r="F35" t="str">
            <v>Evaporative Assist Cooling</v>
          </cell>
          <cell r="K35">
            <v>0</v>
          </cell>
        </row>
        <row r="36">
          <cell r="B36" t="str">
            <v>Evaporative Assist Cooling-NR</v>
          </cell>
          <cell r="C36" t="str">
            <v>dropped for 7p - no data</v>
          </cell>
          <cell r="F36" t="str">
            <v>Evaporative Assist Cooling</v>
          </cell>
          <cell r="K36">
            <v>0</v>
          </cell>
        </row>
        <row r="37">
          <cell r="B37" t="str">
            <v>Economizer-Retro</v>
          </cell>
          <cell r="C37" t="str">
            <v>COM-Economizer-7P_v1.xlsm</v>
          </cell>
          <cell r="F37" t="str">
            <v>Economizer maintenance and repair</v>
          </cell>
          <cell r="H37">
            <v>26.426181974293137</v>
          </cell>
          <cell r="K37">
            <v>5.9129303419382238</v>
          </cell>
        </row>
        <row r="38">
          <cell r="B38" t="str">
            <v>Demand Control Ventilation-New</v>
          </cell>
          <cell r="F38" t="str">
            <v>Demand Control Ventilation</v>
          </cell>
          <cell r="K38">
            <v>3.7806867212698152</v>
          </cell>
          <cell r="O38" t="str">
            <v>ks</v>
          </cell>
        </row>
        <row r="39">
          <cell r="B39" t="str">
            <v>Demand Control Ventilation-NR</v>
          </cell>
          <cell r="F39" t="str">
            <v>Demand Control Ventilation</v>
          </cell>
          <cell r="K39">
            <v>3.1208141189685712</v>
          </cell>
          <cell r="O39" t="str">
            <v>ks</v>
          </cell>
        </row>
        <row r="40">
          <cell r="B40" t="str">
            <v>Demand Control Ventilation-Retro</v>
          </cell>
          <cell r="C40" t="str">
            <v>Com-DCV-7P_V2.xlsm</v>
          </cell>
          <cell r="F40" t="str">
            <v>Demand Control Ventilation</v>
          </cell>
          <cell r="H40">
            <v>28.430557997918477</v>
          </cell>
          <cell r="I40">
            <v>0</v>
          </cell>
          <cell r="K40">
            <v>18.586994736156402</v>
          </cell>
          <cell r="O40" t="str">
            <v>ks</v>
          </cell>
        </row>
        <row r="41">
          <cell r="B41" t="str">
            <v>Premium Fume Hood-NR</v>
          </cell>
          <cell r="C41" t="str">
            <v>COM-FumeHood-7P_V1.xlsm</v>
          </cell>
          <cell r="F41" t="str">
            <v>Premium Fume Hood</v>
          </cell>
          <cell r="H41">
            <v>3.8878892674922914</v>
          </cell>
          <cell r="I41">
            <v>0</v>
          </cell>
          <cell r="K41">
            <v>19.625784442962761</v>
          </cell>
          <cell r="O41" t="str">
            <v>ks</v>
          </cell>
        </row>
        <row r="42">
          <cell r="B42" t="str">
            <v>DCV Restaurant Hood-Retro</v>
          </cell>
          <cell r="F42" t="str">
            <v>DCV Restaurant Hood</v>
          </cell>
          <cell r="K42">
            <v>5.2084283011879595</v>
          </cell>
          <cell r="O42" t="str">
            <v>ks</v>
          </cell>
        </row>
        <row r="43">
          <cell r="B43" t="str">
            <v>DCV Parking Garage-Retro</v>
          </cell>
          <cell r="C43" t="str">
            <v>COM-DCV-Garage-7P_V3.xlsm</v>
          </cell>
          <cell r="F43" t="str">
            <v>DCV Parking Garage</v>
          </cell>
          <cell r="H43">
            <v>12.888276850646843</v>
          </cell>
          <cell r="K43">
            <v>0</v>
          </cell>
          <cell r="O43" t="str">
            <v>ks</v>
          </cell>
        </row>
        <row r="44">
          <cell r="B44" t="str">
            <v>Weatherization - School-Retro</v>
          </cell>
          <cell r="F44" t="str">
            <v>Weatherization - School</v>
          </cell>
          <cell r="K44" t="str">
            <v/>
          </cell>
        </row>
        <row r="45">
          <cell r="B45" t="str">
            <v>Energy Recovery Ventilator-NR</v>
          </cell>
          <cell r="C45" t="str">
            <v>dropped for 7p - too expensive</v>
          </cell>
          <cell r="F45" t="str">
            <v>Heat Recovery Ventilation</v>
          </cell>
          <cell r="K45" t="str">
            <v/>
          </cell>
        </row>
        <row r="46">
          <cell r="B46" t="str">
            <v>AC Heat Recovery for Water Heating-NR</v>
          </cell>
          <cell r="C46" t="str">
            <v>dropped for 7p</v>
          </cell>
          <cell r="F46" t="str">
            <v>AC Heat Recovery for Water Heating</v>
          </cell>
          <cell r="K46" t="str">
            <v/>
          </cell>
        </row>
        <row r="47">
          <cell r="B47" t="str">
            <v>Room Occupancy Sensors in Lodging-Retro</v>
          </cell>
          <cell r="C47" t="str">
            <v>dropped for 7p</v>
          </cell>
          <cell r="F47" t="str">
            <v>Room Occupancy Sensors in Lodging</v>
          </cell>
          <cell r="K47" t="str">
            <v/>
          </cell>
        </row>
        <row r="48">
          <cell r="B48" t="str">
            <v>Chiller - chilled water retrofit-Retro</v>
          </cell>
          <cell r="F48" t="str">
            <v>Chiller - chilled water retrofit</v>
          </cell>
          <cell r="K48" t="str">
            <v/>
          </cell>
        </row>
        <row r="49">
          <cell r="B49" t="str">
            <v>Chiller - equip retrofits-Retro</v>
          </cell>
          <cell r="F49" t="str">
            <v>Chiller - equip retrofits</v>
          </cell>
          <cell r="K49" t="str">
            <v/>
          </cell>
        </row>
        <row r="50">
          <cell r="B50" t="str">
            <v>Pool Blankets-Retro</v>
          </cell>
          <cell r="F50" t="str">
            <v>Pool Blankets</v>
          </cell>
          <cell r="K50" t="str">
            <v/>
          </cell>
        </row>
        <row r="51">
          <cell r="B51" t="str">
            <v>Web-Enabled Thermostats-Retro</v>
          </cell>
          <cell r="F51" t="str">
            <v>Web-Enabled Thermostats</v>
          </cell>
          <cell r="K51" t="str">
            <v/>
          </cell>
        </row>
        <row r="52">
          <cell r="B52" t="str">
            <v>Garage CO2 ventilation-Retro</v>
          </cell>
          <cell r="C52" t="str">
            <v>see com-dcv-garage</v>
          </cell>
          <cell r="F52" t="str">
            <v>Garage CO2 ventilation</v>
          </cell>
          <cell r="K52" t="str">
            <v/>
          </cell>
          <cell r="O52" t="str">
            <v>ks</v>
          </cell>
        </row>
        <row r="53">
          <cell r="B53" t="str">
            <v>Circ Pump ECM and drive-Retro</v>
          </cell>
          <cell r="F53" t="str">
            <v>Circ Pump ECM and drive</v>
          </cell>
          <cell r="K53" t="str">
            <v/>
          </cell>
        </row>
        <row r="54">
          <cell r="B54" t="str">
            <v>VRF-New</v>
          </cell>
          <cell r="C54" t="str">
            <v>COM-VRF-7P_V5.xlsm</v>
          </cell>
          <cell r="F54" t="str">
            <v>Variable Refrigerant Flow</v>
          </cell>
          <cell r="H54">
            <v>61.089028709904269</v>
          </cell>
          <cell r="I54">
            <v>61.089028709904269</v>
          </cell>
          <cell r="K54" t="str">
            <v/>
          </cell>
          <cell r="O54" t="str">
            <v>ks</v>
          </cell>
        </row>
        <row r="55">
          <cell r="B55" t="str">
            <v>VRF-Retro</v>
          </cell>
          <cell r="C55" t="str">
            <v>COM-VRF-7P_V5.xlsm</v>
          </cell>
          <cell r="F55" t="str">
            <v>Variable Refrigerant Flow</v>
          </cell>
          <cell r="H55">
            <v>31.395155521232557</v>
          </cell>
          <cell r="K55" t="str">
            <v/>
          </cell>
          <cell r="O55" t="str">
            <v>ks</v>
          </cell>
        </row>
        <row r="56">
          <cell r="B56" t="str">
            <v>Evaporator Roof Top HVAC-Retro</v>
          </cell>
          <cell r="C56" t="str">
            <v>dropped for 7p</v>
          </cell>
          <cell r="F56" t="str">
            <v>Evaporator Roof Top HVAC</v>
          </cell>
          <cell r="K56" t="str">
            <v/>
          </cell>
        </row>
        <row r="57">
          <cell r="B57" t="str">
            <v>Secondary Glazing Systems-Retro</v>
          </cell>
          <cell r="C57" t="str">
            <v>Com-WindowSGS-7P_V4.xlsx</v>
          </cell>
          <cell r="F57" t="str">
            <v>Secondary Glazing Systems</v>
          </cell>
          <cell r="G57">
            <v>42071</v>
          </cell>
          <cell r="H57">
            <v>40.390797895321441</v>
          </cell>
          <cell r="K57" t="str">
            <v/>
          </cell>
          <cell r="O57" t="str">
            <v>cg</v>
          </cell>
          <cell r="R57">
            <v>42069</v>
          </cell>
          <cell r="T57">
            <v>42069</v>
          </cell>
        </row>
        <row r="58">
          <cell r="B58" t="str">
            <v>LPD Package-New</v>
          </cell>
          <cell r="C58" t="str">
            <v>Com-LightingInterior-7P_v36.xlsx</v>
          </cell>
          <cell r="F58" t="str">
            <v>Lighting Power Density</v>
          </cell>
          <cell r="G58">
            <v>42071</v>
          </cell>
          <cell r="H58">
            <v>77.181342695273457</v>
          </cell>
          <cell r="I58">
            <v>77.181342695273457</v>
          </cell>
          <cell r="K58">
            <v>43.425816906114818</v>
          </cell>
          <cell r="O58" t="str">
            <v>cg</v>
          </cell>
          <cell r="P58">
            <v>42070</v>
          </cell>
          <cell r="Q58">
            <v>42070</v>
          </cell>
          <cell r="R58">
            <v>42069</v>
          </cell>
          <cell r="T58">
            <v>42069</v>
          </cell>
          <cell r="U58">
            <v>42070</v>
          </cell>
        </row>
        <row r="59">
          <cell r="B59" t="str">
            <v>LPD Package-NR</v>
          </cell>
          <cell r="C59" t="str">
            <v>Com-LightingInterior-7P_v36.xlsx</v>
          </cell>
          <cell r="F59" t="str">
            <v>Lighting Power Density</v>
          </cell>
          <cell r="G59">
            <v>42071</v>
          </cell>
          <cell r="H59">
            <v>209.62341372597962</v>
          </cell>
          <cell r="K59">
            <v>288.64083212829757</v>
          </cell>
          <cell r="O59" t="str">
            <v>cg</v>
          </cell>
          <cell r="P59">
            <v>42070</v>
          </cell>
          <cell r="Q59">
            <v>42070</v>
          </cell>
          <cell r="R59">
            <v>42069</v>
          </cell>
          <cell r="T59">
            <v>42069</v>
          </cell>
          <cell r="U59">
            <v>42070</v>
          </cell>
        </row>
        <row r="60">
          <cell r="B60" t="str">
            <v>LPD Package-Retro</v>
          </cell>
          <cell r="C60" t="str">
            <v>Com-LightingInterior-7P_v36.xlsx</v>
          </cell>
          <cell r="F60" t="str">
            <v>Lighting Power Density</v>
          </cell>
          <cell r="G60">
            <v>42071</v>
          </cell>
          <cell r="H60">
            <v>108.93189922488979</v>
          </cell>
          <cell r="K60">
            <v>32.215584324387343</v>
          </cell>
          <cell r="O60" t="str">
            <v>cg</v>
          </cell>
          <cell r="P60">
            <v>42070</v>
          </cell>
          <cell r="Q60">
            <v>42070</v>
          </cell>
          <cell r="R60">
            <v>42069</v>
          </cell>
          <cell r="T60">
            <v>42069</v>
          </cell>
          <cell r="U60">
            <v>42070</v>
          </cell>
        </row>
        <row r="61">
          <cell r="B61" t="str">
            <v>Top Daylighting-New</v>
          </cell>
          <cell r="C61" t="str">
            <v>dropped for 7p - codes</v>
          </cell>
          <cell r="F61" t="str">
            <v>Daylighting with Skylights</v>
          </cell>
          <cell r="K61">
            <v>17.425003592262602</v>
          </cell>
          <cell r="O61" t="str">
            <v>cg</v>
          </cell>
          <cell r="R61">
            <v>42069</v>
          </cell>
          <cell r="T61">
            <v>42069</v>
          </cell>
        </row>
        <row r="62">
          <cell r="B62" t="str">
            <v>Perimeter Daylighting Controls Advanced-New</v>
          </cell>
          <cell r="C62" t="str">
            <v>dropped for 7p - codes</v>
          </cell>
          <cell r="F62" t="str">
            <v>Daylighting with Windows</v>
          </cell>
          <cell r="K62">
            <v>3.1006916194307825</v>
          </cell>
          <cell r="O62" t="str">
            <v>cg</v>
          </cell>
          <cell r="R62">
            <v>42069</v>
          </cell>
          <cell r="T62">
            <v>42069</v>
          </cell>
        </row>
        <row r="63">
          <cell r="B63" t="str">
            <v>Perimeter Daylighting Controls Advanced-NR</v>
          </cell>
          <cell r="F63" t="str">
            <v>Daylighting with Windows</v>
          </cell>
          <cell r="K63">
            <v>11.866846651298719</v>
          </cell>
          <cell r="O63" t="str">
            <v>cg</v>
          </cell>
          <cell r="R63">
            <v>42069</v>
          </cell>
          <cell r="T63">
            <v>42069</v>
          </cell>
        </row>
        <row r="64">
          <cell r="B64" t="str">
            <v>Lighting Controls Interior-New</v>
          </cell>
          <cell r="C64" t="str">
            <v>Com-InteriorLightingControls-7P_V5.xlsx</v>
          </cell>
          <cell r="F64" t="str">
            <v>Lighting Controls Interior</v>
          </cell>
          <cell r="G64">
            <v>42071</v>
          </cell>
          <cell r="H64">
            <v>10.950320424220106</v>
          </cell>
          <cell r="I64">
            <v>10.950320424220106</v>
          </cell>
          <cell r="K64">
            <v>5.4534720066331879</v>
          </cell>
          <cell r="O64" t="str">
            <v>cg</v>
          </cell>
          <cell r="R64">
            <v>42069</v>
          </cell>
          <cell r="T64">
            <v>42069</v>
          </cell>
        </row>
        <row r="65">
          <cell r="B65" t="str">
            <v>Lighting Controls Interior-NR</v>
          </cell>
          <cell r="C65" t="str">
            <v>Com-InteriorLightingControls-7P_V5.xlsx</v>
          </cell>
          <cell r="F65" t="str">
            <v>Lighting Controls Interior</v>
          </cell>
          <cell r="G65">
            <v>42071</v>
          </cell>
          <cell r="H65">
            <v>26.31391009160577</v>
          </cell>
          <cell r="K65">
            <v>53.550862716639848</v>
          </cell>
          <cell r="O65" t="str">
            <v>cg</v>
          </cell>
          <cell r="R65">
            <v>42069</v>
          </cell>
          <cell r="T65">
            <v>42069</v>
          </cell>
        </row>
        <row r="66">
          <cell r="B66" t="str">
            <v>Exterior Building Lighting-New</v>
          </cell>
          <cell r="C66" t="str">
            <v>Com-ExteriorLighting-7P_V13.xlsx</v>
          </cell>
          <cell r="F66" t="str">
            <v>Exterior Building Lighting</v>
          </cell>
          <cell r="G66">
            <v>42070</v>
          </cell>
          <cell r="H66">
            <v>18.695722892998404</v>
          </cell>
          <cell r="I66">
            <v>18.695722892998404</v>
          </cell>
          <cell r="K66">
            <v>23.218243762601482</v>
          </cell>
          <cell r="O66" t="str">
            <v>cg</v>
          </cell>
          <cell r="P66">
            <v>42069</v>
          </cell>
          <cell r="Q66">
            <v>42069</v>
          </cell>
          <cell r="R66">
            <v>42069</v>
          </cell>
          <cell r="T66">
            <v>42069</v>
          </cell>
          <cell r="U66">
            <v>42069</v>
          </cell>
        </row>
        <row r="67">
          <cell r="B67" t="str">
            <v>Exterior Building Lighting-NR</v>
          </cell>
          <cell r="C67" t="str">
            <v>Com-ExteriorLighting-7P_V13.xlsx</v>
          </cell>
          <cell r="F67" t="str">
            <v>Exterior Building Lighting</v>
          </cell>
          <cell r="G67">
            <v>42070</v>
          </cell>
          <cell r="H67">
            <v>123.72449000056638</v>
          </cell>
          <cell r="K67">
            <v>65.152385048123932</v>
          </cell>
          <cell r="O67" t="str">
            <v>cg</v>
          </cell>
          <cell r="P67">
            <v>42069</v>
          </cell>
          <cell r="Q67">
            <v>42069</v>
          </cell>
          <cell r="R67">
            <v>42069</v>
          </cell>
          <cell r="T67">
            <v>42069</v>
          </cell>
          <cell r="U67">
            <v>42069</v>
          </cell>
        </row>
        <row r="68">
          <cell r="B68" t="str">
            <v>Street and Roadway Lighting-New</v>
          </cell>
          <cell r="C68" t="str">
            <v>Com-Streetlight-7P_V9.xlsx</v>
          </cell>
          <cell r="F68" t="str">
            <v>Street and Roadway Lighting</v>
          </cell>
          <cell r="G68">
            <v>42070</v>
          </cell>
          <cell r="H68">
            <v>6.6186035002887733</v>
          </cell>
          <cell r="K68">
            <v>8.0478163439427366</v>
          </cell>
          <cell r="O68" t="str">
            <v>cg</v>
          </cell>
          <cell r="P68">
            <v>42069</v>
          </cell>
          <cell r="Q68">
            <v>42069</v>
          </cell>
          <cell r="R68">
            <v>42069</v>
          </cell>
          <cell r="T68">
            <v>42069</v>
          </cell>
          <cell r="U68">
            <v>42069</v>
          </cell>
        </row>
        <row r="69">
          <cell r="B69" t="str">
            <v>Street and Roadway Lighting-NR</v>
          </cell>
          <cell r="C69" t="str">
            <v>Com-Streetlight-7P_V9.xlsx</v>
          </cell>
          <cell r="F69" t="str">
            <v>Street and Roadway Lighting</v>
          </cell>
          <cell r="G69">
            <v>42070</v>
          </cell>
          <cell r="H69">
            <v>54.214701088024171</v>
          </cell>
          <cell r="K69">
            <v>35.768242090251178</v>
          </cell>
          <cell r="O69" t="str">
            <v>cg</v>
          </cell>
          <cell r="P69">
            <v>42069</v>
          </cell>
          <cell r="Q69">
            <v>42069</v>
          </cell>
          <cell r="R69">
            <v>42069</v>
          </cell>
          <cell r="T69">
            <v>42069</v>
          </cell>
          <cell r="U69">
            <v>42069</v>
          </cell>
        </row>
        <row r="70">
          <cell r="B70" t="str">
            <v>Parking Lighting-New</v>
          </cell>
          <cell r="C70" t="str">
            <v>Com-ParkingGarageLighting-7P_v6.xlsx</v>
          </cell>
          <cell r="F70" t="str">
            <v>Parking Lighting</v>
          </cell>
          <cell r="I70">
            <v>0</v>
          </cell>
          <cell r="K70">
            <v>8.3762581743454216</v>
          </cell>
          <cell r="O70" t="str">
            <v>cg</v>
          </cell>
          <cell r="R70">
            <v>42069</v>
          </cell>
          <cell r="T70">
            <v>42069</v>
          </cell>
        </row>
        <row r="71">
          <cell r="B71" t="str">
            <v>Parking Lighting-NR</v>
          </cell>
          <cell r="C71" t="str">
            <v>Com-ParkingGarageLighting-7P_v6.xlsx</v>
          </cell>
          <cell r="F71" t="str">
            <v>Parking Lighting</v>
          </cell>
          <cell r="G71">
            <v>42064</v>
          </cell>
          <cell r="H71">
            <v>8.4133728390346398</v>
          </cell>
          <cell r="K71">
            <v>45.816647060114327</v>
          </cell>
          <cell r="O71" t="str">
            <v>cg</v>
          </cell>
          <cell r="R71">
            <v>42069</v>
          </cell>
          <cell r="T71">
            <v>42069</v>
          </cell>
        </row>
        <row r="72">
          <cell r="B72" t="str">
            <v>Bi-Level Stairwell Lighting-NR</v>
          </cell>
          <cell r="C72" t="str">
            <v>Com-Bi-Level Stairwell-7P_V2.xlsx</v>
          </cell>
          <cell r="F72" t="str">
            <v>Bi-Level Stairwell</v>
          </cell>
          <cell r="G72">
            <v>42064</v>
          </cell>
          <cell r="H72">
            <v>11.858348727423326</v>
          </cell>
          <cell r="K72" t="str">
            <v/>
          </cell>
          <cell r="O72" t="str">
            <v>cg</v>
          </cell>
          <cell r="R72">
            <v>42069</v>
          </cell>
          <cell r="T72">
            <v>42069</v>
          </cell>
        </row>
        <row r="73">
          <cell r="B73" t="str">
            <v>ECM-VAV-New</v>
          </cell>
          <cell r="C73" t="str">
            <v>COM-ECM-VAV-7P_V2.xlsm</v>
          </cell>
          <cell r="F73" t="str">
            <v>ECM Motors on Variable Air Volume Boxes</v>
          </cell>
          <cell r="H73">
            <v>6.3907640383945719</v>
          </cell>
          <cell r="I73">
            <v>6.3907640383945719</v>
          </cell>
          <cell r="K73">
            <v>2.5095329434297415</v>
          </cell>
          <cell r="O73" t="str">
            <v>ks</v>
          </cell>
        </row>
        <row r="74">
          <cell r="B74" t="str">
            <v>ECM-VAV-NR</v>
          </cell>
          <cell r="C74" t="str">
            <v>COM-ECM-VAV-7P_V2.xlsm</v>
          </cell>
          <cell r="F74" t="str">
            <v>ECM Motors on Variable Air Volume Boxes</v>
          </cell>
          <cell r="H74">
            <v>27.229691418576945</v>
          </cell>
          <cell r="K74">
            <v>8.5068284449929461</v>
          </cell>
          <cell r="O74" t="str">
            <v>ks</v>
          </cell>
        </row>
        <row r="75">
          <cell r="B75" t="str">
            <v>Pool pumps-Retro</v>
          </cell>
          <cell r="C75" t="str">
            <v>dropped for 7p</v>
          </cell>
          <cell r="F75" t="str">
            <v>Pool pumps</v>
          </cell>
          <cell r="K75" t="str">
            <v/>
          </cell>
        </row>
        <row r="76">
          <cell r="B76" t="str">
            <v>MotorsRewind-New</v>
          </cell>
          <cell r="C76" t="str">
            <v>COM-MotorsRewind-7P_v1.xlsm</v>
          </cell>
          <cell r="F76" t="str">
            <v>Motors - Rewind</v>
          </cell>
          <cell r="H76">
            <v>0.59897056594621811</v>
          </cell>
          <cell r="I76">
            <v>0.59897056594621811</v>
          </cell>
          <cell r="K76" t="str">
            <v/>
          </cell>
          <cell r="O76" t="str">
            <v>ks</v>
          </cell>
        </row>
        <row r="77">
          <cell r="B77" t="str">
            <v>MotorsRewind-NR</v>
          </cell>
          <cell r="C77" t="str">
            <v>COM-MotorsRewind-7P_v1.xlsm</v>
          </cell>
          <cell r="F77" t="str">
            <v>Motors - Rewind</v>
          </cell>
          <cell r="H77">
            <v>2.6079890407215234</v>
          </cell>
          <cell r="K77" t="str">
            <v/>
          </cell>
          <cell r="O77" t="str">
            <v>ks</v>
          </cell>
        </row>
        <row r="78">
          <cell r="B78" t="str">
            <v>Municipal Sewage Treatment-Retro</v>
          </cell>
          <cell r="C78" t="str">
            <v>COM-Wastewater-7P_V4.xlsm</v>
          </cell>
          <cell r="D78" t="str">
            <v>SC_Retro</v>
          </cell>
          <cell r="E78" t="str">
            <v>Retro</v>
          </cell>
          <cell r="F78" t="str">
            <v>Municipal Sewage Treatment</v>
          </cell>
          <cell r="H78">
            <v>35.293413394978195</v>
          </cell>
          <cell r="K78">
            <v>35.639494471243012</v>
          </cell>
          <cell r="O78" t="str">
            <v>ks</v>
          </cell>
        </row>
        <row r="79">
          <cell r="B79" t="str">
            <v>Municipal Water Supply-Retro</v>
          </cell>
          <cell r="C79" t="str">
            <v>COM-WaterSupply-7P_V4.xlsm</v>
          </cell>
          <cell r="D79" t="str">
            <v>SC_Retro</v>
          </cell>
          <cell r="E79" t="str">
            <v>Retro</v>
          </cell>
          <cell r="F79" t="str">
            <v>Municipal Water Supply</v>
          </cell>
          <cell r="H79">
            <v>14.07904856503921</v>
          </cell>
          <cell r="K79">
            <v>13.786942026010605</v>
          </cell>
          <cell r="O79" t="str">
            <v>ks</v>
          </cell>
        </row>
        <row r="80">
          <cell r="B80" t="str">
            <v>Engine Generator Block Heaters-Retro</v>
          </cell>
          <cell r="C80" t="str">
            <v>dropped for 7p</v>
          </cell>
          <cell r="F80" t="str">
            <v>Engine Generator Block Heaters</v>
          </cell>
          <cell r="K80" t="str">
            <v/>
          </cell>
        </row>
        <row r="81">
          <cell r="B81" t="str">
            <v>Grocery Refrigeration Bundle-Retro</v>
          </cell>
          <cell r="C81" t="str">
            <v>Com-Grocery-7P_V6.xlsx</v>
          </cell>
          <cell r="F81" t="str">
            <v>Grocery Refrigeration Bundle</v>
          </cell>
          <cell r="G81">
            <v>42081</v>
          </cell>
          <cell r="H81">
            <v>62.969803539181981</v>
          </cell>
          <cell r="K81">
            <v>85.641041401934004</v>
          </cell>
          <cell r="O81" t="str">
            <v>cg</v>
          </cell>
          <cell r="R81">
            <v>42069</v>
          </cell>
          <cell r="T81">
            <v>42069</v>
          </cell>
        </row>
        <row r="82">
          <cell r="B82" t="str">
            <v>Packaged Refrigeration Equipment-New</v>
          </cell>
          <cell r="C82" t="str">
            <v>dropped for 7p - stds</v>
          </cell>
          <cell r="F82" t="str">
            <v>Packaged Refrigeration Equipment</v>
          </cell>
          <cell r="K82">
            <v>49.431909921506794</v>
          </cell>
        </row>
        <row r="83">
          <cell r="B83" t="str">
            <v>Appliances - Freezers-NR</v>
          </cell>
          <cell r="F83" t="str">
            <v>Appliances - Freezers</v>
          </cell>
          <cell r="K83" t="str">
            <v/>
          </cell>
        </row>
        <row r="84">
          <cell r="B84" t="str">
            <v>Appliances - Refrigerators-NR</v>
          </cell>
          <cell r="F84" t="str">
            <v>Appliances - Refrigerators</v>
          </cell>
          <cell r="K84" t="str">
            <v/>
          </cell>
        </row>
        <row r="85">
          <cell r="B85" t="str">
            <v>Water Cooler Controls-NR</v>
          </cell>
          <cell r="C85" t="str">
            <v>Com-WaterCooler-7P_V4.xlsx</v>
          </cell>
          <cell r="F85" t="str">
            <v>Water Cooler Controls</v>
          </cell>
          <cell r="G85">
            <v>42081</v>
          </cell>
          <cell r="H85">
            <v>13.180394293600866</v>
          </cell>
          <cell r="K85" t="str">
            <v/>
          </cell>
          <cell r="O85" t="str">
            <v>cg</v>
          </cell>
          <cell r="R85">
            <v>42069</v>
          </cell>
          <cell r="T85">
            <v>42069</v>
          </cell>
        </row>
        <row r="86">
          <cell r="B86" t="str">
            <v>WHTanks-New</v>
          </cell>
          <cell r="C86" t="str">
            <v>COM-WHTanks-7p_v4.xlsm</v>
          </cell>
          <cell r="F86" t="str">
            <v>DHW - Efficient Tanks</v>
          </cell>
          <cell r="H86">
            <v>0.49370461821151984</v>
          </cell>
          <cell r="I86">
            <v>0.49370461821151984</v>
          </cell>
          <cell r="K86">
            <v>0</v>
          </cell>
          <cell r="O86" t="str">
            <v>ks</v>
          </cell>
        </row>
        <row r="87">
          <cell r="B87" t="str">
            <v>WHTanks-NR</v>
          </cell>
          <cell r="C87" t="str">
            <v>COM-WHTanks-7p_v4.xlsm</v>
          </cell>
          <cell r="F87" t="str">
            <v>DHW - Efficient Tanks</v>
          </cell>
          <cell r="H87">
            <v>2.0446577325813005</v>
          </cell>
          <cell r="K87" t="str">
            <v/>
          </cell>
          <cell r="O87" t="str">
            <v>ks</v>
          </cell>
        </row>
        <row r="88">
          <cell r="B88" t="str">
            <v>Appliances - Clothes Washers-NR</v>
          </cell>
          <cell r="F88" t="str">
            <v>Appliances - Clothes Washers</v>
          </cell>
          <cell r="K88" t="str">
            <v/>
          </cell>
        </row>
        <row r="89">
          <cell r="B89" t="str">
            <v>Showerheads-Retro</v>
          </cell>
          <cell r="C89" t="str">
            <v>COM-Showerhead-7P_v2.xlsm</v>
          </cell>
          <cell r="F89" t="str">
            <v>DHW - Showerheads</v>
          </cell>
          <cell r="H89">
            <v>3.7216771353503777</v>
          </cell>
          <cell r="K89" t="str">
            <v/>
          </cell>
          <cell r="O89" t="str">
            <v>ks</v>
          </cell>
        </row>
        <row r="90">
          <cell r="B90" t="str">
            <v>Water Heating - GFHX-New</v>
          </cell>
          <cell r="C90" t="str">
            <v>dropped for 7p</v>
          </cell>
          <cell r="F90" t="str">
            <v>Water Heating - GFHX</v>
          </cell>
          <cell r="K90" t="str">
            <v/>
          </cell>
        </row>
        <row r="91">
          <cell r="B91" t="str">
            <v>Demand Control Circulating system DHW-Retro</v>
          </cell>
          <cell r="C91" t="str">
            <v>dropped for 7p</v>
          </cell>
          <cell r="F91" t="str">
            <v>Demand Control Circulating system DHW</v>
          </cell>
          <cell r="K91" t="str">
            <v/>
          </cell>
        </row>
        <row r="92">
          <cell r="B92" t="str">
            <v>Central HPWH MF-Retro</v>
          </cell>
          <cell r="F92" t="str">
            <v>Central HPWH MF</v>
          </cell>
          <cell r="K92" t="str">
            <v/>
          </cell>
        </row>
        <row r="93">
          <cell r="B93" t="str">
            <v>Ultra Low Energy Building-New</v>
          </cell>
          <cell r="F93" t="str">
            <v>Ultra Low Energy Building</v>
          </cell>
          <cell r="K93">
            <v>57.012696990717721</v>
          </cell>
          <cell r="O93" t="str">
            <v>cg</v>
          </cell>
          <cell r="R93">
            <v>42069</v>
          </cell>
          <cell r="T93">
            <v>42069</v>
          </cell>
        </row>
        <row r="94">
          <cell r="B94" t="str">
            <v>Low Power LF Lamps-NR</v>
          </cell>
          <cell r="C94" t="str">
            <v>Com-HPLowPowerGSFL-7P_V5.xlsx</v>
          </cell>
          <cell r="F94" t="str">
            <v>High Perf Low Power Fluorescent Lamp PPA</v>
          </cell>
          <cell r="G94">
            <v>42057</v>
          </cell>
          <cell r="H94">
            <v>40.479721787784023</v>
          </cell>
          <cell r="O94" t="str">
            <v>cg</v>
          </cell>
          <cell r="P94">
            <v>42070</v>
          </cell>
          <cell r="Q94">
            <v>42070</v>
          </cell>
          <cell r="R94">
            <v>42069</v>
          </cell>
          <cell r="T94">
            <v>42069</v>
          </cell>
          <cell r="U94">
            <v>42070</v>
          </cell>
        </row>
        <row r="96">
          <cell r="B96" t="str">
            <v>From 6P not in 7P</v>
          </cell>
        </row>
        <row r="97">
          <cell r="B97" t="str">
            <v>Signage-New</v>
          </cell>
          <cell r="C97" t="str">
            <v>dropped for 7p</v>
          </cell>
          <cell r="K97">
            <v>1.1088142099641565</v>
          </cell>
        </row>
        <row r="98">
          <cell r="B98" t="str">
            <v>Signage-NR</v>
          </cell>
          <cell r="C98" t="str">
            <v>dropped for 7p</v>
          </cell>
          <cell r="K98">
            <v>5.6760557940938234</v>
          </cell>
        </row>
        <row r="99">
          <cell r="B99" t="str">
            <v>Exit Signs-NR</v>
          </cell>
          <cell r="C99" t="str">
            <v>dropped for 7p</v>
          </cell>
          <cell r="H99">
            <v>741</v>
          </cell>
          <cell r="K99">
            <v>4.88794421832577</v>
          </cell>
        </row>
        <row r="100">
          <cell r="B100" t="str">
            <v>Roof Insulation-NR</v>
          </cell>
          <cell r="C100" t="str">
            <v>dropped for 7p</v>
          </cell>
          <cell r="K100">
            <v>24.79389803241914</v>
          </cell>
        </row>
        <row r="101">
          <cell r="B101" t="str">
            <v>Package Roof Top Optimization and Repair-New</v>
          </cell>
          <cell r="C101" t="str">
            <v>These will be added back into list when completed</v>
          </cell>
          <cell r="K101">
            <v>4.3297471414332787</v>
          </cell>
        </row>
        <row r="102">
          <cell r="B102" t="str">
            <v>Package Roof Top Optimization and Repair-NR</v>
          </cell>
          <cell r="C102" t="str">
            <v>These will be added back into list when completed</v>
          </cell>
          <cell r="K102">
            <v>8.0798753943758364</v>
          </cell>
        </row>
        <row r="103">
          <cell r="B103" t="str">
            <v>Package Roof Top Optimization and Repair-Retro</v>
          </cell>
          <cell r="C103" t="str">
            <v>These will be added back into list when completed</v>
          </cell>
          <cell r="K103">
            <v>13.993833635474468</v>
          </cell>
        </row>
        <row r="104">
          <cell r="B104" t="str">
            <v>Computer Servers and IT-Retro</v>
          </cell>
          <cell r="C104" t="str">
            <v>See data centers</v>
          </cell>
        </row>
        <row r="105">
          <cell r="B105" t="str">
            <v>Low Pressure Distribution Complex HVAC-New</v>
          </cell>
          <cell r="F105" t="str">
            <v>Low Pressure Distribution Complex HVAC</v>
          </cell>
        </row>
        <row r="107">
          <cell r="B107" t="str">
            <v>Considered by not included in 7P</v>
          </cell>
        </row>
        <row r="108">
          <cell r="B108" t="str">
            <v>Energy Recovery Ventilator-NR</v>
          </cell>
          <cell r="C108" t="str">
            <v>dropped for 7p - too expensive</v>
          </cell>
        </row>
        <row r="109">
          <cell r="B109" t="str">
            <v>AC Heat Recovery for Water Heating-NR</v>
          </cell>
          <cell r="C109" t="str">
            <v>dropped for 7p</v>
          </cell>
        </row>
        <row r="110">
          <cell r="B110" t="str">
            <v>Room Occupancy Sensors in Lodging-Retro</v>
          </cell>
          <cell r="C110" t="str">
            <v>dropped for 7p</v>
          </cell>
          <cell r="D110" t="str">
            <v>dropped for 7p</v>
          </cell>
          <cell r="E110" t="str">
            <v>dropped for 7p</v>
          </cell>
          <cell r="F110" t="str">
            <v>dropped for 7p</v>
          </cell>
        </row>
        <row r="111">
          <cell r="B111" t="str">
            <v>Commercial Clothes Washers-New</v>
          </cell>
          <cell r="C111" t="str">
            <v>dropped for 7p</v>
          </cell>
          <cell r="D111" t="str">
            <v>dropped for 7p</v>
          </cell>
          <cell r="E111" t="str">
            <v>dropped for 7p</v>
          </cell>
          <cell r="F111" t="str">
            <v>dropped for 7p</v>
          </cell>
        </row>
        <row r="112">
          <cell r="B112" t="str">
            <v>Switched Reluctance/Permanent Magnet Motors-Retro</v>
          </cell>
          <cell r="C112" t="str">
            <v>see ecm-vav - could be expanded to other applications</v>
          </cell>
          <cell r="F112" t="str">
            <v>Switched Reluctance/Permanent Magnet Motors</v>
          </cell>
          <cell r="L112" t="str">
            <v>power supplies</v>
          </cell>
        </row>
        <row r="113">
          <cell r="B113">
            <v>0</v>
          </cell>
          <cell r="F113">
            <v>0</v>
          </cell>
          <cell r="L113" t="str">
            <v>Computers (in ICE)</v>
          </cell>
        </row>
        <row r="114">
          <cell r="L114" t="str">
            <v>Monitors (in ICE)</v>
          </cell>
        </row>
      </sheetData>
      <sheetData sheetId="3">
        <row r="19">
          <cell r="B19" t="str">
            <v>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0.81420000000000003</v>
          </cell>
          <cell r="D34">
            <v>0.81420000000000003</v>
          </cell>
          <cell r="E34">
            <v>0.81420000000000003</v>
          </cell>
          <cell r="F34">
            <v>0.81420000000000003</v>
          </cell>
          <cell r="G34">
            <v>0.81420000000000003</v>
          </cell>
          <cell r="H34">
            <v>0.81420000000000003</v>
          </cell>
          <cell r="I34">
            <v>0.81420000000000003</v>
          </cell>
          <cell r="J34">
            <v>0.81420000000000003</v>
          </cell>
          <cell r="K34">
            <v>0.81420000000000003</v>
          </cell>
          <cell r="L34">
            <v>0.81420000000000003</v>
          </cell>
          <cell r="M34">
            <v>0.81420000000000003</v>
          </cell>
          <cell r="N34">
            <v>0.81420000000000003</v>
          </cell>
          <cell r="O34">
            <v>0.81420000000000003</v>
          </cell>
          <cell r="P34">
            <v>0.81420000000000003</v>
          </cell>
          <cell r="Q34">
            <v>0.81420000000000003</v>
          </cell>
          <cell r="R34">
            <v>0.81420000000000003</v>
          </cell>
          <cell r="S34">
            <v>0.81420000000000003</v>
          </cell>
          <cell r="T34">
            <v>0.81420000000000003</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Economizer-Retro</v>
          </cell>
          <cell r="C37">
            <v>0.37773742662640791</v>
          </cell>
          <cell r="D37">
            <v>0.23826646440482974</v>
          </cell>
          <cell r="E37">
            <v>5.5518884697354179E-2</v>
          </cell>
          <cell r="F37">
            <v>0.35309381104934129</v>
          </cell>
          <cell r="G37">
            <v>0.19907568268653997</v>
          </cell>
          <cell r="H37">
            <v>0.15513670187653161</v>
          </cell>
          <cell r="I37">
            <v>1.0197910929940514E-2</v>
          </cell>
          <cell r="J37">
            <v>0.28088324172086482</v>
          </cell>
          <cell r="K37">
            <v>0.28088324172086482</v>
          </cell>
          <cell r="L37">
            <v>0.11124903795477889</v>
          </cell>
          <cell r="M37">
            <v>0.31360984414443888</v>
          </cell>
          <cell r="N37">
            <v>0.15264480663133839</v>
          </cell>
          <cell r="O37">
            <v>0.24652213025227437</v>
          </cell>
          <cell r="P37">
            <v>7.8175735111402314E-2</v>
          </cell>
          <cell r="Q37">
            <v>0.34124133606352913</v>
          </cell>
          <cell r="R37">
            <v>5.9048454739110051E-2</v>
          </cell>
          <cell r="S37">
            <v>0.29894926354357898</v>
          </cell>
          <cell r="T37">
            <v>0.31491070071894045</v>
          </cell>
          <cell r="X37">
            <v>0.62956237771067991</v>
          </cell>
          <cell r="Y37">
            <v>0.31768861920643965</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0.10326972741610822</v>
          </cell>
          <cell r="D40">
            <v>0.62207382538606792</v>
          </cell>
          <cell r="E40">
            <v>0.71764122486097937</v>
          </cell>
          <cell r="F40">
            <v>0.64936643170170361</v>
          </cell>
          <cell r="G40">
            <v>0.3754791340852166</v>
          </cell>
          <cell r="H40">
            <v>0.51861578363233451</v>
          </cell>
          <cell r="I40">
            <v>0.4224831216091387</v>
          </cell>
          <cell r="J40">
            <v>0.32307857163168779</v>
          </cell>
          <cell r="K40">
            <v>0.19213044434378573</v>
          </cell>
          <cell r="L40">
            <v>0.21144946069810441</v>
          </cell>
          <cell r="M40">
            <v>0.43390558040018462</v>
          </cell>
          <cell r="N40">
            <v>0.57499869036077145</v>
          </cell>
          <cell r="O40">
            <v>0.45018285377424883</v>
          </cell>
          <cell r="P40">
            <v>0.24208313482049432</v>
          </cell>
          <cell r="Q40">
            <v>0.12663145344947355</v>
          </cell>
          <cell r="R40">
            <v>0.3226231781527627</v>
          </cell>
          <cell r="S40">
            <v>0.47074543668218816</v>
          </cell>
          <cell r="T40">
            <v>0.34671695238562511</v>
          </cell>
          <cell r="X40">
            <v>0.14631137601011796</v>
          </cell>
          <cell r="Y40">
            <v>0.74589661920231454</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X54">
            <v>0.05</v>
          </cell>
          <cell r="Y54">
            <v>0.8</v>
          </cell>
        </row>
        <row r="55">
          <cell r="B55" t="str">
            <v>VRF-Retro</v>
          </cell>
          <cell r="C55">
            <v>2.4820152866650024E-2</v>
          </cell>
          <cell r="D55">
            <v>6.9496428026620066E-2</v>
          </cell>
          <cell r="E55">
            <v>6.9496428026620066E-2</v>
          </cell>
          <cell r="F55">
            <v>4.9500000000000004E-3</v>
          </cell>
          <cell r="G55">
            <v>6.93E-2</v>
          </cell>
          <cell r="H55">
            <v>6.93E-2</v>
          </cell>
          <cell r="I55">
            <v>2.4750000000000001E-2</v>
          </cell>
          <cell r="J55">
            <v>2.4750000000000001E-2</v>
          </cell>
          <cell r="K55">
            <v>2.4750000000000001E-2</v>
          </cell>
          <cell r="L55">
            <v>2.4750000000000001E-2</v>
          </cell>
          <cell r="M55">
            <v>6.93E-2</v>
          </cell>
          <cell r="N55">
            <v>6.93E-2</v>
          </cell>
          <cell r="O55">
            <v>9.8999999999999999E-4</v>
          </cell>
          <cell r="P55">
            <v>4.9500000000000004E-3</v>
          </cell>
          <cell r="Q55">
            <v>4.9500000000000004E-3</v>
          </cell>
          <cell r="R55">
            <v>2.4750000000000001E-2</v>
          </cell>
          <cell r="S55">
            <v>6.93E-2</v>
          </cell>
          <cell r="T55">
            <v>4.9500000000000004E-3</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X57">
            <v>0</v>
          </cell>
          <cell r="Y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0.6</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Bi-Level Stairwell Lighting-NR</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X85">
            <v>0</v>
          </cell>
          <cell r="Y85">
            <v>0</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X93">
            <v>0</v>
          </cell>
          <cell r="Y93">
            <v>0</v>
          </cell>
        </row>
        <row r="94">
          <cell r="B94" t="str">
            <v>Low Power LF Lamps-NR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X94">
            <v>1</v>
          </cell>
          <cell r="Y94">
            <v>1</v>
          </cell>
        </row>
      </sheetData>
      <sheetData sheetId="4">
        <row r="19">
          <cell r="B19" t="str">
            <v>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NEEA Sales data</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0.18579999999999999</v>
          </cell>
          <cell r="D34">
            <v>0.18579999999999999</v>
          </cell>
          <cell r="E34">
            <v>0.18579999999999999</v>
          </cell>
          <cell r="F34">
            <v>0.18579999999999999</v>
          </cell>
          <cell r="G34">
            <v>0.18579999999999999</v>
          </cell>
          <cell r="H34">
            <v>0.18579999999999999</v>
          </cell>
          <cell r="I34">
            <v>0.18579999999999999</v>
          </cell>
          <cell r="J34">
            <v>0.18579999999999999</v>
          </cell>
          <cell r="K34">
            <v>0.18579999999999999</v>
          </cell>
          <cell r="L34">
            <v>0.18579999999999999</v>
          </cell>
          <cell r="M34">
            <v>0.18579999999999999</v>
          </cell>
          <cell r="N34">
            <v>0.18579999999999999</v>
          </cell>
          <cell r="O34">
            <v>0.18579999999999999</v>
          </cell>
          <cell r="P34">
            <v>0.18579999999999999</v>
          </cell>
          <cell r="Q34">
            <v>0.18579999999999999</v>
          </cell>
          <cell r="R34">
            <v>0.18579999999999999</v>
          </cell>
          <cell r="S34">
            <v>0.18579999999999999</v>
          </cell>
          <cell r="T34">
            <v>0.18579999999999999</v>
          </cell>
          <cell r="U34" t="str">
            <v/>
          </cell>
          <cell r="V34" t="str">
            <v>From 6 going on 7.  See Com-EM workbook</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Economizer-Retro</v>
          </cell>
          <cell r="C37">
            <v>0.4</v>
          </cell>
          <cell r="D37">
            <v>0.25</v>
          </cell>
          <cell r="E37">
            <v>0.25</v>
          </cell>
          <cell r="F37">
            <v>0.4</v>
          </cell>
          <cell r="G37">
            <v>0.25</v>
          </cell>
          <cell r="H37">
            <v>0.25</v>
          </cell>
          <cell r="I37">
            <v>0.25</v>
          </cell>
          <cell r="J37">
            <v>0.4</v>
          </cell>
          <cell r="K37">
            <v>0.4</v>
          </cell>
          <cell r="L37">
            <v>0.25</v>
          </cell>
          <cell r="M37">
            <v>0.4</v>
          </cell>
          <cell r="N37">
            <v>0.25</v>
          </cell>
          <cell r="O37">
            <v>0.25</v>
          </cell>
          <cell r="P37">
            <v>0.25</v>
          </cell>
          <cell r="Q37">
            <v>0.4</v>
          </cell>
          <cell r="R37">
            <v>0.25</v>
          </cell>
          <cell r="S37">
            <v>0.25</v>
          </cell>
          <cell r="T37">
            <v>0.25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0.29417841433623887</v>
          </cell>
          <cell r="D40">
            <v>0.16600530238180544</v>
          </cell>
          <cell r="E40">
            <v>2.3737663898859066E-2</v>
          </cell>
          <cell r="F40">
            <v>0.22300715162221316</v>
          </cell>
          <cell r="G40">
            <v>0.19741792645695339</v>
          </cell>
          <cell r="H40">
            <v>4.2740762746028386E-2</v>
          </cell>
          <cell r="I40">
            <v>1.3597214573254024E-2</v>
          </cell>
          <cell r="J40">
            <v>0.3265989178858158</v>
          </cell>
          <cell r="K40">
            <v>0.13622896031789924</v>
          </cell>
          <cell r="L40">
            <v>0.12181229468805803</v>
          </cell>
          <cell r="M40">
            <v>1.5043119467328166E-2</v>
          </cell>
          <cell r="N40">
            <v>0.13718952244125024</v>
          </cell>
          <cell r="O40">
            <v>0.13714113159081304</v>
          </cell>
          <cell r="P40">
            <v>3.8125362646436782E-2</v>
          </cell>
          <cell r="Q40">
            <v>0.13622896031789924</v>
          </cell>
          <cell r="R40">
            <v>9.2381299117502383E-2</v>
          </cell>
          <cell r="S40">
            <v>0.22458868903269982</v>
          </cell>
          <cell r="T40">
            <v>0.27868917229328594</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cell r="W41">
            <v>0.29417841433623887</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W42">
            <v>0.16600530238180544</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cell r="W43">
            <v>2.3737663898859066E-2</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cell r="W44">
            <v>0.22300715162221316</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NEEA Sales data</v>
          </cell>
          <cell r="W45">
            <v>0.19741792645695339</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cell r="W46">
            <v>4.2740762746028386E-2</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cell r="W47">
            <v>1.3597214573254024E-2</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cell r="W48">
            <v>0.3265989178858158</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cell r="W49">
            <v>0.13622896031789924</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cell r="W50">
            <v>0.12181229468805803</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cell r="W51">
            <v>1.5043119467328166E-2</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cell r="W52">
            <v>0.13718952244125024</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cell r="W53">
            <v>0.13714113159081304</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cell r="W54">
            <v>3.8125362646436782E-2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cell r="W55">
            <v>0.13622896031789924</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cell r="W56">
            <v>9.2381299117502383E-2</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t="str">
            <v>Baseline saturation in measure workbook.  Multiple measures</v>
          </cell>
          <cell r="W57">
            <v>0.22458868903269982</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cell r="W58">
            <v>0.27868917229328594</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cell r="W59">
            <v>0.22300715162221316</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cell r="W60">
            <v>0.3265989178858158</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cell r="W61">
            <v>0.12181229468805803</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cell r="W62">
            <v>0.17488641186800052</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0.4</v>
          </cell>
          <cell r="V68" t="str">
            <v>Baseline saturation in measure workbook.  Source (DOE 2014)</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  Source (DOE 2014)</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Bi-Level Stairwell Lighting-NR</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ECM-VAV-New</v>
          </cell>
          <cell r="C73">
            <v>0.4</v>
          </cell>
          <cell r="D73">
            <v>0.3</v>
          </cell>
          <cell r="E73">
            <v>0.1</v>
          </cell>
          <cell r="F73">
            <v>0.1</v>
          </cell>
          <cell r="G73">
            <v>0.1</v>
          </cell>
          <cell r="H73">
            <v>0.1</v>
          </cell>
          <cell r="I73">
            <v>0.4</v>
          </cell>
          <cell r="J73">
            <v>0.1</v>
          </cell>
          <cell r="K73">
            <v>0.4</v>
          </cell>
          <cell r="L73">
            <v>0.1</v>
          </cell>
          <cell r="M73">
            <v>0.1</v>
          </cell>
          <cell r="N73">
            <v>0.1</v>
          </cell>
          <cell r="O73">
            <v>0.1</v>
          </cell>
          <cell r="P73">
            <v>0.1</v>
          </cell>
          <cell r="Q73">
            <v>0.4</v>
          </cell>
          <cell r="R73">
            <v>0.1</v>
          </cell>
          <cell r="S73">
            <v>0.1</v>
          </cell>
          <cell r="T73">
            <v>0.4</v>
          </cell>
          <cell r="U73">
            <v>0</v>
          </cell>
        </row>
        <row r="74">
          <cell r="B74" t="str">
            <v>ECM-VAV-NR</v>
          </cell>
          <cell r="C74">
            <v>0.2</v>
          </cell>
          <cell r="D74">
            <v>0.2</v>
          </cell>
          <cell r="E74">
            <v>0.1</v>
          </cell>
          <cell r="F74">
            <v>0.1</v>
          </cell>
          <cell r="G74">
            <v>0.1</v>
          </cell>
          <cell r="H74">
            <v>0.1</v>
          </cell>
          <cell r="I74">
            <v>0.2</v>
          </cell>
          <cell r="J74">
            <v>0.1</v>
          </cell>
          <cell r="K74">
            <v>0.2</v>
          </cell>
          <cell r="L74">
            <v>0.1</v>
          </cell>
          <cell r="M74">
            <v>0.1</v>
          </cell>
          <cell r="N74">
            <v>0.1</v>
          </cell>
          <cell r="O74">
            <v>0.1</v>
          </cell>
          <cell r="P74">
            <v>0.1</v>
          </cell>
          <cell r="Q74">
            <v>0.2</v>
          </cell>
          <cell r="R74">
            <v>0.1</v>
          </cell>
          <cell r="S74">
            <v>0.1</v>
          </cell>
          <cell r="T74">
            <v>0.2</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t="str">
            <v>Baseline saturation in measure workbook.  Multiple measures</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Showerheads-Retro</v>
          </cell>
          <cell r="C89">
            <v>0.2</v>
          </cell>
          <cell r="D89">
            <v>0.2</v>
          </cell>
          <cell r="E89">
            <v>0.2</v>
          </cell>
          <cell r="F89">
            <v>0.2</v>
          </cell>
          <cell r="G89">
            <v>0.2</v>
          </cell>
          <cell r="H89">
            <v>0.2</v>
          </cell>
          <cell r="I89">
            <v>0.2</v>
          </cell>
          <cell r="J89">
            <v>0.2</v>
          </cell>
          <cell r="K89">
            <v>0.2</v>
          </cell>
          <cell r="L89">
            <v>0.2</v>
          </cell>
          <cell r="M89">
            <v>0.2</v>
          </cell>
          <cell r="N89">
            <v>0.2</v>
          </cell>
          <cell r="O89">
            <v>0.2</v>
          </cell>
          <cell r="P89">
            <v>0.2</v>
          </cell>
          <cell r="Q89">
            <v>0.2</v>
          </cell>
          <cell r="R89">
            <v>0.2</v>
          </cell>
          <cell r="S89">
            <v>0.2</v>
          </cell>
          <cell r="T89">
            <v>0.2</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Ultra Low Energy Building-New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B94" t="str">
            <v>Low Power LF Lamps-NR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t="str">
            <v>In workbook. Uses market average mix of lpow watt from sales data</v>
          </cell>
        </row>
      </sheetData>
      <sheetData sheetId="5">
        <row r="19">
          <cell r="B19" t="str">
            <v>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Economizer-Retro</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Retro</v>
          </cell>
          <cell r="Y37" t="str">
            <v>_PRE2013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Energy Recovery Ventilator-NR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Bi-Level Stairwell Lighting-NR</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NR</v>
          </cell>
          <cell r="Y72" t="str">
            <v>POST2013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Controls-NR</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NR</v>
          </cell>
          <cell r="Y85" t="str">
            <v>POST2013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Low Power LF Lamps-NR</v>
          </cell>
          <cell r="C94" t="str">
            <v>_PRE2013</v>
          </cell>
          <cell r="D94" t="str">
            <v>_PRE2013</v>
          </cell>
          <cell r="W94" t="str">
            <v>_PRE2013</v>
          </cell>
          <cell r="X94" t="str">
            <v>Retro</v>
          </cell>
          <cell r="Y94" t="str">
            <v>_PRE2013</v>
          </cell>
        </row>
      </sheetData>
      <sheetData sheetId="6">
        <row r="19">
          <cell r="B19" t="str">
            <v>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Energy Recovery Ventilator-NR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Low Power LF Lamps-NR</v>
          </cell>
        </row>
      </sheetData>
      <sheetData sheetId="7">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row>
        <row r="21">
          <cell r="A21" t="str">
            <v>Electronics</v>
          </cell>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Electronics</v>
          </cell>
          <cell r="B22" t="str">
            <v>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row>
        <row r="23">
          <cell r="A23" t="str">
            <v>Electronics</v>
          </cell>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row>
        <row r="24">
          <cell r="A24" t="str">
            <v>Electronics</v>
          </cell>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row>
        <row r="25">
          <cell r="A25" t="str">
            <v>Electronics</v>
          </cell>
          <cell r="B25" t="str">
            <v>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row>
        <row r="26">
          <cell r="A26" t="str">
            <v>Electronics</v>
          </cell>
          <cell r="B26" t="str">
            <v>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row>
        <row r="27">
          <cell r="A27" t="str">
            <v>Food Preparation</v>
          </cell>
          <cell r="B27" t="str">
            <v>Pre-Rinse Spray Valve-Retro</v>
          </cell>
          <cell r="C27" t="str">
            <v>Retro12Med</v>
          </cell>
          <cell r="D27">
            <v>0.10937459468255628</v>
          </cell>
          <cell r="E27">
            <v>0.10937459468255628</v>
          </cell>
          <cell r="F27">
            <v>0.10937459468255628</v>
          </cell>
          <cell r="G27">
            <v>0.10937459468255628</v>
          </cell>
          <cell r="H27">
            <v>0.10937459468255628</v>
          </cell>
          <cell r="I27">
            <v>9.8437135214300656E-2</v>
          </cell>
          <cell r="J27">
            <v>7.874970817144053E-2</v>
          </cell>
          <cell r="K27">
            <v>6.2999766537152418E-2</v>
          </cell>
          <cell r="L27">
            <v>5.0399813229721938E-2</v>
          </cell>
          <cell r="M27">
            <v>4.0319850583777551E-2</v>
          </cell>
          <cell r="N27">
            <v>3.225588046702204E-2</v>
          </cell>
          <cell r="O27">
            <v>2.5804704373617631E-2</v>
          </cell>
          <cell r="P27">
            <v>2.0643763498894106E-2</v>
          </cell>
          <cell r="Q27">
            <v>1.6515010799115284E-2</v>
          </cell>
          <cell r="R27">
            <v>1.3212008639292228E-2</v>
          </cell>
          <cell r="S27">
            <v>1.0569606911433781E-2</v>
          </cell>
          <cell r="T27">
            <v>7.2092823794611682E-5</v>
          </cell>
          <cell r="U27">
            <v>2.5747437069512102E-5</v>
          </cell>
          <cell r="V27">
            <v>8.7775353646568632E-6</v>
          </cell>
          <cell r="W27">
            <v>2.8622397928446119E-6</v>
          </cell>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row>
        <row r="29">
          <cell r="A29" t="str">
            <v>HVAC</v>
          </cell>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row>
        <row r="30">
          <cell r="A30" t="str">
            <v>HVAC</v>
          </cell>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row>
        <row r="33">
          <cell r="A33" t="str">
            <v>HVAC</v>
          </cell>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HVAC</v>
          </cell>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row>
        <row r="41">
          <cell r="A41" t="str">
            <v>HVAC</v>
          </cell>
          <cell r="B41" t="str">
            <v>Commercial EM-Retro</v>
          </cell>
          <cell r="C41" t="str">
            <v>Retro12Med</v>
          </cell>
          <cell r="D41">
            <v>0.10937459468255628</v>
          </cell>
          <cell r="E41">
            <v>0.10937459468255628</v>
          </cell>
          <cell r="F41">
            <v>0.10937459468255628</v>
          </cell>
          <cell r="G41">
            <v>0.10937459468255628</v>
          </cell>
          <cell r="H41">
            <v>0.10937459468255628</v>
          </cell>
          <cell r="I41">
            <v>9.8437135214300656E-2</v>
          </cell>
          <cell r="J41">
            <v>7.874970817144053E-2</v>
          </cell>
          <cell r="K41">
            <v>6.2999766537152418E-2</v>
          </cell>
          <cell r="L41">
            <v>5.0399813229721938E-2</v>
          </cell>
          <cell r="M41">
            <v>4.0319850583777551E-2</v>
          </cell>
          <cell r="N41">
            <v>3.225588046702204E-2</v>
          </cell>
          <cell r="O41">
            <v>2.5804704373617631E-2</v>
          </cell>
          <cell r="P41">
            <v>2.0643763498894106E-2</v>
          </cell>
          <cell r="Q41">
            <v>1.6515010799115284E-2</v>
          </cell>
          <cell r="R41">
            <v>1.3212008639292228E-2</v>
          </cell>
          <cell r="S41">
            <v>1.0569606911433781E-2</v>
          </cell>
          <cell r="T41">
            <v>7.2092823794611682E-5</v>
          </cell>
          <cell r="U41">
            <v>2.5747437069512102E-5</v>
          </cell>
          <cell r="V41">
            <v>8.7775353646568632E-6</v>
          </cell>
          <cell r="W41">
            <v>2.8622397928446119E-6</v>
          </cell>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row>
        <row r="44">
          <cell r="A44" t="str">
            <v>HVAC</v>
          </cell>
          <cell r="B44" t="str">
            <v>Economizer-Retro</v>
          </cell>
          <cell r="C44" t="str">
            <v>Retro12Med</v>
          </cell>
          <cell r="D44">
            <v>0.10937459468255628</v>
          </cell>
          <cell r="E44">
            <v>0.10937459468255628</v>
          </cell>
          <cell r="F44">
            <v>0.10937459468255628</v>
          </cell>
          <cell r="G44">
            <v>0.10937459468255628</v>
          </cell>
          <cell r="H44">
            <v>0.10937459468255628</v>
          </cell>
          <cell r="I44">
            <v>9.8437135214300656E-2</v>
          </cell>
          <cell r="J44">
            <v>7.874970817144053E-2</v>
          </cell>
          <cell r="K44">
            <v>6.2999766537152418E-2</v>
          </cell>
          <cell r="L44">
            <v>5.0399813229721938E-2</v>
          </cell>
          <cell r="M44">
            <v>4.0319850583777551E-2</v>
          </cell>
          <cell r="N44">
            <v>3.225588046702204E-2</v>
          </cell>
          <cell r="O44">
            <v>2.5804704373617631E-2</v>
          </cell>
          <cell r="P44">
            <v>2.0643763498894106E-2</v>
          </cell>
          <cell r="Q44">
            <v>1.6515010799115284E-2</v>
          </cell>
          <cell r="R44">
            <v>1.3212008639292228E-2</v>
          </cell>
          <cell r="S44">
            <v>1.0569606911433781E-2</v>
          </cell>
          <cell r="T44">
            <v>7.2092823794611682E-5</v>
          </cell>
          <cell r="U44">
            <v>2.5747437069512102E-5</v>
          </cell>
          <cell r="V44">
            <v>8.7775353646568632E-6</v>
          </cell>
          <cell r="W44">
            <v>2.8622397928446119E-6</v>
          </cell>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row>
        <row r="47">
          <cell r="A47" t="str">
            <v>HVAC</v>
          </cell>
          <cell r="B47" t="str">
            <v>Demand Control Ventilation-Retro</v>
          </cell>
          <cell r="C47" t="str">
            <v>Retro12Med</v>
          </cell>
          <cell r="D47">
            <v>0.10937459468255628</v>
          </cell>
          <cell r="E47">
            <v>0.10937459468255628</v>
          </cell>
          <cell r="F47">
            <v>0.10937459468255628</v>
          </cell>
          <cell r="G47">
            <v>0.10937459468255628</v>
          </cell>
          <cell r="H47">
            <v>0.10937459468255628</v>
          </cell>
          <cell r="I47">
            <v>9.8437135214300656E-2</v>
          </cell>
          <cell r="J47">
            <v>7.874970817144053E-2</v>
          </cell>
          <cell r="K47">
            <v>6.2999766537152418E-2</v>
          </cell>
          <cell r="L47">
            <v>5.0399813229721938E-2</v>
          </cell>
          <cell r="M47">
            <v>4.0319850583777551E-2</v>
          </cell>
          <cell r="N47">
            <v>3.225588046702204E-2</v>
          </cell>
          <cell r="O47">
            <v>2.5804704373617631E-2</v>
          </cell>
          <cell r="P47">
            <v>2.0643763498894106E-2</v>
          </cell>
          <cell r="Q47">
            <v>1.6515010799115284E-2</v>
          </cell>
          <cell r="R47">
            <v>1.3212008639292228E-2</v>
          </cell>
          <cell r="S47">
            <v>1.0569606911433781E-2</v>
          </cell>
          <cell r="T47">
            <v>7.2092823794611682E-5</v>
          </cell>
          <cell r="U47">
            <v>2.5747437069512102E-5</v>
          </cell>
          <cell r="V47">
            <v>8.7775353646568632E-6</v>
          </cell>
          <cell r="W47">
            <v>2.8622397928446119E-6</v>
          </cell>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row>
        <row r="49">
          <cell r="A49" t="str">
            <v>HVAC</v>
          </cell>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row>
        <row r="50">
          <cell r="A50" t="str">
            <v>HVAC</v>
          </cell>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row>
        <row r="52">
          <cell r="A52" t="str">
            <v>HVAC</v>
          </cell>
          <cell r="B52" t="str">
            <v>Energy Recovery Ventilator-NR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row>
        <row r="55">
          <cell r="A55" t="str">
            <v>HVAC</v>
          </cell>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row>
        <row r="56">
          <cell r="A56" t="str">
            <v>HVAC</v>
          </cell>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row>
        <row r="57">
          <cell r="A57" t="str">
            <v>HVAC</v>
          </cell>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row>
        <row r="58">
          <cell r="A58" t="str">
            <v>HVAC</v>
          </cell>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row>
        <row r="59">
          <cell r="A59" t="str">
            <v>HVAC</v>
          </cell>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row>
        <row r="60">
          <cell r="A60" t="str">
            <v>HVAC</v>
          </cell>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row>
        <row r="62">
          <cell r="A62" t="str">
            <v>HVAC</v>
          </cell>
          <cell r="B62" t="str">
            <v>VRF-Retro</v>
          </cell>
          <cell r="C62" t="str">
            <v>Retro3Slow</v>
          </cell>
          <cell r="D62">
            <v>5.5320496977002724E-3</v>
          </cell>
          <cell r="E62">
            <v>8.6958686465615706E-3</v>
          </cell>
          <cell r="F62">
            <v>1.7391737293123145E-2</v>
          </cell>
          <cell r="G62">
            <v>3.0435540262965514E-2</v>
          </cell>
          <cell r="H62">
            <v>4.7344173742390784E-2</v>
          </cell>
          <cell r="I62">
            <v>6.6281843239347063E-2</v>
          </cell>
          <cell r="J62">
            <v>8.4358709577350838E-2</v>
          </cell>
          <cell r="K62">
            <v>9.8418494506909315E-2</v>
          </cell>
          <cell r="L62">
            <v>0.10598914793051767</v>
          </cell>
          <cell r="M62">
            <v>0.10598914793051767</v>
          </cell>
          <cell r="N62">
            <v>9.8923204735149928E-2</v>
          </cell>
          <cell r="O62">
            <v>8.655780414325609E-2</v>
          </cell>
          <cell r="P62">
            <v>7.1282897529740263E-2</v>
          </cell>
          <cell r="Q62">
            <v>5.5442253634242489E-2</v>
          </cell>
          <cell r="R62">
            <v>4.0852186888389319E-2</v>
          </cell>
          <cell r="S62">
            <v>2.8596530821872412E-2</v>
          </cell>
          <cell r="T62">
            <v>1.9064353881248275E-2</v>
          </cell>
          <cell r="U62">
            <v>1.2131861560794377E-2</v>
          </cell>
          <cell r="V62">
            <v>7.3846113848314854E-3</v>
          </cell>
          <cell r="W62">
            <v>4.3076899744848296E-3</v>
          </cell>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row>
        <row r="65">
          <cell r="A65" t="str">
            <v>Lighting</v>
          </cell>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row>
        <row r="66">
          <cell r="A66" t="str">
            <v>Lighting</v>
          </cell>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row>
        <row r="67">
          <cell r="A67" t="str">
            <v>Lighting</v>
          </cell>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row>
        <row r="68">
          <cell r="A68" t="str">
            <v>Lighting</v>
          </cell>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row>
        <row r="71">
          <cell r="A71" t="str">
            <v>Lighting</v>
          </cell>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row>
        <row r="72">
          <cell r="A72" t="str">
            <v>Lighting</v>
          </cell>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row>
        <row r="73">
          <cell r="A73" t="str">
            <v>Lighting</v>
          </cell>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row>
        <row r="74">
          <cell r="A74" t="str">
            <v>Lighting</v>
          </cell>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row>
        <row r="78">
          <cell r="A78" t="str">
            <v>Lighting</v>
          </cell>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row>
        <row r="79">
          <cell r="A79" t="str">
            <v>Lighting</v>
          </cell>
          <cell r="B79" t="str">
            <v>Bi-Level Stairwell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Motors/Drives</v>
          </cell>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Motors/Drives</v>
          </cell>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Motors/Drives</v>
          </cell>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row>
        <row r="83">
          <cell r="A83" t="str">
            <v>Motors/Drives</v>
          </cell>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row>
        <row r="84">
          <cell r="A84" t="str">
            <v>Motors/Drives</v>
          </cell>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Process Loads</v>
          </cell>
          <cell r="B85" t="str">
            <v>Municipal Sewage Treatment-Retro</v>
          </cell>
          <cell r="C85" t="str">
            <v>Retro5Med</v>
          </cell>
          <cell r="D85">
            <v>4.2999999999999997E-2</v>
          </cell>
          <cell r="E85">
            <v>5.279714228027832E-2</v>
          </cell>
          <cell r="F85">
            <v>6.4608251467478173E-2</v>
          </cell>
          <cell r="G85">
            <v>7.4999999999999997E-2</v>
          </cell>
          <cell r="H85">
            <v>8.5546997470333563E-2</v>
          </cell>
          <cell r="I85">
            <v>0.10001472303820647</v>
          </cell>
          <cell r="J85">
            <v>0.10971770435235073</v>
          </cell>
          <cell r="K85">
            <v>0.11208438511970376</v>
          </cell>
          <cell r="L85">
            <v>0.10562608162722853</v>
          </cell>
          <cell r="M85">
            <v>9.0794563997872335E-2</v>
          </cell>
          <cell r="N85">
            <v>7.0260666991849297E-2</v>
          </cell>
          <cell r="O85">
            <v>4.8218360404944538E-2</v>
          </cell>
          <cell r="P85">
            <v>2.8854234614640095E-2</v>
          </cell>
          <cell r="Q85">
            <v>1.4773964924806759E-2</v>
          </cell>
          <cell r="R85">
            <v>6.3385343681182649E-3</v>
          </cell>
          <cell r="S85">
            <v>2.2268577196306039E-3</v>
          </cell>
          <cell r="T85">
            <v>6.2471001963848583E-4</v>
          </cell>
          <cell r="U85">
            <v>1.3615841889635938E-4</v>
          </cell>
          <cell r="V85">
            <v>2.2380636622298944E-5</v>
          </cell>
          <cell r="W85">
            <v>2.68643837586513E-6</v>
          </cell>
        </row>
        <row r="86">
          <cell r="A86" t="str">
            <v>Process Loads</v>
          </cell>
          <cell r="B86" t="str">
            <v>Municipal Water Supply-Retro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Process Loads</v>
          </cell>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row>
        <row r="88">
          <cell r="A88" t="str">
            <v>Refrigeration</v>
          </cell>
          <cell r="B88" t="str">
            <v>Grocery Refrigeration Bundle-Retro</v>
          </cell>
          <cell r="C88" t="str">
            <v>Retro12Med</v>
          </cell>
          <cell r="D88">
            <v>0.10937459468255628</v>
          </cell>
          <cell r="E88">
            <v>0.10937459468255628</v>
          </cell>
          <cell r="F88">
            <v>0.10937459468255628</v>
          </cell>
          <cell r="G88">
            <v>0.10937459468255628</v>
          </cell>
          <cell r="H88">
            <v>0.10937459468255628</v>
          </cell>
          <cell r="I88">
            <v>9.8437135214300656E-2</v>
          </cell>
          <cell r="J88">
            <v>7.874970817144053E-2</v>
          </cell>
          <cell r="K88">
            <v>6.2999766537152418E-2</v>
          </cell>
          <cell r="L88">
            <v>5.0399813229721938E-2</v>
          </cell>
          <cell r="M88">
            <v>4.0319850583777551E-2</v>
          </cell>
          <cell r="N88">
            <v>3.225588046702204E-2</v>
          </cell>
          <cell r="O88">
            <v>2.5804704373617631E-2</v>
          </cell>
          <cell r="P88">
            <v>2.0643763498894106E-2</v>
          </cell>
          <cell r="Q88">
            <v>1.6515010799115284E-2</v>
          </cell>
          <cell r="R88">
            <v>1.3212008639292228E-2</v>
          </cell>
          <cell r="S88">
            <v>1.0569606911433781E-2</v>
          </cell>
          <cell r="T88">
            <v>7.2092823794611682E-5</v>
          </cell>
          <cell r="U88">
            <v>2.5747437069512102E-5</v>
          </cell>
          <cell r="V88">
            <v>8.7775353646568632E-6</v>
          </cell>
          <cell r="W88">
            <v>2.8622397928446119E-6</v>
          </cell>
        </row>
        <row r="89">
          <cell r="A89" t="str">
            <v>Refrigeration</v>
          </cell>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row>
        <row r="90">
          <cell r="A90" t="str">
            <v>Refrigeration</v>
          </cell>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row>
        <row r="91">
          <cell r="A91" t="str">
            <v>Refrigeration</v>
          </cell>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row>
        <row r="92">
          <cell r="A92" t="str">
            <v>Refrigeration</v>
          </cell>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row>
        <row r="93">
          <cell r="A93" t="str">
            <v>Water Heating</v>
          </cell>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row>
        <row r="94">
          <cell r="A94" t="str">
            <v>Water Heating</v>
          </cell>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row>
        <row r="95">
          <cell r="A95" t="str">
            <v>Water Heating</v>
          </cell>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row>
        <row r="96">
          <cell r="A96" t="str">
            <v>Water Heating</v>
          </cell>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row>
        <row r="97">
          <cell r="A97" t="str">
            <v>Water Heating</v>
          </cell>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row>
        <row r="98">
          <cell r="A98" t="str">
            <v>Water Heating</v>
          </cell>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row>
        <row r="99">
          <cell r="A99" t="str">
            <v>Water Heating</v>
          </cell>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row>
        <row r="100">
          <cell r="A100" t="str">
            <v>Whole Bldg/Meter Level</v>
          </cell>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row>
        <row r="101">
          <cell r="B101" t="str">
            <v>Low Power LF Lamps-NR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row>
      </sheetData>
      <sheetData sheetId="8">
        <row r="19">
          <cell r="B19" t="str">
            <v>Desktop-NR</v>
          </cell>
        </row>
        <row r="20">
          <cell r="B20" t="str">
            <v>Pre-Rinse Spray Valve-Retro</v>
          </cell>
        </row>
        <row r="21">
          <cell r="B21" t="str">
            <v>Cooking Equipment-NR</v>
          </cell>
        </row>
        <row r="22">
          <cell r="B22" t="str">
            <v>Premium HVAC Equipment-New</v>
          </cell>
        </row>
        <row r="23">
          <cell r="B23" t="str">
            <v>Premium HVAC Equipment-NR</v>
          </cell>
        </row>
        <row r="24">
          <cell r="B24" t="str">
            <v>Glass-New</v>
          </cell>
        </row>
        <row r="25">
          <cell r="B25" t="str">
            <v>Glass-NR</v>
          </cell>
        </row>
        <row r="26">
          <cell r="B26" t="str">
            <v>Glass-Retro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Energy Recovery Ventilator-NR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0.05</v>
          </cell>
          <cell r="D54">
            <v>0.8</v>
          </cell>
          <cell r="E54">
            <v>0.8</v>
          </cell>
          <cell r="F54">
            <v>0.25</v>
          </cell>
          <cell r="G54">
            <v>0.25</v>
          </cell>
          <cell r="H54">
            <v>0.25</v>
          </cell>
          <cell r="I54">
            <v>0.25</v>
          </cell>
          <cell r="J54">
            <v>0.8</v>
          </cell>
          <cell r="K54">
            <v>0.8</v>
          </cell>
          <cell r="L54">
            <v>0.01</v>
          </cell>
          <cell r="M54">
            <v>0.05</v>
          </cell>
          <cell r="N54">
            <v>0.05</v>
          </cell>
          <cell r="O54">
            <v>0.25</v>
          </cell>
          <cell r="P54">
            <v>0.7</v>
          </cell>
          <cell r="Q54">
            <v>0.05</v>
          </cell>
          <cell r="R54">
            <v>0.8</v>
          </cell>
          <cell r="S54">
            <v>0.25</v>
          </cell>
          <cell r="T54">
            <v>0.8</v>
          </cell>
        </row>
        <row r="55">
          <cell r="B55" t="str">
            <v>VRF-Retro</v>
          </cell>
          <cell r="C55">
            <v>4.9500000000000004E-3</v>
          </cell>
          <cell r="D55">
            <v>6.93E-2</v>
          </cell>
          <cell r="E55">
            <v>6.93E-2</v>
          </cell>
          <cell r="F55">
            <v>2.4750000000000001E-2</v>
          </cell>
          <cell r="G55">
            <v>2.4750000000000001E-2</v>
          </cell>
          <cell r="H55">
            <v>2.4750000000000001E-2</v>
          </cell>
          <cell r="I55">
            <v>2.4750000000000001E-2</v>
          </cell>
          <cell r="J55">
            <v>6.93E-2</v>
          </cell>
          <cell r="K55">
            <v>6.93E-2</v>
          </cell>
          <cell r="L55">
            <v>9.8999999999999999E-4</v>
          </cell>
          <cell r="M55">
            <v>4.9500000000000004E-3</v>
          </cell>
          <cell r="N55">
            <v>4.9500000000000004E-3</v>
          </cell>
          <cell r="O55">
            <v>2.4750000000000001E-2</v>
          </cell>
          <cell r="P55">
            <v>6.93E-2</v>
          </cell>
          <cell r="Q55">
            <v>4.9500000000000004E-3</v>
          </cell>
          <cell r="R55">
            <v>6.93E-2</v>
          </cell>
          <cell r="S55">
            <v>2.4750000000000001E-2</v>
          </cell>
          <cell r="T55">
            <v>6.93E-2</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row>
        <row r="79">
          <cell r="B79" t="str">
            <v>Municipal Water Supply-Retro</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cell r="C93">
            <v>0.95</v>
          </cell>
          <cell r="D93">
            <v>0.19999999999999996</v>
          </cell>
          <cell r="E93">
            <v>0.19999999999999996</v>
          </cell>
          <cell r="F93">
            <v>0.75</v>
          </cell>
          <cell r="G93">
            <v>0.75</v>
          </cell>
          <cell r="H93">
            <v>0.75</v>
          </cell>
          <cell r="I93">
            <v>0.75</v>
          </cell>
          <cell r="J93">
            <v>0.19999999999999996</v>
          </cell>
          <cell r="K93">
            <v>0.19999999999999996</v>
          </cell>
          <cell r="L93">
            <v>0.99</v>
          </cell>
          <cell r="M93">
            <v>0.95</v>
          </cell>
          <cell r="N93">
            <v>0.95</v>
          </cell>
          <cell r="O93">
            <v>0.75</v>
          </cell>
          <cell r="P93">
            <v>0.30000000000000004</v>
          </cell>
          <cell r="Q93">
            <v>0.95</v>
          </cell>
          <cell r="R93">
            <v>0.19999999999999996</v>
          </cell>
          <cell r="S93">
            <v>0.75</v>
          </cell>
          <cell r="T93">
            <v>0.19999999999999996</v>
          </cell>
        </row>
        <row r="94">
          <cell r="B94" t="str">
            <v>Low Power LF Lamps-NR</v>
          </cell>
        </row>
      </sheetData>
      <sheetData sheetId="9"/>
      <sheetData sheetId="10">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Economizer-Retro</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Energy Recovery Ventilator-NR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2.9006395725036469E-2</v>
          </cell>
          <cell r="F26">
            <v>3.9164397027771525E-2</v>
          </cell>
          <cell r="G26">
            <v>0.25776672816535129</v>
          </cell>
          <cell r="H26">
            <v>2.7574670878248778E-2</v>
          </cell>
          <cell r="I26">
            <v>0.10146503328904084</v>
          </cell>
          <cell r="J26">
            <v>0.29515325476216947</v>
          </cell>
          <cell r="K26">
            <v>0.77756785592800526</v>
          </cell>
          <cell r="L26">
            <v>0.13082984106717208</v>
          </cell>
          <cell r="M26">
            <v>7.1447125331852143E-2</v>
          </cell>
          <cell r="N26">
            <v>0</v>
          </cell>
          <cell r="O26">
            <v>2.3525905182962954E-2</v>
          </cell>
          <cell r="P26">
            <v>7.934694377848886E-2</v>
          </cell>
          <cell r="Q26">
            <v>0.85339696790936803</v>
          </cell>
          <cell r="R26">
            <v>7.6228114216259218E-2</v>
          </cell>
          <cell r="S26">
            <v>0.16854152512418574</v>
          </cell>
          <cell r="T26">
            <v>0.20051702037858005</v>
          </cell>
          <cell r="U26" t="str">
            <v>Use for Com-EM</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cell r="Y61" t="str">
            <v>Average of msf.pnw.frac</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Y62" t="str">
            <v>Row Labels</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cell r="Y73" t="str">
            <v>Warehouse</v>
          </cell>
        </row>
        <row r="74">
          <cell r="B74" t="str">
            <v>BuiltUp%TYP</v>
          </cell>
          <cell r="C74">
            <v>0.63007020528877222</v>
          </cell>
          <cell r="D74">
            <v>9.3963931374592982E-2</v>
          </cell>
          <cell r="E74">
            <v>2.9006395725036469E-2</v>
          </cell>
          <cell r="F74">
            <v>3.9164397027771525E-2</v>
          </cell>
          <cell r="G74">
            <v>0.25776672816535129</v>
          </cell>
          <cell r="H74">
            <v>2.7574670878248778E-2</v>
          </cell>
          <cell r="I74">
            <v>0.10146503328904084</v>
          </cell>
          <cell r="J74">
            <v>0.29515325476216947</v>
          </cell>
          <cell r="K74">
            <v>0.77756785592800526</v>
          </cell>
          <cell r="L74">
            <v>0.13082984106717208</v>
          </cell>
          <cell r="M74">
            <v>7.1447125331852143E-2</v>
          </cell>
          <cell r="N74">
            <v>0</v>
          </cell>
          <cell r="O74">
            <v>2.3525905182962954E-2</v>
          </cell>
          <cell r="P74">
            <v>7.934694377848886E-2</v>
          </cell>
          <cell r="Q74">
            <v>0.85339696790936803</v>
          </cell>
          <cell r="R74">
            <v>7.6228114216259218E-2</v>
          </cell>
          <cell r="S74">
            <v>0.16854152512418574</v>
          </cell>
          <cell r="T74">
            <v>0.20051702037858005</v>
          </cell>
          <cell r="U74" t="str">
            <v>See com-EM workbook</v>
          </cell>
          <cell r="Y74" t="str">
            <v>Grand Total</v>
          </cell>
        </row>
        <row r="75">
          <cell r="B75" t="str">
            <v>BuiltUp%ACT</v>
          </cell>
          <cell r="C75">
            <v>0.32107129566956238</v>
          </cell>
          <cell r="F75">
            <v>5.0679867043271966E-2</v>
          </cell>
          <cell r="J75">
            <v>0.45710103517657202</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F77">
            <v>0.01</v>
          </cell>
          <cell r="J77">
            <v>0.11</v>
          </cell>
          <cell r="L77">
            <v>0</v>
          </cell>
          <cell r="M77">
            <v>0</v>
          </cell>
          <cell r="O77">
            <v>0</v>
          </cell>
          <cell r="P77">
            <v>0.04</v>
          </cell>
          <cell r="Q77">
            <v>0.21527670664708273</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0.62956237771067991</v>
          </cell>
          <cell r="D89">
            <v>0.31768861920643965</v>
          </cell>
          <cell r="E89">
            <v>7.4025179596472243E-2</v>
          </cell>
          <cell r="F89">
            <v>0.58848968508223554</v>
          </cell>
          <cell r="G89">
            <v>0.26543424358205331</v>
          </cell>
          <cell r="H89">
            <v>0.20684893583537547</v>
          </cell>
          <cell r="I89">
            <v>1.359721457325402E-2</v>
          </cell>
          <cell r="J89">
            <v>0.46813873620144136</v>
          </cell>
          <cell r="K89">
            <v>0.46813873620144136</v>
          </cell>
          <cell r="L89">
            <v>0.14833205060637186</v>
          </cell>
          <cell r="M89">
            <v>0.52268307357406485</v>
          </cell>
          <cell r="N89">
            <v>0.20352640884178452</v>
          </cell>
          <cell r="O89">
            <v>0.32869617366969917</v>
          </cell>
          <cell r="P89">
            <v>0.10423431348186975</v>
          </cell>
          <cell r="Q89">
            <v>0.56873556010588189</v>
          </cell>
          <cell r="R89">
            <v>7.8731272985480064E-2</v>
          </cell>
          <cell r="S89">
            <v>0.39859901805810533</v>
          </cell>
          <cell r="T89">
            <v>0.41988093429192064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ow r="19">
          <cell r="B19" t="str">
            <v>Restaurant</v>
          </cell>
          <cell r="M19">
            <v>53.036741800000001</v>
          </cell>
          <cell r="N19">
            <v>1.5835296654172451E-2</v>
          </cell>
          <cell r="V19" t="str">
            <v>Restaurant</v>
          </cell>
          <cell r="W19">
            <v>53036741.800000004</v>
          </cell>
          <cell r="X19">
            <v>1.5835296654172448E-2</v>
          </cell>
        </row>
        <row r="20">
          <cell r="B20" t="str">
            <v>Lodging</v>
          </cell>
          <cell r="M20">
            <v>171.0409248</v>
          </cell>
          <cell r="N20">
            <v>5.1068065124091046E-2</v>
          </cell>
          <cell r="V20" t="str">
            <v>Lodging</v>
          </cell>
          <cell r="W20">
            <v>171040924.80000001</v>
          </cell>
          <cell r="X20">
            <v>5.1068065124091039E-2</v>
          </cell>
        </row>
        <row r="21">
          <cell r="B21" t="str">
            <v>Hospital</v>
          </cell>
          <cell r="M21">
            <v>103.75403529999998</v>
          </cell>
          <cell r="N21">
            <v>3.0978070527759683E-2</v>
          </cell>
          <cell r="V21" t="str">
            <v>Hospital</v>
          </cell>
          <cell r="W21">
            <v>103754035.29999998</v>
          </cell>
          <cell r="X21">
            <v>3.0978070527759676E-2</v>
          </cell>
        </row>
        <row r="22">
          <cell r="B22" t="str">
            <v>Residential Care</v>
          </cell>
          <cell r="M22">
            <v>125.16063630000001</v>
          </cell>
          <cell r="N22">
            <v>3.7369486472404026E-2</v>
          </cell>
          <cell r="V22" t="str">
            <v>Residential Care</v>
          </cell>
          <cell r="W22">
            <v>125160636.30000001</v>
          </cell>
          <cell r="X22">
            <v>3.7369486472404019E-2</v>
          </cell>
        </row>
        <row r="23">
          <cell r="B23" t="str">
            <v>Assembly</v>
          </cell>
          <cell r="M23">
            <v>368.87205360000002</v>
          </cell>
          <cell r="N23">
            <v>0.11013494038183547</v>
          </cell>
          <cell r="V23" t="str">
            <v>Assembly</v>
          </cell>
          <cell r="W23">
            <v>368872053.60000002</v>
          </cell>
          <cell r="X23">
            <v>0.11013494038183544</v>
          </cell>
        </row>
        <row r="24">
          <cell r="B24" t="str">
            <v>Other</v>
          </cell>
          <cell r="M24">
            <v>333.43446839999996</v>
          </cell>
          <cell r="N24">
            <v>9.9554262623279946E-2</v>
          </cell>
          <cell r="V24" t="str">
            <v>Other</v>
          </cell>
          <cell r="W24">
            <v>333434468.39999998</v>
          </cell>
          <cell r="X24">
            <v>9.9554262623279918E-2</v>
          </cell>
        </row>
        <row r="25">
          <cell r="W25">
            <v>3349273648.5000005</v>
          </cell>
          <cell r="X25">
            <v>0.99999999999999989</v>
          </cell>
        </row>
        <row r="26">
          <cell r="M26">
            <v>3349.2736484999996</v>
          </cell>
          <cell r="N26">
            <v>1</v>
          </cell>
        </row>
      </sheetData>
      <sheetData sheetId="13">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sheetData sheetId="16">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sheetData>
      <sheetData sheetId="17">
        <row r="19">
          <cell r="B19" t="str">
            <v>HVAC System Improvements</v>
          </cell>
          <cell r="C19" t="str">
            <v>Advanced Rooftop Controller</v>
          </cell>
          <cell r="D19" t="str">
            <v>Advanced Rooftop Controller</v>
          </cell>
          <cell r="E19" t="str">
            <v>CBSA 2014</v>
          </cell>
          <cell r="F19" t="str">
            <v>Most</v>
          </cell>
          <cell r="H19" t="str">
            <v>New</v>
          </cell>
          <cell r="I19">
            <v>0</v>
          </cell>
        </row>
        <row r="20">
          <cell r="B20" t="str">
            <v>HVAC System Improvements</v>
          </cell>
          <cell r="C20" t="str">
            <v>Advanced Rooftop Controller</v>
          </cell>
          <cell r="D20" t="str">
            <v>Advanced Rooftop Controller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e">
            <v>#N/A</v>
          </cell>
          <cell r="C28" t="str">
            <v>Low Pressure Distribution Complex HVAC</v>
          </cell>
          <cell r="D28" t="e">
            <v>#N/A</v>
          </cell>
          <cell r="E28" t="e">
            <v>#N/A</v>
          </cell>
          <cell r="F28" t="e">
            <v>#N/A</v>
          </cell>
          <cell r="H28" t="e">
            <v>#N/A</v>
          </cell>
          <cell r="I28" t="e">
            <v>#N/A</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str">
            <v>Computer Technologies</v>
          </cell>
          <cell r="C36" t="str">
            <v>Energy Recovery Ventilator</v>
          </cell>
          <cell r="D36" t="str">
            <v>Heat Recovery Ventilation</v>
          </cell>
          <cell r="E36" t="str">
            <v>CBSA 20154</v>
          </cell>
          <cell r="F36" t="str">
            <v>All</v>
          </cell>
          <cell r="H36" t="str">
            <v>NR</v>
          </cell>
          <cell r="I36">
            <v>0</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Lighting Controls</v>
          </cell>
          <cell r="C52" t="str">
            <v>Top Daylighting</v>
          </cell>
          <cell r="D52" t="str">
            <v>Daylighting with Skylights</v>
          </cell>
          <cell r="E52" t="str">
            <v>CBSA 2014</v>
          </cell>
          <cell r="F52" t="str">
            <v>All</v>
          </cell>
          <cell r="H52" t="str">
            <v>New</v>
          </cell>
          <cell r="I52">
            <v>0</v>
          </cell>
        </row>
        <row r="53">
          <cell r="B53" t="str">
            <v>Lighting Controls</v>
          </cell>
          <cell r="C53" t="str">
            <v>Perimeter Daylighting Controls Advanced</v>
          </cell>
          <cell r="D53" t="str">
            <v>Daylighting with Windows</v>
          </cell>
          <cell r="E53" t="str">
            <v>CBSA 2014</v>
          </cell>
          <cell r="F53" t="str">
            <v>All</v>
          </cell>
          <cell r="H53" t="str">
            <v>New</v>
          </cell>
          <cell r="I53">
            <v>0</v>
          </cell>
        </row>
        <row r="54">
          <cell r="B54" t="str">
            <v>Lighting Controls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e">
            <v>#N/A</v>
          </cell>
          <cell r="C63" t="str">
            <v>Bi-Level Stiarwell Lighting</v>
          </cell>
          <cell r="D63" t="e">
            <v>#N/A</v>
          </cell>
          <cell r="E63" t="e">
            <v>#N/A</v>
          </cell>
          <cell r="F63" t="e">
            <v>#N/A</v>
          </cell>
          <cell r="H63" t="e">
            <v>#N/A</v>
          </cell>
          <cell r="I63" t="e">
            <v>#N/A</v>
          </cell>
        </row>
        <row r="64">
          <cell r="B64" t="str">
            <v>Motors</v>
          </cell>
          <cell r="C64" t="str">
            <v>ECM-VAV</v>
          </cell>
          <cell r="D64" t="str">
            <v>ECM Motors on Variable Air Volume Boxes</v>
          </cell>
          <cell r="E64" t="str">
            <v>CBSA 2014</v>
          </cell>
          <cell r="F64" t="str">
            <v>All</v>
          </cell>
          <cell r="H64" t="str">
            <v>New</v>
          </cell>
          <cell r="I64">
            <v>0</v>
          </cell>
        </row>
        <row r="65">
          <cell r="B65" t="str">
            <v>Motors</v>
          </cell>
          <cell r="C65" t="str">
            <v>ECM-VAV</v>
          </cell>
          <cell r="D65" t="str">
            <v>ECM Motors on Variable Air Volume Boxes</v>
          </cell>
          <cell r="E65" t="str">
            <v>CBSA 2014</v>
          </cell>
          <cell r="F65" t="str">
            <v>All</v>
          </cell>
          <cell r="H65" t="str">
            <v>New</v>
          </cell>
          <cell r="I65">
            <v>0</v>
          </cell>
        </row>
        <row r="66">
          <cell r="B66" t="str">
            <v>Pool System Improvements</v>
          </cell>
          <cell r="C66" t="str">
            <v>Pool pumps</v>
          </cell>
          <cell r="D66" t="str">
            <v>Pool pumps</v>
          </cell>
          <cell r="E66" t="str">
            <v>CBSA 2014</v>
          </cell>
          <cell r="F66" t="str">
            <v>Some</v>
          </cell>
          <cell r="H66" t="str">
            <v>Retro</v>
          </cell>
          <cell r="I66" t="str">
            <v>x</v>
          </cell>
        </row>
        <row r="67">
          <cell r="B67" t="str">
            <v>Motors</v>
          </cell>
          <cell r="C67" t="str">
            <v>MotorsRewind</v>
          </cell>
          <cell r="D67" t="str">
            <v>Motors - Rewind</v>
          </cell>
          <cell r="E67" t="str">
            <v>CBSA 2014</v>
          </cell>
          <cell r="F67" t="str">
            <v>All</v>
          </cell>
          <cell r="H67" t="str">
            <v>New</v>
          </cell>
          <cell r="I67" t="str">
            <v>x</v>
          </cell>
        </row>
        <row r="68">
          <cell r="B68" t="str">
            <v>Motors</v>
          </cell>
          <cell r="C68" t="str">
            <v>MotorsRewind</v>
          </cell>
          <cell r="D68" t="str">
            <v>Motors - Rewind</v>
          </cell>
          <cell r="E68" t="str">
            <v>CBSA 2014</v>
          </cell>
          <cell r="F68" t="str">
            <v>All</v>
          </cell>
          <cell r="H68" t="str">
            <v>New</v>
          </cell>
          <cell r="I68" t="str">
            <v>x</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NR</v>
          </cell>
          <cell r="I76" t="str">
            <v>x</v>
          </cell>
        </row>
        <row r="77">
          <cell r="B77" t="str">
            <v>Water Using Devices</v>
          </cell>
          <cell r="C77" t="str">
            <v>WHTanks</v>
          </cell>
          <cell r="D77" t="str">
            <v>DHW - Efficient Tanks</v>
          </cell>
          <cell r="E77" t="str">
            <v>CBSA 2014</v>
          </cell>
          <cell r="F77" t="str">
            <v>Some</v>
          </cell>
          <cell r="H77" t="str">
            <v>New</v>
          </cell>
          <cell r="I77">
            <v>0</v>
          </cell>
        </row>
        <row r="78">
          <cell r="B78" t="str">
            <v>Water Using Devices</v>
          </cell>
          <cell r="C78" t="str">
            <v>WHTanks</v>
          </cell>
          <cell r="D78" t="str">
            <v>DHW - Efficient Tanks</v>
          </cell>
          <cell r="E78" t="str">
            <v>CBSA 2014</v>
          </cell>
          <cell r="F78" t="str">
            <v>Some</v>
          </cell>
          <cell r="H78" t="str">
            <v>New</v>
          </cell>
          <cell r="I78">
            <v>0</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str">
            <v>Water Using Devices</v>
          </cell>
          <cell r="C80" t="str">
            <v>Showerheads</v>
          </cell>
          <cell r="D80" t="str">
            <v>DHW - Showerheads</v>
          </cell>
          <cell r="E80" t="str">
            <v>2.5 GPM</v>
          </cell>
          <cell r="F80" t="str">
            <v>Some</v>
          </cell>
          <cell r="H80" t="str">
            <v>Retro</v>
          </cell>
          <cell r="I80" t="str">
            <v>x</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e">
            <v>#N/A</v>
          </cell>
          <cell r="C85" t="str">
            <v>HPLowPowerGSFL</v>
          </cell>
          <cell r="D85" t="e">
            <v>#N/A</v>
          </cell>
          <cell r="E85" t="e">
            <v>#N/A</v>
          </cell>
          <cell r="F85" t="e">
            <v>#N/A</v>
          </cell>
          <cell r="H85" t="e">
            <v>#N/A</v>
          </cell>
          <cell r="I85" t="e">
            <v>#N/A</v>
          </cell>
        </row>
      </sheetData>
      <sheetData sheetId="18">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sheetData>
      <sheetData sheetId="19">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sheetData>
      <sheetData sheetId="20">
        <row r="19">
          <cell r="B19" t="str">
            <v>Irrigation</v>
          </cell>
          <cell r="C19" t="str">
            <v>Center Pivot System and Equipment</v>
          </cell>
          <cell r="D19" t="str">
            <v>Reduce System Lift</v>
          </cell>
        </row>
        <row r="20">
          <cell r="B20" t="str">
            <v>Irrigation</v>
          </cell>
          <cell r="C20" t="str">
            <v>Center Pivot System and Equipment</v>
          </cell>
          <cell r="D20" t="str">
            <v>System Water Delivery Improvements</v>
          </cell>
        </row>
        <row r="21">
          <cell r="B21" t="str">
            <v>Irrigation</v>
          </cell>
          <cell r="C21" t="str">
            <v>Discharge Fitting Equipment</v>
          </cell>
          <cell r="D21" t="str">
            <v>Drop Installation for Spray Heads and Pressure Regulators</v>
          </cell>
        </row>
        <row r="22">
          <cell r="B22" t="str">
            <v>Irrigation</v>
          </cell>
          <cell r="C22" t="str">
            <v>Discharge Fitting Equipment</v>
          </cell>
          <cell r="D22" t="str">
            <v>Flow Control Nozzles and Diffuser</v>
          </cell>
        </row>
        <row r="23">
          <cell r="B23" t="str">
            <v>Irrigation</v>
          </cell>
          <cell r="C23" t="str">
            <v>Discharge Fitting Equipment</v>
          </cell>
          <cell r="D23" t="str">
            <v>Impact Sprinkler Heads</v>
          </cell>
        </row>
        <row r="24">
          <cell r="B24" t="str">
            <v>Irrigation</v>
          </cell>
          <cell r="C24" t="str">
            <v>Discharge Fitting Equipment</v>
          </cell>
          <cell r="D24" t="str">
            <v>Low Angle Heads</v>
          </cell>
        </row>
        <row r="25">
          <cell r="B25" t="str">
            <v>Irrigation</v>
          </cell>
          <cell r="C25" t="str">
            <v>Discharge Fitting Equipment</v>
          </cell>
          <cell r="D25" t="str">
            <v>Low Pressure End guns/Big guns</v>
          </cell>
        </row>
        <row r="26">
          <cell r="B26" t="str">
            <v>Irrigation</v>
          </cell>
          <cell r="C26" t="str">
            <v>Discharge Fitting Equipment</v>
          </cell>
          <cell r="D26" t="str">
            <v>Nozzle Replacement</v>
          </cell>
        </row>
        <row r="27">
          <cell r="B27" t="str">
            <v>Irrigation</v>
          </cell>
          <cell r="C27" t="str">
            <v>Discharge Fitting Equipment</v>
          </cell>
          <cell r="D27" t="str">
            <v>Spray Heads</v>
          </cell>
        </row>
        <row r="28">
          <cell r="B28" t="str">
            <v>Irrigation</v>
          </cell>
          <cell r="C28" t="str">
            <v>Handmove and Sideroll System and Equipment</v>
          </cell>
          <cell r="D28" t="str">
            <v>Reduce System Friction Head</v>
          </cell>
        </row>
        <row r="29">
          <cell r="B29" t="str">
            <v>Irrigation</v>
          </cell>
          <cell r="C29" t="str">
            <v>Handmove and Sideroll System and Equipment</v>
          </cell>
          <cell r="D29" t="str">
            <v>Reduce System Leakage</v>
          </cell>
        </row>
        <row r="30">
          <cell r="B30" t="str">
            <v>Irrigation</v>
          </cell>
          <cell r="C30" t="str">
            <v>Handmove and Sideroll System and Equipment</v>
          </cell>
          <cell r="D30" t="str">
            <v>Reduce System Lift</v>
          </cell>
        </row>
        <row r="31">
          <cell r="B31" t="str">
            <v>Irrigation</v>
          </cell>
          <cell r="C31" t="str">
            <v>Handmove and Sideroll System and Equipment</v>
          </cell>
          <cell r="D31" t="str">
            <v>System Water Delivery Improvements</v>
          </cell>
        </row>
        <row r="32">
          <cell r="B32" t="str">
            <v>Irrigation</v>
          </cell>
          <cell r="C32" t="str">
            <v>Hardware</v>
          </cell>
          <cell r="D32" t="str">
            <v>Drain Replacement</v>
          </cell>
        </row>
        <row r="33">
          <cell r="B33" t="str">
            <v>Irrigation</v>
          </cell>
          <cell r="C33" t="str">
            <v>Hardware</v>
          </cell>
          <cell r="D33" t="str">
            <v>Drop Tube/Hose Extension</v>
          </cell>
        </row>
        <row r="34">
          <cell r="B34" t="str">
            <v>Irrigation</v>
          </cell>
          <cell r="C34" t="str">
            <v>Hardware</v>
          </cell>
          <cell r="D34" t="str">
            <v>Gasket Replacement</v>
          </cell>
        </row>
        <row r="35">
          <cell r="B35" t="str">
            <v>Irrigation</v>
          </cell>
          <cell r="C35" t="str">
            <v>Hardware</v>
          </cell>
          <cell r="D35" t="str">
            <v>Goose Necks</v>
          </cell>
        </row>
        <row r="36">
          <cell r="B36" t="str">
            <v>Irrigation</v>
          </cell>
          <cell r="C36" t="str">
            <v>Hardware</v>
          </cell>
          <cell r="D36" t="str">
            <v>Hub Replacement</v>
          </cell>
        </row>
        <row r="37">
          <cell r="B37" t="str">
            <v>Irrigation</v>
          </cell>
          <cell r="C37" t="str">
            <v>Hardware</v>
          </cell>
          <cell r="D37" t="str">
            <v>Leveler Rebuild</v>
          </cell>
        </row>
        <row r="38">
          <cell r="B38" t="str">
            <v>Irrigation</v>
          </cell>
          <cell r="C38" t="str">
            <v>Hardware</v>
          </cell>
          <cell r="D38" t="str">
            <v>Line Repairs</v>
          </cell>
        </row>
        <row r="39">
          <cell r="B39" t="str">
            <v>Irrigation</v>
          </cell>
          <cell r="C39" t="str">
            <v>Hardware</v>
          </cell>
          <cell r="D39" t="str">
            <v>Multi-Trajectory Sprays</v>
          </cell>
        </row>
        <row r="40">
          <cell r="B40" t="str">
            <v>Irrigation</v>
          </cell>
          <cell r="C40" t="str">
            <v>Hardware</v>
          </cell>
          <cell r="D40" t="str">
            <v>Nozzle Replacement</v>
          </cell>
        </row>
        <row r="41">
          <cell r="B41" t="str">
            <v>Irrigation</v>
          </cell>
          <cell r="C41" t="str">
            <v>Hardware</v>
          </cell>
          <cell r="D41" t="str">
            <v>Pipe Repair</v>
          </cell>
        </row>
        <row r="42">
          <cell r="B42" t="str">
            <v>Irrigation</v>
          </cell>
          <cell r="C42" t="str">
            <v>Hardware</v>
          </cell>
          <cell r="D42" t="str">
            <v>Regulator Replacement</v>
          </cell>
        </row>
        <row r="43">
          <cell r="B43" t="str">
            <v>Irrigation</v>
          </cell>
          <cell r="C43" t="str">
            <v>Hardware</v>
          </cell>
          <cell r="D43" t="str">
            <v>Sprinkler Replacements</v>
          </cell>
        </row>
        <row r="44">
          <cell r="B44" t="str">
            <v>Irrigation</v>
          </cell>
          <cell r="C44" t="str">
            <v>Irrigation System Improvements</v>
          </cell>
          <cell r="D44" t="str">
            <v>Change in Water Source</v>
          </cell>
        </row>
        <row r="45">
          <cell r="B45" t="str">
            <v>Irrigation</v>
          </cell>
          <cell r="C45" t="str">
            <v>Irrigation System Improvements</v>
          </cell>
          <cell r="D45" t="str">
            <v>Irrigation System Improvements</v>
          </cell>
        </row>
        <row r="46">
          <cell r="B46" t="str">
            <v>Irrigation</v>
          </cell>
          <cell r="C46" t="str">
            <v>Irrigation System Improvements</v>
          </cell>
          <cell r="D46" t="str">
            <v>Reduce Delivery System Leakage</v>
          </cell>
        </row>
        <row r="47">
          <cell r="B47" t="str">
            <v>Irrigation</v>
          </cell>
          <cell r="C47" t="str">
            <v>Mainline System and Equipment</v>
          </cell>
          <cell r="D47" t="str">
            <v>Interactive Mainline System and Equipment Improvements</v>
          </cell>
        </row>
        <row r="48">
          <cell r="B48" t="str">
            <v>Irrigation</v>
          </cell>
          <cell r="C48" t="str">
            <v>Mainline System and Equipment</v>
          </cell>
          <cell r="D48" t="str">
            <v>Mainline System Pump Improvements</v>
          </cell>
        </row>
        <row r="49">
          <cell r="B49" t="str">
            <v>Irrigation</v>
          </cell>
          <cell r="C49" t="str">
            <v>Mainline System and Equipment</v>
          </cell>
          <cell r="D49" t="str">
            <v>Reduce Friction Loss</v>
          </cell>
        </row>
        <row r="50">
          <cell r="B50" t="str">
            <v>Irrigation</v>
          </cell>
          <cell r="C50" t="str">
            <v>Mainline System and Equipment</v>
          </cell>
          <cell r="D50" t="str">
            <v xml:space="preserve">Reduce System Friction Head </v>
          </cell>
        </row>
        <row r="51">
          <cell r="B51" t="str">
            <v>Irrigation</v>
          </cell>
          <cell r="C51" t="str">
            <v>Mainline System and Equipment</v>
          </cell>
          <cell r="D51" t="str">
            <v>Reduce System Leakage</v>
          </cell>
        </row>
        <row r="52">
          <cell r="B52" t="str">
            <v>Irrigation</v>
          </cell>
          <cell r="C52" t="str">
            <v>Mainline System and Equipment</v>
          </cell>
          <cell r="D52" t="str">
            <v>Reduce System Lift</v>
          </cell>
        </row>
        <row r="53">
          <cell r="B53" t="str">
            <v>Irrigation</v>
          </cell>
          <cell r="C53" t="str">
            <v>Mainline System and Equipment</v>
          </cell>
          <cell r="D53" t="str">
            <v>System Water Delivery Improvements</v>
          </cell>
        </row>
        <row r="54">
          <cell r="B54" t="str">
            <v>Irrigation</v>
          </cell>
          <cell r="C54" t="str">
            <v>Pumps and Fans</v>
          </cell>
          <cell r="D54" t="str">
            <v>Centrifugal Pump System Improvements</v>
          </cell>
        </row>
        <row r="55">
          <cell r="B55" t="str">
            <v>Irrigation</v>
          </cell>
          <cell r="C55" t="str">
            <v>Pumps and Fans</v>
          </cell>
          <cell r="D55" t="str">
            <v>Pump Testing Service</v>
          </cell>
        </row>
        <row r="56">
          <cell r="B56" t="str">
            <v>Irrigation</v>
          </cell>
          <cell r="C56" t="str">
            <v>Pumps and Fans</v>
          </cell>
          <cell r="D56" t="str">
            <v>Turbine Pump System Improvements</v>
          </cell>
        </row>
        <row r="57">
          <cell r="B57" t="str">
            <v>Irrigation</v>
          </cell>
          <cell r="C57" t="str">
            <v>Pumps and Fans</v>
          </cell>
          <cell r="D57" t="str">
            <v>Vacuum Pump System Improvements</v>
          </cell>
        </row>
        <row r="58">
          <cell r="B58" t="str">
            <v>Irrigation</v>
          </cell>
          <cell r="C58" t="str">
            <v>Suction Fittings Equipment</v>
          </cell>
          <cell r="D58" t="str">
            <v>Reduce Cavitation</v>
          </cell>
        </row>
        <row r="59">
          <cell r="B59" t="str">
            <v>Irrigation</v>
          </cell>
          <cell r="C59" t="str">
            <v>Suction Fittings Equipment</v>
          </cell>
          <cell r="D59" t="str">
            <v xml:space="preserve">Reduce System Friction Head </v>
          </cell>
        </row>
        <row r="60">
          <cell r="B60" t="str">
            <v>Irrigation</v>
          </cell>
          <cell r="C60" t="str">
            <v>Suction Fittings Equipment</v>
          </cell>
          <cell r="D60" t="str">
            <v>Reduce System Leakage</v>
          </cell>
        </row>
        <row r="61">
          <cell r="B61" t="str">
            <v>Irrigation</v>
          </cell>
          <cell r="C61" t="str">
            <v>Suction Fittings Equipment</v>
          </cell>
          <cell r="D61" t="str">
            <v>Reduce System Lift</v>
          </cell>
        </row>
        <row r="62">
          <cell r="B62" t="str">
            <v>Irrigation</v>
          </cell>
          <cell r="C62" t="str">
            <v>Water Management</v>
          </cell>
          <cell r="D62" t="str">
            <v>Scientific Irrigation Scheduling</v>
          </cell>
        </row>
        <row r="63">
          <cell r="B63" t="str">
            <v>Lighting</v>
          </cell>
          <cell r="C63" t="str">
            <v>Delamping</v>
          </cell>
          <cell r="D63" t="str">
            <v>Delamping</v>
          </cell>
        </row>
        <row r="64">
          <cell r="B64" t="str">
            <v>Lighting</v>
          </cell>
          <cell r="C64" t="str">
            <v>Lamps/Ballasts/Fixtures</v>
          </cell>
          <cell r="D64" t="str">
            <v>Lamps/Ballasts</v>
          </cell>
        </row>
        <row r="65">
          <cell r="B65" t="str">
            <v>Lighting</v>
          </cell>
          <cell r="C65" t="str">
            <v>Lamps/Ballasts/Fixtures</v>
          </cell>
          <cell r="D65" t="str">
            <v>Lamps/Ballasts w/Controls</v>
          </cell>
        </row>
        <row r="66">
          <cell r="B66" t="str">
            <v>Lighting</v>
          </cell>
          <cell r="C66" t="str">
            <v>Lamps/Ballasts/Fixtures</v>
          </cell>
          <cell r="D66" t="str">
            <v>Lamps/Ballasts w/Delamping</v>
          </cell>
        </row>
        <row r="67">
          <cell r="B67" t="str">
            <v>Lighting</v>
          </cell>
          <cell r="C67" t="str">
            <v>Lamps/Ballasts/Fixtures</v>
          </cell>
          <cell r="D67" t="str">
            <v>Lamps/Ballasts w/Delamping and Controls</v>
          </cell>
        </row>
        <row r="68">
          <cell r="B68" t="str">
            <v>Lighting</v>
          </cell>
          <cell r="C68" t="str">
            <v>Lamps/Ballasts/Fixtures</v>
          </cell>
          <cell r="D68" t="str">
            <v>Lamps/Ballasts/Fixtures</v>
          </cell>
        </row>
        <row r="69">
          <cell r="B69" t="str">
            <v>Lighting</v>
          </cell>
          <cell r="C69" t="str">
            <v>Lamps/Ballasts/Fixtures</v>
          </cell>
          <cell r="D69" t="str">
            <v>Lamps/Ballasts/Fixtures w/Controls</v>
          </cell>
        </row>
        <row r="70">
          <cell r="B70" t="str">
            <v>Lighting</v>
          </cell>
          <cell r="C70" t="str">
            <v>Lamps/Ballasts/Fixtures</v>
          </cell>
          <cell r="D70" t="str">
            <v>Lamps/Ballasts/Fixtures w/Delamping</v>
          </cell>
        </row>
        <row r="71">
          <cell r="B71" t="str">
            <v>Lighting</v>
          </cell>
          <cell r="C71" t="str">
            <v>Lamps/Ballasts/Fixtures</v>
          </cell>
          <cell r="D71" t="str">
            <v>Lamps/Ballasts/Fixtures w/Delamping and Controls</v>
          </cell>
        </row>
        <row r="72">
          <cell r="B72" t="str">
            <v>Lighting</v>
          </cell>
          <cell r="C72" t="str">
            <v>Lamps/Ballasts/Fixtures</v>
          </cell>
          <cell r="D72" t="str">
            <v>Stall Lighting</v>
          </cell>
        </row>
        <row r="73">
          <cell r="B73" t="str">
            <v>Lighting</v>
          </cell>
          <cell r="C73" t="str">
            <v>Lighting Controls</v>
          </cell>
          <cell r="D73" t="str">
            <v>Control Panels</v>
          </cell>
        </row>
        <row r="74">
          <cell r="B74" t="str">
            <v>Lighting</v>
          </cell>
          <cell r="C74" t="str">
            <v>Lighting Controls</v>
          </cell>
          <cell r="D74" t="str">
            <v>Daylighting</v>
          </cell>
        </row>
        <row r="75">
          <cell r="B75" t="str">
            <v>Lighting</v>
          </cell>
          <cell r="C75" t="str">
            <v>Lighting Controls</v>
          </cell>
          <cell r="D75" t="str">
            <v>Occupancy Sensors</v>
          </cell>
        </row>
        <row r="76">
          <cell r="B76" t="str">
            <v>Lighting</v>
          </cell>
          <cell r="C76" t="str">
            <v>Lighting Controls</v>
          </cell>
          <cell r="D76" t="str">
            <v>Photocells</v>
          </cell>
        </row>
        <row r="77">
          <cell r="B77" t="str">
            <v>Lighting</v>
          </cell>
          <cell r="C77" t="str">
            <v>Lighting Controls</v>
          </cell>
          <cell r="D77" t="str">
            <v>Timers</v>
          </cell>
        </row>
        <row r="78">
          <cell r="B78" t="str">
            <v>Lighting</v>
          </cell>
          <cell r="C78" t="str">
            <v>Signs and Signals</v>
          </cell>
          <cell r="D78" t="str">
            <v>LED Exit Signs</v>
          </cell>
        </row>
        <row r="79">
          <cell r="B79" t="str">
            <v>Motors/Drives</v>
          </cell>
          <cell r="C79" t="str">
            <v>Compressed Air System Improvements</v>
          </cell>
          <cell r="D79" t="str">
            <v>Motors/Drives Installation on Compressed Air System</v>
          </cell>
        </row>
        <row r="80">
          <cell r="B80" t="str">
            <v>Motors/Drives</v>
          </cell>
          <cell r="C80" t="str">
            <v>Motors</v>
          </cell>
          <cell r="D80" t="str">
            <v>Motor Rewind</v>
          </cell>
        </row>
        <row r="81">
          <cell r="B81" t="str">
            <v>Motors/Drives</v>
          </cell>
          <cell r="C81" t="str">
            <v>Motors</v>
          </cell>
          <cell r="D81" t="str">
            <v>Motors</v>
          </cell>
        </row>
        <row r="82">
          <cell r="B82" t="str">
            <v>Motors/Drives</v>
          </cell>
          <cell r="C82" t="str">
            <v>Motors/Drives Controls</v>
          </cell>
          <cell r="D82" t="str">
            <v>Dairy Milking Machine Control Improvements (VFD)</v>
          </cell>
        </row>
        <row r="83">
          <cell r="B83" t="str">
            <v>Motors/Drives</v>
          </cell>
          <cell r="C83" t="str">
            <v>Motors/Drives Controls</v>
          </cell>
          <cell r="D83" t="str">
            <v>Electronically Commutated Motor (ECM)</v>
          </cell>
        </row>
        <row r="84">
          <cell r="B84" t="str">
            <v>Motors/Drives</v>
          </cell>
          <cell r="C84" t="str">
            <v>Motors/Drives Controls</v>
          </cell>
          <cell r="D84" t="str">
            <v>Energy Management Systems/System Controls</v>
          </cell>
        </row>
        <row r="85">
          <cell r="B85" t="str">
            <v>Motors/Drives</v>
          </cell>
          <cell r="C85" t="str">
            <v>Motors/Drives Controls</v>
          </cell>
          <cell r="D85" t="str">
            <v>Motors/Drives Control Improvements (non-VFD)</v>
          </cell>
        </row>
        <row r="86">
          <cell r="B86" t="str">
            <v>Motors/Drives</v>
          </cell>
          <cell r="C86" t="str">
            <v>Motors/Drives Controls</v>
          </cell>
          <cell r="D86" t="str">
            <v>Motors/Drives Control Improvements (VFD)</v>
          </cell>
        </row>
        <row r="87">
          <cell r="B87" t="str">
            <v>Motors/Drives</v>
          </cell>
          <cell r="C87" t="str">
            <v>Pumps and Fans</v>
          </cell>
          <cell r="D87" t="str">
            <v>Motors/Drives Installation on Fan System</v>
          </cell>
        </row>
        <row r="88">
          <cell r="B88" t="str">
            <v>Motors/Drives</v>
          </cell>
          <cell r="C88" t="str">
            <v>Pumps and Fans</v>
          </cell>
          <cell r="D88" t="str">
            <v>Motors/Drives Installation on Pump System</v>
          </cell>
        </row>
        <row r="89">
          <cell r="B89" t="str">
            <v>Motors/Drives</v>
          </cell>
          <cell r="C89" t="str">
            <v>Pumps and Fans</v>
          </cell>
          <cell r="D89" t="str">
            <v>Motors/Drives Installation on Vacuum Pumps</v>
          </cell>
        </row>
        <row r="90">
          <cell r="B90" t="str">
            <v>Process Loads</v>
          </cell>
          <cell r="C90" t="str">
            <v>Livestock Tanks</v>
          </cell>
          <cell r="D90" t="str">
            <v>Freeze Resistant Stock Tanks</v>
          </cell>
        </row>
        <row r="91">
          <cell r="B91" t="str">
            <v>Process Loads</v>
          </cell>
          <cell r="C91" t="str">
            <v>Process Loads System Improvements</v>
          </cell>
          <cell r="D91" t="str">
            <v>Interactive Process Loads System Improvements</v>
          </cell>
        </row>
        <row r="92">
          <cell r="B92" t="str">
            <v>Process Loads</v>
          </cell>
          <cell r="C92" t="str">
            <v>Pumps and Fans</v>
          </cell>
          <cell r="D92" t="str">
            <v>Centrifugal Pump System Improvements</v>
          </cell>
        </row>
        <row r="93">
          <cell r="B93" t="str">
            <v>Process Loads</v>
          </cell>
          <cell r="C93" t="str">
            <v>Pumps and Fans</v>
          </cell>
          <cell r="D93" t="str">
            <v>Fan System Improvements</v>
          </cell>
        </row>
        <row r="94">
          <cell r="B94" t="str">
            <v>Process Loads</v>
          </cell>
          <cell r="C94" t="str">
            <v>Pumps and Fans</v>
          </cell>
          <cell r="D94" t="str">
            <v>Pump System Improvements</v>
          </cell>
        </row>
        <row r="95">
          <cell r="B95" t="str">
            <v>Process Loads</v>
          </cell>
          <cell r="C95" t="str">
            <v>Pumps and Fans</v>
          </cell>
          <cell r="D95" t="str">
            <v>Turbine Pump System Improvements</v>
          </cell>
        </row>
        <row r="96">
          <cell r="B96" t="str">
            <v>Process Loads</v>
          </cell>
          <cell r="C96" t="str">
            <v>Pumps and Fans</v>
          </cell>
          <cell r="D96" t="str">
            <v>Vacuum Pump System Improvements</v>
          </cell>
        </row>
        <row r="97">
          <cell r="B97" t="str">
            <v>Refrigeration</v>
          </cell>
          <cell r="C97" t="str">
            <v>Dairy System Improvements</v>
          </cell>
          <cell r="D97" t="str">
            <v>Heat Recovery Improvements</v>
          </cell>
        </row>
        <row r="98">
          <cell r="B98" t="str">
            <v>Refrigeration</v>
          </cell>
          <cell r="C98" t="str">
            <v>Dairy System Improvements</v>
          </cell>
          <cell r="D98" t="str">
            <v>Plate Milk Pre-cooler</v>
          </cell>
        </row>
        <row r="99">
          <cell r="B99" t="str">
            <v>Refrigeration</v>
          </cell>
          <cell r="C99" t="str">
            <v>Heat Recovery</v>
          </cell>
          <cell r="D99" t="str">
            <v>Heat Recovery Improvements</v>
          </cell>
        </row>
        <row r="100">
          <cell r="B100" t="str">
            <v>Refrigeration</v>
          </cell>
          <cell r="C100" t="str">
            <v>Packaged Refrigeration</v>
          </cell>
          <cell r="D100" t="str">
            <v>Packaged Refrigeration System Improvements</v>
          </cell>
        </row>
        <row r="101">
          <cell r="B101" t="str">
            <v>Refrigeration</v>
          </cell>
          <cell r="C101" t="str">
            <v>Pumps and Fans</v>
          </cell>
          <cell r="D101" t="str">
            <v>Condensor Fan System Improvements</v>
          </cell>
        </row>
        <row r="102">
          <cell r="B102" t="str">
            <v>Refrigeration</v>
          </cell>
          <cell r="C102" t="str">
            <v>Pumps and Fans</v>
          </cell>
          <cell r="D102" t="str">
            <v>Evaporator Coil Fan System Improvements</v>
          </cell>
        </row>
        <row r="103">
          <cell r="B103" t="str">
            <v>Refrigeration</v>
          </cell>
          <cell r="C103" t="str">
            <v>Pumps and Fans</v>
          </cell>
          <cell r="D103" t="str">
            <v>Evaporator Fan System Improvements</v>
          </cell>
        </row>
        <row r="104">
          <cell r="B104" t="str">
            <v>Refrigeration</v>
          </cell>
          <cell r="C104" t="str">
            <v>Refrigeration System Controls</v>
          </cell>
          <cell r="D104" t="str">
            <v>Defrost Control Improvements</v>
          </cell>
        </row>
        <row r="105">
          <cell r="B105" t="str">
            <v>Refrigeration</v>
          </cell>
          <cell r="C105" t="str">
            <v>Refrigeration System Controls</v>
          </cell>
          <cell r="D105" t="str">
            <v>Refrigeration Control Improvements (non-VFD)</v>
          </cell>
        </row>
        <row r="106">
          <cell r="B106" t="str">
            <v>Refrigeration</v>
          </cell>
          <cell r="C106" t="str">
            <v>Refrigeration System Controls</v>
          </cell>
          <cell r="D106" t="str">
            <v>Refrigeration Control Improvements (VFD)</v>
          </cell>
        </row>
        <row r="107">
          <cell r="B107" t="str">
            <v>Refrigeration</v>
          </cell>
          <cell r="C107" t="str">
            <v>Refrigeration System Improvements</v>
          </cell>
          <cell r="D107" t="str">
            <v>Chiller Improvements</v>
          </cell>
        </row>
        <row r="108">
          <cell r="B108" t="str">
            <v>Refrigeration</v>
          </cell>
          <cell r="C108" t="str">
            <v>Refrigeration System Improvements</v>
          </cell>
          <cell r="D108" t="str">
            <v>Insulation</v>
          </cell>
        </row>
        <row r="109">
          <cell r="B109" t="str">
            <v>Refrigeration</v>
          </cell>
          <cell r="C109" t="str">
            <v>Refrigeration System Improvements</v>
          </cell>
          <cell r="D109" t="str">
            <v>Interactive Refrigeration System Improvements</v>
          </cell>
        </row>
        <row r="110">
          <cell r="B110" t="str">
            <v xml:space="preserve">Utility Distribution System </v>
          </cell>
          <cell r="C110" t="str">
            <v>Transformers</v>
          </cell>
          <cell r="D110" t="str">
            <v>De-Energization</v>
          </cell>
        </row>
        <row r="111">
          <cell r="B111" t="str">
            <v>Water Heating</v>
          </cell>
          <cell r="C111" t="str">
            <v>Heat Recovery</v>
          </cell>
          <cell r="D111" t="str">
            <v>Heat Recovery Improvements</v>
          </cell>
        </row>
        <row r="112">
          <cell r="B112" t="str">
            <v>Water Heating</v>
          </cell>
          <cell r="C112" t="str">
            <v>System Efficiency Improvements</v>
          </cell>
          <cell r="D112" t="str">
            <v>Insulation</v>
          </cell>
        </row>
        <row r="113">
          <cell r="B113" t="str">
            <v>Water Heating</v>
          </cell>
          <cell r="C113" t="str">
            <v>Water Heaters</v>
          </cell>
          <cell r="D113" t="str">
            <v>Water Heaters</v>
          </cell>
        </row>
        <row r="114">
          <cell r="B114" t="str">
            <v>Whole Bldg/Meter Level</v>
          </cell>
          <cell r="C114" t="str">
            <v>Whole Bldg/Meter Level System Improvements</v>
          </cell>
          <cell r="D114" t="str">
            <v>Interactive Whole Bldg/Meter Level System Improvements</v>
          </cell>
        </row>
        <row r="115">
          <cell r="B115" t="str">
            <v>Compressed Air</v>
          </cell>
          <cell r="C115" t="str">
            <v>Compressed Air System Controls</v>
          </cell>
          <cell r="D115" t="str">
            <v>Compressed Air Control Improvements (non-VFD)</v>
          </cell>
        </row>
        <row r="116">
          <cell r="B116" t="str">
            <v>Compressed Air</v>
          </cell>
          <cell r="C116" t="str">
            <v>Compressed Air System Controls</v>
          </cell>
          <cell r="D116" t="str">
            <v>Compressed Air Control Improvements (VFD)</v>
          </cell>
        </row>
        <row r="117">
          <cell r="B117" t="str">
            <v>Compressed Air</v>
          </cell>
          <cell r="C117" t="str">
            <v>Compressed Air System Improvements</v>
          </cell>
          <cell r="D117" t="str">
            <v>Compressed Air System Compressor Improvements (non-VFD)</v>
          </cell>
        </row>
        <row r="118">
          <cell r="B118" t="str">
            <v>Compressed Air</v>
          </cell>
          <cell r="C118" t="str">
            <v>Compressed Air System Improvements</v>
          </cell>
          <cell r="D118" t="str">
            <v>Compressed Air System Compressor Improvements (VFD)</v>
          </cell>
        </row>
        <row r="119">
          <cell r="B119" t="str">
            <v>Compressed Air</v>
          </cell>
          <cell r="C119" t="str">
            <v>Compressed Air System Improvements</v>
          </cell>
          <cell r="D119" t="str">
            <v>Compressed Air System Demand Side Improvements</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Region Load (Base Case)"/>
      <sheetName val="Region Load (High)"/>
      <sheetName val="Region Load (Low)"/>
      <sheetName val="DataCenter Forecast (Base Case)"/>
      <sheetName val="DataCenter Forecast (High)"/>
      <sheetName val="DataCenter Forecast (Low)"/>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90.74529582059904</v>
          </cell>
          <cell r="M70">
            <v>90.898327903457215</v>
          </cell>
          <cell r="N70">
            <v>90.899562515809663</v>
          </cell>
          <cell r="O70">
            <v>91.013237267303055</v>
          </cell>
          <cell r="P70">
            <v>90.967755259326395</v>
          </cell>
          <cell r="Q70">
            <v>90.924506050749457</v>
          </cell>
          <cell r="R70">
            <v>91.025748037140048</v>
          </cell>
          <cell r="S70">
            <v>91.099301040678228</v>
          </cell>
          <cell r="T70">
            <v>90.915023147811965</v>
          </cell>
          <cell r="U70">
            <v>90.903023153329187</v>
          </cell>
          <cell r="V70">
            <v>90.903850245090197</v>
          </cell>
          <cell r="W70">
            <v>90.425722269176404</v>
          </cell>
          <cell r="X70">
            <v>90.371471553755299</v>
          </cell>
          <cell r="Y70">
            <v>90.264014484201496</v>
          </cell>
          <cell r="Z70">
            <v>90.097051493259059</v>
          </cell>
          <cell r="AA70">
            <v>89.896800203896433</v>
          </cell>
          <cell r="AB70">
            <v>89.896456479218287</v>
          </cell>
          <cell r="AC70">
            <v>89.606519803497406</v>
          </cell>
          <cell r="AD70">
            <v>89.325294250105614</v>
          </cell>
          <cell r="AE70">
            <v>89.328380794090677</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row r="93">
          <cell r="G93" t="str">
            <v>RegionPopStock</v>
          </cell>
          <cell r="H93" t="str">
            <v>Pop</v>
          </cell>
          <cell r="I93" t="str">
            <v>Pop</v>
          </cell>
          <cell r="J93" t="str">
            <v>Stock</v>
          </cell>
          <cell r="K93" t="str">
            <v># of people</v>
          </cell>
          <cell r="L93">
            <v>13520.68111</v>
          </cell>
          <cell r="M93">
            <v>13661.840299999998</v>
          </cell>
          <cell r="N93">
            <v>13803.691440000001</v>
          </cell>
          <cell r="O93">
            <v>13944.276469999999</v>
          </cell>
          <cell r="P93">
            <v>14082.801340000002</v>
          </cell>
          <cell r="Q93">
            <v>14218.715590000002</v>
          </cell>
          <cell r="R93">
            <v>14351.918940000001</v>
          </cell>
          <cell r="S93">
            <v>14482.437540000003</v>
          </cell>
          <cell r="T93">
            <v>14610.4211</v>
          </cell>
          <cell r="U93">
            <v>14736.24631</v>
          </cell>
          <cell r="V93">
            <v>14860.320880000001</v>
          </cell>
          <cell r="W93">
            <v>14983.078860000001</v>
          </cell>
          <cell r="X93">
            <v>15104.70127</v>
          </cell>
          <cell r="Y93">
            <v>15225.195700000002</v>
          </cell>
          <cell r="Z93">
            <v>15344.62486</v>
          </cell>
          <cell r="AA93">
            <v>15463.089019999998</v>
          </cell>
          <cell r="AB93">
            <v>15580.68845</v>
          </cell>
          <cell r="AC93">
            <v>15697.50913</v>
          </cell>
          <cell r="AD93">
            <v>15813.626329999999</v>
          </cell>
          <cell r="AE93">
            <v>15929.254489999999</v>
          </cell>
        </row>
        <row r="94">
          <cell r="G94" t="str">
            <v>RegionDataCenterStock</v>
          </cell>
          <cell r="H94" t="str">
            <v>DataCenter</v>
          </cell>
          <cell r="I94" t="str">
            <v>DataCenter</v>
          </cell>
          <cell r="J94" t="str">
            <v>Stock</v>
          </cell>
          <cell r="K94" t="str">
            <v>Consumption (aMW)</v>
          </cell>
          <cell r="L94">
            <v>381.60143269415096</v>
          </cell>
          <cell r="M94">
            <v>404.69885906229592</v>
          </cell>
          <cell r="N94">
            <v>421.46039895133885</v>
          </cell>
          <cell r="O94">
            <v>419.64642143844253</v>
          </cell>
          <cell r="P94">
            <v>423.66562864853898</v>
          </cell>
          <cell r="Q94">
            <v>432.76092390952061</v>
          </cell>
          <cell r="R94">
            <v>446.31531189522576</v>
          </cell>
          <cell r="S94">
            <v>450.98222620533323</v>
          </cell>
          <cell r="T94">
            <v>459.05126073815245</v>
          </cell>
          <cell r="U94">
            <v>470.19601765719887</v>
          </cell>
          <cell r="V94">
            <v>484.16208251533135</v>
          </cell>
          <cell r="W94">
            <v>494.21069266812788</v>
          </cell>
          <cell r="X94">
            <v>506.64189476780371</v>
          </cell>
          <cell r="Y94">
            <v>521.35392484293436</v>
          </cell>
          <cell r="Z94">
            <v>538.28523642117</v>
          </cell>
          <cell r="AA94">
            <v>554.01935267425768</v>
          </cell>
          <cell r="AB94">
            <v>571.88182312772415</v>
          </cell>
          <cell r="AC94">
            <v>591.90212163156946</v>
          </cell>
          <cell r="AD94">
            <v>614.13634434495953</v>
          </cell>
          <cell r="AE94">
            <v>636.87438282107769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row>
        <row r="56">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row>
        <row r="57">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0">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1">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2">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3">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4">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5"/>
      <sheetData sheetId="16"/>
      <sheetData sheetId="17"/>
      <sheetData sheetId="18">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 sheetId="19">
        <row r="3">
          <cell r="H3">
            <v>1996</v>
          </cell>
        </row>
        <row r="20">
          <cell r="I20">
            <v>95625721.599999994</v>
          </cell>
          <cell r="J20">
            <v>97978591.5</v>
          </cell>
          <cell r="K20">
            <v>103924856</v>
          </cell>
          <cell r="L20">
            <v>111027588</v>
          </cell>
          <cell r="M20">
            <v>96341311.099999994</v>
          </cell>
          <cell r="N20">
            <v>108671903</v>
          </cell>
          <cell r="O20">
            <v>99866969</v>
          </cell>
          <cell r="P20">
            <v>100944884</v>
          </cell>
          <cell r="Q20">
            <v>73705838.200000003</v>
          </cell>
          <cell r="R20">
            <v>75769386.900000006</v>
          </cell>
          <cell r="S20">
            <v>115245071</v>
          </cell>
          <cell r="T20">
            <v>119849516</v>
          </cell>
          <cell r="U20">
            <v>129241327</v>
          </cell>
          <cell r="V20">
            <v>126669149</v>
          </cell>
          <cell r="W20">
            <v>146991886</v>
          </cell>
          <cell r="X20">
            <v>144899296</v>
          </cell>
          <cell r="Y20">
            <v>154371232</v>
          </cell>
          <cell r="Z20">
            <v>159917766</v>
          </cell>
          <cell r="AA20">
            <v>164882183</v>
          </cell>
          <cell r="AB20">
            <v>169850046</v>
          </cell>
          <cell r="AC20">
            <v>173508403</v>
          </cell>
          <cell r="AD20">
            <v>177411268</v>
          </cell>
          <cell r="AE20">
            <v>183070657</v>
          </cell>
        </row>
        <row r="21">
          <cell r="I21">
            <v>338057128</v>
          </cell>
          <cell r="J21">
            <v>334872035</v>
          </cell>
          <cell r="K21">
            <v>212453978</v>
          </cell>
          <cell r="L21">
            <v>207686900</v>
          </cell>
          <cell r="M21">
            <v>143244318</v>
          </cell>
          <cell r="N21">
            <v>158068222</v>
          </cell>
          <cell r="O21">
            <v>324909659</v>
          </cell>
          <cell r="P21">
            <v>140649871</v>
          </cell>
          <cell r="Q21">
            <v>148856889</v>
          </cell>
          <cell r="R21">
            <v>180963779</v>
          </cell>
          <cell r="S21">
            <v>213474091</v>
          </cell>
          <cell r="T21">
            <v>185920403</v>
          </cell>
          <cell r="U21">
            <v>191972497</v>
          </cell>
          <cell r="V21">
            <v>204206022</v>
          </cell>
          <cell r="W21">
            <v>226259762</v>
          </cell>
          <cell r="X21">
            <v>228985935</v>
          </cell>
          <cell r="Y21">
            <v>233741346</v>
          </cell>
          <cell r="Z21">
            <v>247212327</v>
          </cell>
          <cell r="AA21">
            <v>259314706</v>
          </cell>
          <cell r="AB21">
            <v>278005680</v>
          </cell>
          <cell r="AC21">
            <v>290722968</v>
          </cell>
          <cell r="AD21">
            <v>305585048</v>
          </cell>
          <cell r="AE21">
            <v>312812036</v>
          </cell>
        </row>
        <row r="22">
          <cell r="I22">
            <v>78790207.200000003</v>
          </cell>
          <cell r="J22">
            <v>75161659.200000003</v>
          </cell>
          <cell r="K22">
            <v>65775225.399999999</v>
          </cell>
          <cell r="L22">
            <v>80331725.400000006</v>
          </cell>
          <cell r="M22">
            <v>69086861.299999997</v>
          </cell>
          <cell r="N22">
            <v>139015356</v>
          </cell>
          <cell r="O22">
            <v>100550989</v>
          </cell>
          <cell r="P22">
            <v>101617850</v>
          </cell>
          <cell r="Q22">
            <v>85267538.299999997</v>
          </cell>
          <cell r="R22">
            <v>100045016</v>
          </cell>
          <cell r="S22">
            <v>126846923</v>
          </cell>
          <cell r="T22">
            <v>111398588</v>
          </cell>
          <cell r="U22">
            <v>139066691</v>
          </cell>
          <cell r="V22">
            <v>99032243.5</v>
          </cell>
          <cell r="W22">
            <v>112360290</v>
          </cell>
          <cell r="X22">
            <v>120874543</v>
          </cell>
          <cell r="Y22">
            <v>121603753</v>
          </cell>
          <cell r="Z22">
            <v>132042192</v>
          </cell>
          <cell r="AA22">
            <v>136402533</v>
          </cell>
          <cell r="AB22">
            <v>147000264</v>
          </cell>
          <cell r="AC22">
            <v>154229691</v>
          </cell>
          <cell r="AD22">
            <v>163343414</v>
          </cell>
          <cell r="AE22">
            <v>169539348</v>
          </cell>
        </row>
        <row r="23">
          <cell r="I23">
            <v>186537499</v>
          </cell>
          <cell r="J23">
            <v>187904148</v>
          </cell>
          <cell r="K23">
            <v>210480721</v>
          </cell>
          <cell r="L23">
            <v>207686900</v>
          </cell>
          <cell r="M23">
            <v>185076729</v>
          </cell>
          <cell r="N23">
            <v>222283438</v>
          </cell>
          <cell r="O23">
            <v>215466406</v>
          </cell>
          <cell r="P23">
            <v>184392654</v>
          </cell>
          <cell r="Q23">
            <v>167644652</v>
          </cell>
          <cell r="R23">
            <v>158895025</v>
          </cell>
          <cell r="S23">
            <v>152371000</v>
          </cell>
          <cell r="T23">
            <v>96801531.900000006</v>
          </cell>
          <cell r="U23">
            <v>78602912.200000003</v>
          </cell>
          <cell r="V23">
            <v>105173778</v>
          </cell>
          <cell r="W23">
            <v>106203562</v>
          </cell>
          <cell r="X23">
            <v>104357524</v>
          </cell>
          <cell r="Y23">
            <v>107768596</v>
          </cell>
          <cell r="Z23">
            <v>112969431</v>
          </cell>
          <cell r="AA23">
            <v>119914315</v>
          </cell>
          <cell r="AB23">
            <v>121103844</v>
          </cell>
          <cell r="AC23">
            <v>124154902</v>
          </cell>
          <cell r="AD23">
            <v>129736874</v>
          </cell>
          <cell r="AE23">
            <v>132925216</v>
          </cell>
        </row>
        <row r="25">
          <cell r="H25" t="str">
            <v>Idaho</v>
          </cell>
          <cell r="I25">
            <v>629803398</v>
          </cell>
          <cell r="J25">
            <v>642873377.35000002</v>
          </cell>
          <cell r="K25">
            <v>827853700.19000006</v>
          </cell>
          <cell r="L25">
            <v>949314310.5</v>
          </cell>
          <cell r="M25">
            <v>824671705.72000003</v>
          </cell>
          <cell r="N25">
            <v>1036558543.99</v>
          </cell>
          <cell r="O25">
            <v>921412882.70000005</v>
          </cell>
          <cell r="P25">
            <v>989557786.60000002</v>
          </cell>
          <cell r="Q25">
            <v>1115915065.9000001</v>
          </cell>
          <cell r="R25">
            <v>1206767924.2</v>
          </cell>
          <cell r="S25">
            <v>1308849574.0699999</v>
          </cell>
          <cell r="T25">
            <v>1308585287.1199999</v>
          </cell>
          <cell r="U25">
            <v>1550282951.0999999</v>
          </cell>
          <cell r="V25">
            <v>1525677268</v>
          </cell>
          <cell r="W25">
            <v>1548751854</v>
          </cell>
          <cell r="X25">
            <v>1538633207</v>
          </cell>
          <cell r="Y25">
            <v>1572647948.3599999</v>
          </cell>
          <cell r="Z25">
            <v>1607127657.75</v>
          </cell>
          <cell r="AA25">
            <v>1636247118.73</v>
          </cell>
          <cell r="AB25">
            <v>1670740596.71</v>
          </cell>
          <cell r="AC25">
            <v>1711084692.01</v>
          </cell>
          <cell r="AD25">
            <v>1745849788.4400001</v>
          </cell>
          <cell r="AE25">
            <v>1793842788.48</v>
          </cell>
        </row>
        <row r="26">
          <cell r="H26" t="str">
            <v>Montana</v>
          </cell>
          <cell r="I26">
            <v>157306078.61199999</v>
          </cell>
          <cell r="J26">
            <v>158988866.479</v>
          </cell>
          <cell r="K26">
            <v>148022659.32499999</v>
          </cell>
          <cell r="L26">
            <v>155196955.574</v>
          </cell>
          <cell r="M26">
            <v>150797506.91999999</v>
          </cell>
          <cell r="N26">
            <v>196689240.5</v>
          </cell>
          <cell r="O26">
            <v>190677159.15799999</v>
          </cell>
          <cell r="P26">
            <v>182341406.83200002</v>
          </cell>
          <cell r="Q26">
            <v>229853474.61199999</v>
          </cell>
          <cell r="R26">
            <v>168291733.711</v>
          </cell>
          <cell r="S26">
            <v>185044294.19700003</v>
          </cell>
          <cell r="T26">
            <v>230868388.64999998</v>
          </cell>
          <cell r="U26">
            <v>238708494.85599998</v>
          </cell>
          <cell r="V26">
            <v>318134630.06999993</v>
          </cell>
          <cell r="W26">
            <v>310634073.77999997</v>
          </cell>
          <cell r="X26">
            <v>320834983.16000003</v>
          </cell>
          <cell r="Y26">
            <v>323015623.47000003</v>
          </cell>
          <cell r="Z26">
            <v>319071472.87</v>
          </cell>
          <cell r="AA26">
            <v>320041493.44999999</v>
          </cell>
          <cell r="AB26">
            <v>321220236.61000001</v>
          </cell>
          <cell r="AC26">
            <v>317274315.14999998</v>
          </cell>
          <cell r="AD26">
            <v>317242678.67000002</v>
          </cell>
          <cell r="AE26">
            <v>314343281.5</v>
          </cell>
        </row>
        <row r="27">
          <cell r="H27" t="str">
            <v>Oregon</v>
          </cell>
          <cell r="I27">
            <v>1023141844.83</v>
          </cell>
          <cell r="J27">
            <v>1032526028.86</v>
          </cell>
          <cell r="K27">
            <v>962715823.98000002</v>
          </cell>
          <cell r="L27">
            <v>1076032289.2</v>
          </cell>
          <cell r="M27">
            <v>1134553263.6399999</v>
          </cell>
          <cell r="N27">
            <v>1277568570.9000001</v>
          </cell>
          <cell r="O27">
            <v>1325282272.8</v>
          </cell>
          <cell r="P27">
            <v>1385460617.0999999</v>
          </cell>
          <cell r="Q27">
            <v>1327843272.4000001</v>
          </cell>
          <cell r="R27">
            <v>1262279512.3</v>
          </cell>
          <cell r="S27">
            <v>1527455277.2</v>
          </cell>
          <cell r="T27">
            <v>1481428474.1000001</v>
          </cell>
          <cell r="U27">
            <v>1611305885.4000001</v>
          </cell>
          <cell r="V27">
            <v>1703912175.9000001</v>
          </cell>
          <cell r="W27">
            <v>1822716919.9000001</v>
          </cell>
          <cell r="X27">
            <v>1863138987.4000001</v>
          </cell>
          <cell r="Y27">
            <v>1934947194.0999999</v>
          </cell>
          <cell r="Z27">
            <v>2020589620.3999999</v>
          </cell>
          <cell r="AA27">
            <v>2083950219.9000001</v>
          </cell>
          <cell r="AB27">
            <v>2146630229.3</v>
          </cell>
          <cell r="AC27">
            <v>2204367746.5</v>
          </cell>
          <cell r="AD27">
            <v>2262579257.1000004</v>
          </cell>
          <cell r="AE27">
            <v>2319287101.8000002</v>
          </cell>
        </row>
        <row r="28">
          <cell r="H28" t="str">
            <v>Washington</v>
          </cell>
          <cell r="I28">
            <v>1273438305.8</v>
          </cell>
          <cell r="J28">
            <v>1241509549.7</v>
          </cell>
          <cell r="K28">
            <v>1106339290.4000001</v>
          </cell>
          <cell r="L28">
            <v>1131175190.4000001</v>
          </cell>
          <cell r="M28">
            <v>972920477.39999998</v>
          </cell>
          <cell r="N28">
            <v>1033088739</v>
          </cell>
          <cell r="O28">
            <v>855709439</v>
          </cell>
          <cell r="P28">
            <v>854666682</v>
          </cell>
          <cell r="Q28">
            <v>802092945.5</v>
          </cell>
          <cell r="R28">
            <v>821693254.89999998</v>
          </cell>
          <cell r="S28">
            <v>979969830</v>
          </cell>
          <cell r="T28">
            <v>938821206.89999998</v>
          </cell>
          <cell r="U28">
            <v>1005210320.2</v>
          </cell>
          <cell r="V28">
            <v>1020262416.5</v>
          </cell>
          <cell r="W28">
            <v>1129759628</v>
          </cell>
          <cell r="X28">
            <v>1167452880</v>
          </cell>
          <cell r="Y28">
            <v>1221862862</v>
          </cell>
          <cell r="Z28">
            <v>1302082730</v>
          </cell>
          <cell r="AA28">
            <v>1366273724</v>
          </cell>
          <cell r="AB28">
            <v>1436489624</v>
          </cell>
          <cell r="AC28">
            <v>1503739491</v>
          </cell>
          <cell r="AD28">
            <v>1577162726</v>
          </cell>
          <cell r="AE28">
            <v>1639676320</v>
          </cell>
        </row>
        <row r="30">
          <cell r="G30" t="str">
            <v>2 Digit NAICS descp.</v>
          </cell>
          <cell r="H30" t="str">
            <v>3 digit nics descp</v>
          </cell>
          <cell r="I30" t="str">
            <v>Building type</v>
          </cell>
          <cell r="J30" t="str">
            <v>Mapping to 2020 ECCs</v>
          </cell>
          <cell r="K30" t="str">
            <v>Mapping to 2020 Transportation</v>
          </cell>
          <cell r="L30" t="str">
            <v>Mapping</v>
          </cell>
          <cell r="M30" t="str">
            <v>State</v>
          </cell>
          <cell r="N30" t="str">
            <v>Regions</v>
          </cell>
          <cell r="O30">
            <v>1997</v>
          </cell>
          <cell r="P30">
            <v>1998</v>
          </cell>
          <cell r="Q30">
            <v>1999</v>
          </cell>
          <cell r="R30">
            <v>2000</v>
          </cell>
          <cell r="S30">
            <v>2001</v>
          </cell>
          <cell r="T30">
            <v>2002</v>
          </cell>
          <cell r="U30">
            <v>2003</v>
          </cell>
          <cell r="V30">
            <v>2004</v>
          </cell>
          <cell r="W30">
            <v>2005</v>
          </cell>
          <cell r="X30">
            <v>2006</v>
          </cell>
          <cell r="Y30">
            <v>2007</v>
          </cell>
          <cell r="Z30">
            <v>2008</v>
          </cell>
          <cell r="AA30">
            <v>2009</v>
          </cell>
          <cell r="AB30">
            <v>2010</v>
          </cell>
          <cell r="AC30">
            <v>2011</v>
          </cell>
          <cell r="AD30">
            <v>2012</v>
          </cell>
          <cell r="AE30">
            <v>2013</v>
          </cell>
        </row>
        <row r="31">
          <cell r="G31" t="str">
            <v>Manufacturing</v>
          </cell>
          <cell r="H31" t="str">
            <v>Food Manufacturing</v>
          </cell>
          <cell r="I31" t="str">
            <v>Manufacturing</v>
          </cell>
          <cell r="J31" t="str">
            <v>Food &amp; Tobacco</v>
          </cell>
          <cell r="K31" t="str">
            <v>Freight</v>
          </cell>
          <cell r="L31" t="str">
            <v>Sales (Inflation Adjusted - 2000$)_ID_3115</v>
          </cell>
          <cell r="M31" t="str">
            <v>ID</v>
          </cell>
          <cell r="N31" t="str">
            <v>Idaho</v>
          </cell>
          <cell r="O31">
            <v>629803398</v>
          </cell>
          <cell r="P31">
            <v>642873377.35000002</v>
          </cell>
          <cell r="Q31">
            <v>827853700.19000006</v>
          </cell>
          <cell r="R31">
            <v>949314310.5</v>
          </cell>
          <cell r="S31">
            <v>824671705.72000003</v>
          </cell>
          <cell r="T31">
            <v>1036558543.99</v>
          </cell>
          <cell r="U31">
            <v>921412882.70000005</v>
          </cell>
          <cell r="V31">
            <v>989557786.60000002</v>
          </cell>
          <cell r="W31">
            <v>1115915065.9000001</v>
          </cell>
          <cell r="X31">
            <v>1206767924.2</v>
          </cell>
          <cell r="Y31">
            <v>1308849574.0699999</v>
          </cell>
          <cell r="Z31">
            <v>1308585287.1199999</v>
          </cell>
          <cell r="AA31">
            <v>1550282951.0999999</v>
          </cell>
          <cell r="AB31">
            <v>1525677268</v>
          </cell>
          <cell r="AC31">
            <v>1548751854</v>
          </cell>
          <cell r="AD31">
            <v>1538633207</v>
          </cell>
          <cell r="AE31">
            <v>1572647948.3599999</v>
          </cell>
        </row>
        <row r="32">
          <cell r="G32" t="str">
            <v>Manufacturing</v>
          </cell>
          <cell r="H32" t="str">
            <v>Food Manufacturing</v>
          </cell>
          <cell r="I32" t="str">
            <v>Manufacturing</v>
          </cell>
          <cell r="J32" t="str">
            <v>Food &amp; Tobacco</v>
          </cell>
          <cell r="K32" t="str">
            <v>Freight</v>
          </cell>
          <cell r="L32" t="str">
            <v>Sales (Inflation Adjusted - 2000$)_MT_3115</v>
          </cell>
          <cell r="M32" t="str">
            <v>MT</v>
          </cell>
          <cell r="N32" t="str">
            <v>Montana</v>
          </cell>
          <cell r="O32">
            <v>157306078.61199999</v>
          </cell>
          <cell r="P32">
            <v>158988866.479</v>
          </cell>
          <cell r="Q32">
            <v>148022659.32499999</v>
          </cell>
          <cell r="R32">
            <v>155196955.574</v>
          </cell>
          <cell r="S32">
            <v>150797506.91999999</v>
          </cell>
          <cell r="T32">
            <v>196689240.5</v>
          </cell>
          <cell r="U32">
            <v>190677159.15799999</v>
          </cell>
          <cell r="V32">
            <v>182341406.83200002</v>
          </cell>
          <cell r="W32">
            <v>229853474.61199999</v>
          </cell>
          <cell r="X32">
            <v>168291733.711</v>
          </cell>
          <cell r="Y32">
            <v>185044294.19700003</v>
          </cell>
          <cell r="Z32">
            <v>230868388.64999998</v>
          </cell>
          <cell r="AA32">
            <v>238708494.85599998</v>
          </cell>
          <cell r="AB32">
            <v>318134630.06999993</v>
          </cell>
          <cell r="AC32">
            <v>310634073.77999997</v>
          </cell>
          <cell r="AD32">
            <v>320834983.16000003</v>
          </cell>
          <cell r="AE32">
            <v>323015623.47000003</v>
          </cell>
        </row>
        <row r="33">
          <cell r="G33" t="str">
            <v>Manufacturing</v>
          </cell>
          <cell r="H33" t="str">
            <v>Food Manufacturing</v>
          </cell>
          <cell r="I33" t="str">
            <v>Manufacturing</v>
          </cell>
          <cell r="J33" t="str">
            <v>Food &amp; Tobacco</v>
          </cell>
          <cell r="K33" t="str">
            <v>Freight</v>
          </cell>
          <cell r="L33" t="str">
            <v>Sales (Inflation Adjusted - 2000$)_OR_3115</v>
          </cell>
          <cell r="M33" t="str">
            <v>OR</v>
          </cell>
          <cell r="N33" t="str">
            <v>Oregon</v>
          </cell>
          <cell r="O33">
            <v>1023141844.83</v>
          </cell>
          <cell r="P33">
            <v>1032526028.86</v>
          </cell>
          <cell r="Q33">
            <v>962715823.98000002</v>
          </cell>
          <cell r="R33">
            <v>1076032289.2</v>
          </cell>
          <cell r="S33">
            <v>1134553263.6399999</v>
          </cell>
          <cell r="T33">
            <v>1277568570.9000001</v>
          </cell>
          <cell r="U33">
            <v>1325282272.8</v>
          </cell>
          <cell r="V33">
            <v>1385460617.0999999</v>
          </cell>
          <cell r="W33">
            <v>1327843272.4000001</v>
          </cell>
          <cell r="X33">
            <v>1262279512.3</v>
          </cell>
          <cell r="Y33">
            <v>1527455277.2</v>
          </cell>
          <cell r="Z33">
            <v>1481428474.1000001</v>
          </cell>
          <cell r="AA33">
            <v>1611305885.4000001</v>
          </cell>
          <cell r="AB33">
            <v>1703912175.9000001</v>
          </cell>
          <cell r="AC33">
            <v>1822716919.9000001</v>
          </cell>
          <cell r="AD33">
            <v>1863138987.4000001</v>
          </cell>
          <cell r="AE33">
            <v>1934947194.0999999</v>
          </cell>
        </row>
        <row r="34">
          <cell r="G34" t="str">
            <v>Manufacturing</v>
          </cell>
          <cell r="H34" t="str">
            <v>Food Manufacturing</v>
          </cell>
          <cell r="I34" t="str">
            <v>Manufacturing</v>
          </cell>
          <cell r="J34" t="str">
            <v>Food &amp; Tobacco</v>
          </cell>
          <cell r="K34" t="str">
            <v>Freight</v>
          </cell>
          <cell r="L34" t="str">
            <v>Sales (Inflation Adjusted - 2000$)_WA_3115</v>
          </cell>
          <cell r="M34" t="str">
            <v>WA</v>
          </cell>
          <cell r="N34" t="str">
            <v>Washington</v>
          </cell>
          <cell r="O34">
            <v>1273438305.8</v>
          </cell>
          <cell r="P34">
            <v>1241509549.7</v>
          </cell>
          <cell r="Q34">
            <v>1106339290.4000001</v>
          </cell>
          <cell r="R34">
            <v>1131175190.4000001</v>
          </cell>
          <cell r="S34">
            <v>972920477.39999998</v>
          </cell>
          <cell r="T34">
            <v>1033088739</v>
          </cell>
          <cell r="U34">
            <v>855709439</v>
          </cell>
          <cell r="V34">
            <v>854666682</v>
          </cell>
          <cell r="W34">
            <v>802092945.5</v>
          </cell>
          <cell r="X34">
            <v>821693254.89999998</v>
          </cell>
          <cell r="Y34">
            <v>979969830</v>
          </cell>
          <cell r="Z34">
            <v>938821206.89999998</v>
          </cell>
          <cell r="AA34">
            <v>1005210320.2</v>
          </cell>
          <cell r="AB34">
            <v>1020262416.5</v>
          </cell>
          <cell r="AC34">
            <v>1129759628</v>
          </cell>
          <cell r="AD34">
            <v>1167452880</v>
          </cell>
          <cell r="AE34">
            <v>1221862862</v>
          </cell>
        </row>
        <row r="36">
          <cell r="G36">
            <v>1711084692.01</v>
          </cell>
          <cell r="H36">
            <v>1745849788.4400001</v>
          </cell>
          <cell r="I36">
            <v>1793842788.48</v>
          </cell>
          <cell r="J36">
            <v>1844031455.0799999</v>
          </cell>
          <cell r="K36">
            <v>1900640702.6900001</v>
          </cell>
          <cell r="L36">
            <v>1957464654.45</v>
          </cell>
          <cell r="M36">
            <v>2024591449.8199999</v>
          </cell>
          <cell r="N36">
            <v>2099484002.3499999</v>
          </cell>
          <cell r="O36">
            <v>2182153011.5999999</v>
          </cell>
          <cell r="P36">
            <v>2284892178.5</v>
          </cell>
          <cell r="Q36">
            <v>2378940927.7800002</v>
          </cell>
          <cell r="R36">
            <v>2484467592.8899999</v>
          </cell>
          <cell r="S36">
            <v>2575806943.77</v>
          </cell>
          <cell r="T36">
            <v>2675193452.4000001</v>
          </cell>
          <cell r="U36">
            <v>2783592126.4000001</v>
          </cell>
          <cell r="V36">
            <v>2887561973.1999998</v>
          </cell>
          <cell r="W36">
            <v>2987701908</v>
          </cell>
          <cell r="X36">
            <v>3105538699.9000001</v>
          </cell>
          <cell r="Y36">
            <v>3188441716.3000002</v>
          </cell>
        </row>
        <row r="37">
          <cell r="G37">
            <v>317274315.14999998</v>
          </cell>
          <cell r="H37">
            <v>317242678.67000002</v>
          </cell>
          <cell r="I37">
            <v>314343281.5</v>
          </cell>
          <cell r="J37">
            <v>315500155.42000002</v>
          </cell>
          <cell r="K37">
            <v>316604185.17000002</v>
          </cell>
          <cell r="L37">
            <v>314025803.90000004</v>
          </cell>
          <cell r="M37">
            <v>312165770.96000004</v>
          </cell>
          <cell r="N37">
            <v>316846772.75</v>
          </cell>
          <cell r="O37">
            <v>317154017.94000006</v>
          </cell>
          <cell r="P37">
            <v>317132831.70999998</v>
          </cell>
          <cell r="Q37">
            <v>329619379.67999995</v>
          </cell>
          <cell r="R37">
            <v>331066865.50999999</v>
          </cell>
          <cell r="S37">
            <v>333952763.74000001</v>
          </cell>
          <cell r="T37">
            <v>338486759.89000005</v>
          </cell>
          <cell r="U37">
            <v>344005985.83999997</v>
          </cell>
          <cell r="V37">
            <v>344015536.36000001</v>
          </cell>
          <cell r="W37">
            <v>352166717.38</v>
          </cell>
          <cell r="X37">
            <v>360257472.30000007</v>
          </cell>
          <cell r="Y37">
            <v>360167672.44999999</v>
          </cell>
        </row>
        <row r="38">
          <cell r="G38">
            <v>2204367746.5</v>
          </cell>
          <cell r="H38">
            <v>2262579257.1000004</v>
          </cell>
          <cell r="I38">
            <v>2319287101.8000002</v>
          </cell>
          <cell r="J38">
            <v>2377721823.3000002</v>
          </cell>
          <cell r="K38">
            <v>2439565476.5999999</v>
          </cell>
          <cell r="L38">
            <v>2511493504.3000002</v>
          </cell>
          <cell r="M38">
            <v>2591814073.3999996</v>
          </cell>
          <cell r="N38">
            <v>2679434278</v>
          </cell>
          <cell r="O38">
            <v>2774540250.3000002</v>
          </cell>
          <cell r="P38">
            <v>2879612349.6999998</v>
          </cell>
          <cell r="Q38">
            <v>2984193071.1999998</v>
          </cell>
          <cell r="R38">
            <v>3092428874</v>
          </cell>
          <cell r="S38">
            <v>3202917778.5999999</v>
          </cell>
          <cell r="T38">
            <v>3332498384.6999998</v>
          </cell>
          <cell r="U38">
            <v>3442249037.4000001</v>
          </cell>
          <cell r="V38">
            <v>3565172330.5999999</v>
          </cell>
          <cell r="W38">
            <v>3708165815.2000003</v>
          </cell>
          <cell r="X38">
            <v>3837626194.8000002</v>
          </cell>
          <cell r="Y38">
            <v>3986119730.8000002</v>
          </cell>
        </row>
        <row r="39">
          <cell r="G39">
            <v>1503739491</v>
          </cell>
          <cell r="H39">
            <v>1577162726</v>
          </cell>
          <cell r="I39">
            <v>1639676320</v>
          </cell>
          <cell r="J39">
            <v>1705797870</v>
          </cell>
          <cell r="K39">
            <v>1761876129</v>
          </cell>
          <cell r="L39">
            <v>1832353919</v>
          </cell>
          <cell r="M39">
            <v>1885834558</v>
          </cell>
          <cell r="N39">
            <v>1950702973</v>
          </cell>
          <cell r="O39">
            <v>2024878252</v>
          </cell>
          <cell r="P39">
            <v>2106253871</v>
          </cell>
          <cell r="Q39">
            <v>2193325448</v>
          </cell>
          <cell r="R39">
            <v>2273964959</v>
          </cell>
          <cell r="S39">
            <v>2356511431</v>
          </cell>
          <cell r="T39">
            <v>2435921000</v>
          </cell>
          <cell r="U39">
            <v>2531172713</v>
          </cell>
          <cell r="V39">
            <v>2621004345</v>
          </cell>
          <cell r="W39">
            <v>2698900541</v>
          </cell>
          <cell r="X39">
            <v>2796518159</v>
          </cell>
          <cell r="Y39">
            <v>2869362843</v>
          </cell>
        </row>
        <row r="40">
          <cell r="G40">
            <v>5736466244.6599998</v>
          </cell>
          <cell r="H40">
            <v>5902834450.210001</v>
          </cell>
          <cell r="I40">
            <v>6067149491.7800007</v>
          </cell>
          <cell r="J40">
            <v>6243051303.8000002</v>
          </cell>
          <cell r="K40">
            <v>6418686493.46</v>
          </cell>
          <cell r="L40">
            <v>6615337881.6499996</v>
          </cell>
          <cell r="M40">
            <v>6814405852.1799994</v>
          </cell>
          <cell r="N40">
            <v>7046468026.1000004</v>
          </cell>
          <cell r="O40">
            <v>7298725531.8400002</v>
          </cell>
          <cell r="P40">
            <v>7587891230.9099998</v>
          </cell>
          <cell r="Q40">
            <v>7886078826.6599998</v>
          </cell>
          <cell r="R40">
            <v>8181928291.3999996</v>
          </cell>
          <cell r="S40">
            <v>8469188917.1100006</v>
          </cell>
          <cell r="T40">
            <v>8782099596.9899998</v>
          </cell>
          <cell r="U40">
            <v>9101019862.6399994</v>
          </cell>
          <cell r="V40">
            <v>9417754185.1599998</v>
          </cell>
          <cell r="W40">
            <v>9746934981.5799999</v>
          </cell>
          <cell r="X40">
            <v>10099940526</v>
          </cell>
          <cell r="Y40">
            <v>10404091962.549999</v>
          </cell>
          <cell r="AB40">
            <v>0</v>
          </cell>
        </row>
        <row r="45">
          <cell r="G45" t="str">
            <v>Montana - Sales</v>
          </cell>
          <cell r="H45" t="str">
            <v>Montana - Production</v>
          </cell>
          <cell r="I45" t="str">
            <v>Oregon - Employment</v>
          </cell>
          <cell r="J45" t="str">
            <v>Oregon - Sales</v>
          </cell>
          <cell r="K45" t="str">
            <v>Oregon - Production</v>
          </cell>
          <cell r="L45" t="str">
            <v>Washington - Employment</v>
          </cell>
          <cell r="M45" t="str">
            <v>Washington - Sales</v>
          </cell>
          <cell r="N45" t="str">
            <v>Washington - Production</v>
          </cell>
          <cell r="S45" t="str">
            <v>Milk cows and production by State and region, 2009-2013 (cont.)</v>
          </cell>
        </row>
        <row r="46">
          <cell r="G46">
            <v>157306078.61199999</v>
          </cell>
          <cell r="H46">
            <v>295</v>
          </cell>
          <cell r="J46">
            <v>1023141844.83</v>
          </cell>
          <cell r="K46">
            <v>1610</v>
          </cell>
          <cell r="M46">
            <v>1273438305.8</v>
          </cell>
          <cell r="N46">
            <v>5305</v>
          </cell>
        </row>
        <row r="47">
          <cell r="G47">
            <v>158988866.479</v>
          </cell>
          <cell r="H47">
            <v>291</v>
          </cell>
          <cell r="J47">
            <v>1032526028.86</v>
          </cell>
          <cell r="K47">
            <v>1583</v>
          </cell>
          <cell r="M47">
            <v>1241509549.7</v>
          </cell>
          <cell r="N47">
            <v>5326</v>
          </cell>
          <cell r="R47" t="str">
            <v>State and region</v>
          </cell>
          <cell r="T47" t="str">
            <v>Milk production</v>
          </cell>
        </row>
        <row r="48">
          <cell r="G48">
            <v>148022659.32499999</v>
          </cell>
          <cell r="H48">
            <v>303</v>
          </cell>
          <cell r="J48">
            <v>962715823.98000002</v>
          </cell>
          <cell r="K48">
            <v>1665</v>
          </cell>
          <cell r="M48">
            <v>1106339290.4000001</v>
          </cell>
          <cell r="N48">
            <v>5535</v>
          </cell>
          <cell r="T48">
            <v>2008</v>
          </cell>
          <cell r="V48">
            <v>2009</v>
          </cell>
          <cell r="X48">
            <v>2010</v>
          </cell>
          <cell r="Z48" t="str">
            <v xml:space="preserve">2011  </v>
          </cell>
          <cell r="AB48" t="str">
            <v>2012</v>
          </cell>
          <cell r="AD48" t="str">
            <v>2013 1/</v>
          </cell>
        </row>
        <row r="49">
          <cell r="G49">
            <v>155196955.574</v>
          </cell>
          <cell r="H49">
            <v>338</v>
          </cell>
          <cell r="J49">
            <v>1076032289.2</v>
          </cell>
          <cell r="K49">
            <v>1640</v>
          </cell>
          <cell r="M49">
            <v>1131175190.4000001</v>
          </cell>
          <cell r="N49">
            <v>5593</v>
          </cell>
        </row>
        <row r="50">
          <cell r="G50">
            <v>150797506.91999999</v>
          </cell>
          <cell r="H50">
            <v>346</v>
          </cell>
          <cell r="J50">
            <v>1134553263.6399999</v>
          </cell>
          <cell r="K50">
            <v>1717</v>
          </cell>
          <cell r="M50">
            <v>972920477.39999998</v>
          </cell>
          <cell r="N50">
            <v>5514</v>
          </cell>
          <cell r="T50" t="str">
            <v>mil. pounds</v>
          </cell>
          <cell r="U50" t="str">
            <v>% US</v>
          </cell>
          <cell r="V50" t="str">
            <v>mil. pounds</v>
          </cell>
          <cell r="W50" t="str">
            <v>% US</v>
          </cell>
          <cell r="X50" t="str">
            <v>mil. pounds</v>
          </cell>
          <cell r="Y50" t="str">
            <v>% US</v>
          </cell>
          <cell r="Z50" t="str">
            <v>mil. pounds</v>
          </cell>
          <cell r="AA50" t="str">
            <v>% US</v>
          </cell>
          <cell r="AB50" t="str">
            <v>mil. pounds</v>
          </cell>
          <cell r="AC50" t="str">
            <v>% US</v>
          </cell>
          <cell r="AD50" t="str">
            <v>mil. pounds</v>
          </cell>
          <cell r="AE50" t="str">
            <v>% US</v>
          </cell>
        </row>
        <row r="51">
          <cell r="G51">
            <v>196689240.5</v>
          </cell>
          <cell r="H51">
            <v>341</v>
          </cell>
          <cell r="J51">
            <v>1277568570.9000001</v>
          </cell>
          <cell r="K51">
            <v>2093</v>
          </cell>
          <cell r="M51">
            <v>1033088739</v>
          </cell>
          <cell r="N51">
            <v>5620</v>
          </cell>
          <cell r="R51" t="str">
            <v xml:space="preserve">  Mountain</v>
          </cell>
          <cell r="T51">
            <v>30247.7</v>
          </cell>
          <cell r="U51">
            <v>0.15921325302409753</v>
          </cell>
          <cell r="V51">
            <v>29750.7</v>
          </cell>
          <cell r="W51">
            <v>0.15713375755808795</v>
          </cell>
          <cell r="X51">
            <v>30359.9</v>
          </cell>
          <cell r="Y51">
            <v>0.15823747061052451</v>
          </cell>
          <cell r="Z51">
            <v>31780.1</v>
          </cell>
          <cell r="AA51">
            <v>0.1620073142656728</v>
          </cell>
          <cell r="AB51">
            <v>32550</v>
          </cell>
          <cell r="AC51">
            <v>0.16231418640949052</v>
          </cell>
          <cell r="AD51">
            <v>32405</v>
          </cell>
          <cell r="AE51">
            <v>0.1610450409259655</v>
          </cell>
        </row>
        <row r="52">
          <cell r="G52">
            <v>190677159.15799999</v>
          </cell>
          <cell r="H52">
            <v>345</v>
          </cell>
          <cell r="J52">
            <v>1325282272.8</v>
          </cell>
          <cell r="K52">
            <v>2177</v>
          </cell>
          <cell r="M52">
            <v>855709439</v>
          </cell>
          <cell r="N52">
            <v>5581</v>
          </cell>
          <cell r="S52" t="str">
            <v>Montana</v>
          </cell>
          <cell r="T52">
            <v>313</v>
          </cell>
          <cell r="U52">
            <v>1.6475219007244361E-3</v>
          </cell>
          <cell r="V52">
            <v>299</v>
          </cell>
          <cell r="W52">
            <v>1.5792231278547494E-3</v>
          </cell>
          <cell r="X52">
            <v>284</v>
          </cell>
          <cell r="Y52">
            <v>1.4802236388587893E-3</v>
          </cell>
          <cell r="Z52">
            <v>288</v>
          </cell>
          <cell r="AA52">
            <v>1.4681548046895311E-3</v>
          </cell>
          <cell r="AB52">
            <v>299</v>
          </cell>
          <cell r="AC52">
            <v>1.4909966739304966E-3</v>
          </cell>
          <cell r="AD52">
            <v>298</v>
          </cell>
          <cell r="AE52">
            <v>1.480988186882818E-3</v>
          </cell>
        </row>
        <row r="53">
          <cell r="G53">
            <v>182341406.83200002</v>
          </cell>
          <cell r="H53">
            <v>348</v>
          </cell>
          <cell r="J53">
            <v>1385460617.0999999</v>
          </cell>
          <cell r="K53">
            <v>2270</v>
          </cell>
          <cell r="M53">
            <v>854666682</v>
          </cell>
          <cell r="N53">
            <v>5416</v>
          </cell>
          <cell r="S53" t="str">
            <v>Idaho</v>
          </cell>
          <cell r="T53">
            <v>12315</v>
          </cell>
          <cell r="U53">
            <v>6.4821828138726612E-2</v>
          </cell>
          <cell r="V53">
            <v>12150</v>
          </cell>
          <cell r="W53">
            <v>6.4172444827542488E-2</v>
          </cell>
          <cell r="X53">
            <v>12746</v>
          </cell>
          <cell r="Y53">
            <v>6.6432853876387782E-2</v>
          </cell>
          <cell r="Z53">
            <v>13256</v>
          </cell>
          <cell r="AA53">
            <v>6.7575903093626474E-2</v>
          </cell>
          <cell r="AB53">
            <v>13558</v>
          </cell>
          <cell r="AC53">
            <v>6.7608471254681182E-2</v>
          </cell>
          <cell r="AD53">
            <v>13431</v>
          </cell>
          <cell r="AE53">
            <v>6.6748833349070905E-2</v>
          </cell>
        </row>
        <row r="54">
          <cell r="G54">
            <v>229853474.61199999</v>
          </cell>
          <cell r="H54">
            <v>372</v>
          </cell>
          <cell r="J54">
            <v>1327843272.4000001</v>
          </cell>
          <cell r="K54">
            <v>2284</v>
          </cell>
          <cell r="M54">
            <v>802092945.5</v>
          </cell>
          <cell r="N54">
            <v>5608</v>
          </cell>
        </row>
        <row r="55">
          <cell r="G55">
            <v>168291733.711</v>
          </cell>
          <cell r="H55">
            <v>354</v>
          </cell>
          <cell r="J55">
            <v>1262279512.3</v>
          </cell>
          <cell r="K55">
            <v>2242</v>
          </cell>
          <cell r="M55">
            <v>821693254.89999998</v>
          </cell>
          <cell r="N55">
            <v>5464</v>
          </cell>
          <cell r="R55" t="str">
            <v xml:space="preserve">  Pacific</v>
          </cell>
          <cell r="T55">
            <v>49178.7</v>
          </cell>
          <cell r="U55">
            <v>0.25885937795257769</v>
          </cell>
          <cell r="V55">
            <v>47348.3</v>
          </cell>
          <cell r="W55">
            <v>0.25007869707225766</v>
          </cell>
          <cell r="X55">
            <v>48650.6</v>
          </cell>
          <cell r="Y55">
            <v>0.25356960621360358</v>
          </cell>
          <cell r="Z55">
            <v>50144.3</v>
          </cell>
          <cell r="AA55">
            <v>0.25562359365553217</v>
          </cell>
          <cell r="AB55">
            <v>50582</v>
          </cell>
          <cell r="AC55">
            <v>0.25223275505268355</v>
          </cell>
          <cell r="AD55">
            <v>50139</v>
          </cell>
          <cell r="AE55">
            <v>0.24917874732254233</v>
          </cell>
        </row>
        <row r="56">
          <cell r="G56">
            <v>185044294.19700003</v>
          </cell>
          <cell r="H56">
            <v>333</v>
          </cell>
          <cell r="J56">
            <v>1527455277.2</v>
          </cell>
          <cell r="K56">
            <v>2233</v>
          </cell>
          <cell r="M56">
            <v>979969830</v>
          </cell>
          <cell r="N56">
            <v>5531</v>
          </cell>
          <cell r="S56" t="str">
            <v>Washington</v>
          </cell>
          <cell r="T56">
            <v>5696</v>
          </cell>
          <cell r="U56">
            <v>2.998174040423766E-2</v>
          </cell>
          <cell r="V56">
            <v>5561</v>
          </cell>
          <cell r="W56">
            <v>2.9371437505017597E-2</v>
          </cell>
          <cell r="X56">
            <v>5885</v>
          </cell>
          <cell r="Y56">
            <v>3.0672944065788646E-2</v>
          </cell>
          <cell r="Z56">
            <v>6169</v>
          </cell>
          <cell r="AA56">
            <v>3.1448079826839295E-2</v>
          </cell>
          <cell r="AB56">
            <v>6234</v>
          </cell>
          <cell r="AC56">
            <v>3.1086532659808413E-2</v>
          </cell>
          <cell r="AD56">
            <v>6336</v>
          </cell>
          <cell r="AE56">
            <v>3.1488393127817232E-2</v>
          </cell>
        </row>
        <row r="57">
          <cell r="G57">
            <v>230868388.64999998</v>
          </cell>
          <cell r="H57">
            <v>313</v>
          </cell>
          <cell r="J57">
            <v>1481428474.1000001</v>
          </cell>
          <cell r="K57">
            <v>2254</v>
          </cell>
          <cell r="M57">
            <v>938821206.89999998</v>
          </cell>
          <cell r="N57">
            <v>5696</v>
          </cell>
          <cell r="S57" t="str">
            <v>Oregon</v>
          </cell>
          <cell r="T57">
            <v>2254</v>
          </cell>
          <cell r="U57">
            <v>1.1864263144513989E-2</v>
          </cell>
          <cell r="V57">
            <v>2248</v>
          </cell>
          <cell r="W57">
            <v>1.1873222713770825E-2</v>
          </cell>
          <cell r="X57">
            <v>2379</v>
          </cell>
          <cell r="Y57">
            <v>1.2399479002975562E-2</v>
          </cell>
          <cell r="Z57">
            <v>2479</v>
          </cell>
          <cell r="AA57">
            <v>1.263734639175468E-2</v>
          </cell>
          <cell r="AB57">
            <v>2513</v>
          </cell>
          <cell r="AC57">
            <v>1.2531353316345611E-2</v>
          </cell>
          <cell r="AD57">
            <v>2514</v>
          </cell>
          <cell r="AE57">
            <v>1.2493974167192633E-2</v>
          </cell>
        </row>
        <row r="58">
          <cell r="G58">
            <v>238708494.85599998</v>
          </cell>
          <cell r="H58">
            <v>299</v>
          </cell>
          <cell r="J58">
            <v>1611305885.4000001</v>
          </cell>
          <cell r="K58">
            <v>2248</v>
          </cell>
          <cell r="M58">
            <v>1005210320.2</v>
          </cell>
          <cell r="N58">
            <v>5561</v>
          </cell>
        </row>
        <row r="59">
          <cell r="G59">
            <v>318134630.06999993</v>
          </cell>
          <cell r="H59">
            <v>284</v>
          </cell>
          <cell r="J59">
            <v>1703912175.9000001</v>
          </cell>
          <cell r="K59">
            <v>2379</v>
          </cell>
          <cell r="M59">
            <v>1020262416.5</v>
          </cell>
          <cell r="N59">
            <v>5885</v>
          </cell>
          <cell r="R59" t="str">
            <v xml:space="preserve">  United States</v>
          </cell>
          <cell r="T59">
            <v>189982.3</v>
          </cell>
          <cell r="U59">
            <v>1</v>
          </cell>
          <cell r="V59">
            <v>189333.6</v>
          </cell>
          <cell r="W59">
            <v>1</v>
          </cell>
          <cell r="X59">
            <v>191862.9</v>
          </cell>
          <cell r="Y59">
            <v>1</v>
          </cell>
          <cell r="Z59">
            <v>196164.6</v>
          </cell>
          <cell r="AA59">
            <v>1</v>
          </cell>
          <cell r="AB59">
            <v>200537</v>
          </cell>
          <cell r="AC59">
            <v>1</v>
          </cell>
          <cell r="AD59">
            <v>201217</v>
          </cell>
          <cell r="AE59">
            <v>1</v>
          </cell>
        </row>
        <row r="60">
          <cell r="G60">
            <v>310634073.77999997</v>
          </cell>
          <cell r="H60">
            <v>288</v>
          </cell>
          <cell r="J60">
            <v>1822716919.9000001</v>
          </cell>
          <cell r="K60">
            <v>2479</v>
          </cell>
          <cell r="M60">
            <v>1129759628</v>
          </cell>
          <cell r="N60">
            <v>6169</v>
          </cell>
        </row>
        <row r="61">
          <cell r="G61">
            <v>320834983.16000003</v>
          </cell>
          <cell r="H61">
            <v>299</v>
          </cell>
          <cell r="J61">
            <v>1863138987.4000001</v>
          </cell>
          <cell r="K61">
            <v>2513</v>
          </cell>
          <cell r="M61">
            <v>1167452880</v>
          </cell>
          <cell r="N61">
            <v>6234</v>
          </cell>
          <cell r="R61" t="str">
            <v>Source:  USDA/NASS Annual Milk Production, Disposition, and Income (PDI) and  Milk Production, various years.</v>
          </cell>
        </row>
        <row r="62">
          <cell r="G62">
            <v>323015623.47000003</v>
          </cell>
          <cell r="H62">
            <v>298</v>
          </cell>
          <cell r="J62">
            <v>1934947194.0999999</v>
          </cell>
          <cell r="K62">
            <v>2514</v>
          </cell>
          <cell r="M62">
            <v>1221862862</v>
          </cell>
          <cell r="N62">
            <v>6336</v>
          </cell>
        </row>
        <row r="63">
          <cell r="G63">
            <v>319071472.87</v>
          </cell>
          <cell r="J63">
            <v>2020589620.3999999</v>
          </cell>
          <cell r="M63">
            <v>1302082730</v>
          </cell>
          <cell r="S63" t="str">
            <v>http://www.ers.usda.gov/data-products/dairy-data.aspx</v>
          </cell>
        </row>
        <row r="64">
          <cell r="G64">
            <v>320041493.44999999</v>
          </cell>
          <cell r="J64">
            <v>2083950219.9000001</v>
          </cell>
          <cell r="M64">
            <v>1366273724</v>
          </cell>
        </row>
        <row r="65">
          <cell r="G65">
            <v>321220236.61000001</v>
          </cell>
          <cell r="J65">
            <v>2146630229.3</v>
          </cell>
          <cell r="M65">
            <v>1436489624</v>
          </cell>
        </row>
        <row r="66">
          <cell r="G66">
            <v>317274315.14999998</v>
          </cell>
          <cell r="J66">
            <v>2204367746.5</v>
          </cell>
          <cell r="M66">
            <v>1503739491</v>
          </cell>
        </row>
        <row r="67">
          <cell r="G67">
            <v>317242678.67000002</v>
          </cell>
          <cell r="J67">
            <v>2262579257.1000004</v>
          </cell>
          <cell r="M67">
            <v>1577162726</v>
          </cell>
        </row>
        <row r="68">
          <cell r="G68">
            <v>314343281.5</v>
          </cell>
          <cell r="J68">
            <v>2319287101.8000002</v>
          </cell>
          <cell r="M68">
            <v>1639676320</v>
          </cell>
        </row>
        <row r="69">
          <cell r="G69">
            <v>315500155.42000002</v>
          </cell>
          <cell r="J69">
            <v>2377721823.3000002</v>
          </cell>
          <cell r="M69">
            <v>1705797870</v>
          </cell>
        </row>
        <row r="70">
          <cell r="G70">
            <v>316604185.17000002</v>
          </cell>
          <cell r="J70">
            <v>2439565476.5999999</v>
          </cell>
          <cell r="M70">
            <v>1761876129</v>
          </cell>
        </row>
        <row r="71">
          <cell r="G71">
            <v>314025803.90000004</v>
          </cell>
          <cell r="J71">
            <v>2511493504.3000002</v>
          </cell>
          <cell r="M71">
            <v>1832353919</v>
          </cell>
        </row>
        <row r="72">
          <cell r="G72">
            <v>312165770.96000004</v>
          </cell>
          <cell r="J72">
            <v>2591814073.3999996</v>
          </cell>
          <cell r="M72">
            <v>1885834558</v>
          </cell>
        </row>
        <row r="73">
          <cell r="G73">
            <v>316846772.75</v>
          </cell>
          <cell r="J73">
            <v>2679434278</v>
          </cell>
          <cell r="M73">
            <v>1950702973</v>
          </cell>
        </row>
        <row r="74">
          <cell r="G74">
            <v>317154017.94000006</v>
          </cell>
          <cell r="J74">
            <v>2774540250.3000002</v>
          </cell>
          <cell r="M74">
            <v>2024878252</v>
          </cell>
        </row>
        <row r="75">
          <cell r="G75">
            <v>317132831.70999998</v>
          </cell>
          <cell r="J75">
            <v>2879612349.6999998</v>
          </cell>
          <cell r="M75">
            <v>2106253871</v>
          </cell>
        </row>
        <row r="76">
          <cell r="G76">
            <v>329619379.67999995</v>
          </cell>
          <cell r="J76">
            <v>2984193071.1999998</v>
          </cell>
          <cell r="M76">
            <v>2193325448</v>
          </cell>
        </row>
        <row r="77">
          <cell r="G77">
            <v>331066865.50999999</v>
          </cell>
          <cell r="J77">
            <v>3092428874</v>
          </cell>
          <cell r="M77">
            <v>2273964959</v>
          </cell>
        </row>
        <row r="78">
          <cell r="G78">
            <v>333952763.74000001</v>
          </cell>
          <cell r="J78">
            <v>3202917778.5999999</v>
          </cell>
          <cell r="M78">
            <v>2356511431</v>
          </cell>
        </row>
        <row r="79">
          <cell r="G79">
            <v>338486759.89000005</v>
          </cell>
          <cell r="J79">
            <v>3332498384.6999998</v>
          </cell>
          <cell r="M79">
            <v>2435921000</v>
          </cell>
        </row>
        <row r="80">
          <cell r="G80">
            <v>344005985.83999997</v>
          </cell>
          <cell r="J80">
            <v>3442249037.4000001</v>
          </cell>
          <cell r="M80">
            <v>2531172713</v>
          </cell>
        </row>
        <row r="81">
          <cell r="G81">
            <v>344015536.36000001</v>
          </cell>
          <cell r="J81">
            <v>3565172330.5999999</v>
          </cell>
          <cell r="M81">
            <v>2621004345</v>
          </cell>
        </row>
        <row r="82">
          <cell r="G82">
            <v>352166717.38</v>
          </cell>
          <cell r="J82">
            <v>3708165815.2000003</v>
          </cell>
          <cell r="M82">
            <v>2698900541</v>
          </cell>
        </row>
        <row r="83">
          <cell r="G83">
            <v>360257472.30000007</v>
          </cell>
          <cell r="J83">
            <v>3837626194.8000002</v>
          </cell>
          <cell r="M83">
            <v>2796518159</v>
          </cell>
        </row>
        <row r="84">
          <cell r="G84">
            <v>360167672.44999999</v>
          </cell>
          <cell r="J84">
            <v>3986119730.8000002</v>
          </cell>
          <cell r="M84">
            <v>2869362843</v>
          </cell>
        </row>
        <row r="88">
          <cell r="G88" t="str">
            <v>Sales</v>
          </cell>
          <cell r="H88" t="str">
            <v>Production</v>
          </cell>
          <cell r="J88" t="str">
            <v>Oregon</v>
          </cell>
          <cell r="K88" t="str">
            <v>Sales</v>
          </cell>
          <cell r="L88" t="str">
            <v>Production</v>
          </cell>
          <cell r="N88" t="str">
            <v>Washington</v>
          </cell>
          <cell r="O88" t="str">
            <v>Sales</v>
          </cell>
          <cell r="P88" t="str">
            <v>Production</v>
          </cell>
        </row>
        <row r="89">
          <cell r="G89">
            <v>157.30607861199999</v>
          </cell>
          <cell r="H89">
            <v>295</v>
          </cell>
          <cell r="J89">
            <v>1997</v>
          </cell>
          <cell r="K89">
            <v>1023.1418448300001</v>
          </cell>
          <cell r="L89">
            <v>1610</v>
          </cell>
          <cell r="N89">
            <v>1997</v>
          </cell>
          <cell r="O89">
            <v>1273.4383057999999</v>
          </cell>
          <cell r="P89">
            <v>5305</v>
          </cell>
        </row>
        <row r="90">
          <cell r="G90">
            <v>158.988866479</v>
          </cell>
          <cell r="H90">
            <v>291</v>
          </cell>
          <cell r="J90">
            <v>1998</v>
          </cell>
          <cell r="K90">
            <v>1032.52602886</v>
          </cell>
          <cell r="L90">
            <v>1583</v>
          </cell>
          <cell r="N90">
            <v>1998</v>
          </cell>
          <cell r="O90">
            <v>1241.5095497</v>
          </cell>
          <cell r="P90">
            <v>5326</v>
          </cell>
        </row>
        <row r="91">
          <cell r="G91">
            <v>148.02265932499998</v>
          </cell>
          <cell r="H91">
            <v>303</v>
          </cell>
          <cell r="J91">
            <v>1999</v>
          </cell>
          <cell r="K91">
            <v>962.71582397999998</v>
          </cell>
          <cell r="L91">
            <v>1665</v>
          </cell>
          <cell r="N91">
            <v>1999</v>
          </cell>
          <cell r="O91">
            <v>1106.3392904000002</v>
          </cell>
          <cell r="P91">
            <v>5535</v>
          </cell>
        </row>
        <row r="92">
          <cell r="G92">
            <v>155.19695557400001</v>
          </cell>
          <cell r="H92">
            <v>338</v>
          </cell>
          <cell r="J92">
            <v>2000</v>
          </cell>
          <cell r="K92">
            <v>1076.0322892000002</v>
          </cell>
          <cell r="L92">
            <v>1640</v>
          </cell>
          <cell r="N92">
            <v>2000</v>
          </cell>
          <cell r="O92">
            <v>1131.1751904</v>
          </cell>
          <cell r="P92">
            <v>5593</v>
          </cell>
        </row>
        <row r="93">
          <cell r="G93">
            <v>150.79750691999999</v>
          </cell>
          <cell r="H93">
            <v>346</v>
          </cell>
          <cell r="J93">
            <v>2001</v>
          </cell>
          <cell r="K93">
            <v>1134.5532636399998</v>
          </cell>
          <cell r="L93">
            <v>1717</v>
          </cell>
          <cell r="N93">
            <v>2001</v>
          </cell>
          <cell r="O93">
            <v>972.92047739999998</v>
          </cell>
          <cell r="P93">
            <v>5514</v>
          </cell>
        </row>
        <row r="94">
          <cell r="G94">
            <v>196.68924050000001</v>
          </cell>
          <cell r="H94">
            <v>341</v>
          </cell>
          <cell r="J94">
            <v>2002</v>
          </cell>
          <cell r="K94">
            <v>1277.5685709000002</v>
          </cell>
          <cell r="L94">
            <v>2093</v>
          </cell>
          <cell r="N94">
            <v>2002</v>
          </cell>
          <cell r="O94">
            <v>1033.088739</v>
          </cell>
          <cell r="P94">
            <v>5620</v>
          </cell>
        </row>
        <row r="95">
          <cell r="G95">
            <v>190.67715915799999</v>
          </cell>
          <cell r="H95">
            <v>345</v>
          </cell>
          <cell r="J95">
            <v>2003</v>
          </cell>
          <cell r="K95">
            <v>1325.2822727999999</v>
          </cell>
          <cell r="L95">
            <v>2177</v>
          </cell>
          <cell r="N95">
            <v>2003</v>
          </cell>
          <cell r="O95">
            <v>855.70943899999997</v>
          </cell>
          <cell r="P95">
            <v>5581</v>
          </cell>
        </row>
        <row r="96">
          <cell r="G96">
            <v>182.34140683200002</v>
          </cell>
          <cell r="H96">
            <v>348</v>
          </cell>
          <cell r="J96">
            <v>2004</v>
          </cell>
          <cell r="K96">
            <v>1385.4606170999998</v>
          </cell>
          <cell r="L96">
            <v>2270</v>
          </cell>
          <cell r="N96">
            <v>2004</v>
          </cell>
          <cell r="O96">
            <v>854.66668200000004</v>
          </cell>
          <cell r="P96">
            <v>5416</v>
          </cell>
        </row>
        <row r="97">
          <cell r="G97">
            <v>229.85347461199999</v>
          </cell>
          <cell r="H97">
            <v>372</v>
          </cell>
          <cell r="J97">
            <v>2005</v>
          </cell>
          <cell r="K97">
            <v>1327.8432724000002</v>
          </cell>
          <cell r="L97">
            <v>2284</v>
          </cell>
          <cell r="N97">
            <v>2005</v>
          </cell>
          <cell r="O97">
            <v>802.09294550000004</v>
          </cell>
          <cell r="P97">
            <v>5608</v>
          </cell>
        </row>
        <row r="98">
          <cell r="G98">
            <v>168.29173371100001</v>
          </cell>
          <cell r="H98">
            <v>354</v>
          </cell>
          <cell r="J98">
            <v>2006</v>
          </cell>
          <cell r="K98">
            <v>1262.2795122999999</v>
          </cell>
          <cell r="L98">
            <v>2242</v>
          </cell>
          <cell r="N98">
            <v>2006</v>
          </cell>
          <cell r="O98">
            <v>821.69325489999994</v>
          </cell>
          <cell r="P98">
            <v>5464</v>
          </cell>
        </row>
        <row r="99">
          <cell r="G99">
            <v>185.04429419700003</v>
          </cell>
          <cell r="H99">
            <v>333</v>
          </cell>
          <cell r="I99">
            <v>333</v>
          </cell>
          <cell r="J99">
            <v>2007</v>
          </cell>
          <cell r="K99">
            <v>1527.4552772</v>
          </cell>
          <cell r="L99">
            <v>2233</v>
          </cell>
          <cell r="M99">
            <v>2233</v>
          </cell>
          <cell r="N99">
            <v>2007</v>
          </cell>
          <cell r="O99">
            <v>979.96983</v>
          </cell>
          <cell r="P99">
            <v>5531</v>
          </cell>
        </row>
        <row r="100">
          <cell r="G100">
            <v>230.86838864999999</v>
          </cell>
          <cell r="H100">
            <v>313</v>
          </cell>
          <cell r="I100">
            <v>313</v>
          </cell>
          <cell r="J100">
            <v>2008</v>
          </cell>
          <cell r="K100">
            <v>1481.4284741000001</v>
          </cell>
          <cell r="L100">
            <v>2254</v>
          </cell>
          <cell r="M100">
            <v>2254</v>
          </cell>
          <cell r="N100">
            <v>2008</v>
          </cell>
          <cell r="O100">
            <v>938.82120689999999</v>
          </cell>
          <cell r="P100">
            <v>5696</v>
          </cell>
        </row>
        <row r="101">
          <cell r="G101">
            <v>238.70849485599999</v>
          </cell>
          <cell r="H101">
            <v>299</v>
          </cell>
          <cell r="I101">
            <v>299</v>
          </cell>
          <cell r="J101">
            <v>2009</v>
          </cell>
          <cell r="K101">
            <v>1611.3058854000001</v>
          </cell>
          <cell r="L101">
            <v>2248</v>
          </cell>
          <cell r="M101">
            <v>2248</v>
          </cell>
          <cell r="N101">
            <v>2009</v>
          </cell>
          <cell r="O101">
            <v>1005.2103202000001</v>
          </cell>
          <cell r="P101">
            <v>5561</v>
          </cell>
        </row>
        <row r="102">
          <cell r="G102">
            <v>318.13463006999996</v>
          </cell>
          <cell r="H102">
            <v>284</v>
          </cell>
          <cell r="I102">
            <v>284</v>
          </cell>
          <cell r="J102">
            <v>2010</v>
          </cell>
          <cell r="K102">
            <v>1703.9121759000002</v>
          </cell>
          <cell r="L102">
            <v>2379</v>
          </cell>
          <cell r="M102">
            <v>2379</v>
          </cell>
          <cell r="N102">
            <v>2010</v>
          </cell>
          <cell r="O102">
            <v>1020.2624165</v>
          </cell>
          <cell r="P102">
            <v>5885</v>
          </cell>
        </row>
        <row r="103">
          <cell r="G103">
            <v>310.63407377999999</v>
          </cell>
          <cell r="H103">
            <v>288</v>
          </cell>
          <cell r="I103">
            <v>288</v>
          </cell>
          <cell r="J103">
            <v>2011</v>
          </cell>
          <cell r="K103">
            <v>1822.7169199</v>
          </cell>
          <cell r="L103">
            <v>2479</v>
          </cell>
          <cell r="M103">
            <v>2479</v>
          </cell>
          <cell r="N103">
            <v>2011</v>
          </cell>
          <cell r="O103">
            <v>1129.759628</v>
          </cell>
          <cell r="P103">
            <v>6169</v>
          </cell>
        </row>
        <row r="104">
          <cell r="G104">
            <v>320.83498316000004</v>
          </cell>
          <cell r="H104">
            <v>299</v>
          </cell>
          <cell r="I104">
            <v>299</v>
          </cell>
          <cell r="J104">
            <v>2012</v>
          </cell>
          <cell r="K104">
            <v>1863.1389874000001</v>
          </cell>
          <cell r="L104">
            <v>2513</v>
          </cell>
          <cell r="M104">
            <v>2513</v>
          </cell>
          <cell r="N104">
            <v>2012</v>
          </cell>
          <cell r="O104">
            <v>1167.4528800000001</v>
          </cell>
          <cell r="P104">
            <v>6234</v>
          </cell>
        </row>
        <row r="105">
          <cell r="G105">
            <v>323.01562347000004</v>
          </cell>
          <cell r="H105">
            <v>298</v>
          </cell>
          <cell r="I105">
            <v>298</v>
          </cell>
          <cell r="J105">
            <v>2013</v>
          </cell>
          <cell r="K105">
            <v>1934.9471940999999</v>
          </cell>
          <cell r="L105">
            <v>2514</v>
          </cell>
          <cell r="M105">
            <v>2514</v>
          </cell>
          <cell r="N105">
            <v>2013</v>
          </cell>
          <cell r="O105">
            <v>1221.862862</v>
          </cell>
          <cell r="P105">
            <v>6336</v>
          </cell>
        </row>
        <row r="106">
          <cell r="G106">
            <v>319.07147286999998</v>
          </cell>
          <cell r="H106">
            <v>302.76131756126233</v>
          </cell>
          <cell r="I106">
            <v>299.47815459668072</v>
          </cell>
          <cell r="J106">
            <v>2014</v>
          </cell>
          <cell r="K106">
            <v>2020.5896203999998</v>
          </cell>
          <cell r="L106">
            <v>2659.4969224070219</v>
          </cell>
          <cell r="M106">
            <v>2721.6170570166196</v>
          </cell>
          <cell r="N106">
            <v>2014</v>
          </cell>
          <cell r="O106">
            <v>1302.0827300000001</v>
          </cell>
          <cell r="P106">
            <v>6195.1650315784418</v>
          </cell>
        </row>
        <row r="107">
          <cell r="G107">
            <v>320.04149344999996</v>
          </cell>
          <cell r="H107">
            <v>302.63604149212875</v>
          </cell>
          <cell r="I107">
            <v>299.28188401669991</v>
          </cell>
          <cell r="J107">
            <v>2015</v>
          </cell>
          <cell r="K107">
            <v>2083.9502199000003</v>
          </cell>
          <cell r="L107">
            <v>2702.7077118393454</v>
          </cell>
          <cell r="M107">
            <v>2783.5952297346525</v>
          </cell>
          <cell r="N107">
            <v>2015</v>
          </cell>
          <cell r="O107">
            <v>1366.2737239999999</v>
          </cell>
          <cell r="P107">
            <v>6297.8724834735058</v>
          </cell>
        </row>
        <row r="108">
          <cell r="G108">
            <v>321.22023661000003</v>
          </cell>
          <cell r="H108">
            <v>302.4843194019968</v>
          </cell>
          <cell r="I108">
            <v>299.0433812380665</v>
          </cell>
          <cell r="J108">
            <v>2016</v>
          </cell>
          <cell r="K108">
            <v>2146.6302292999999</v>
          </cell>
          <cell r="L108">
            <v>2744.180551622544</v>
          </cell>
          <cell r="M108">
            <v>2844.9076617384098</v>
          </cell>
          <cell r="N108">
            <v>2016</v>
          </cell>
          <cell r="O108">
            <v>1436.489624</v>
          </cell>
          <cell r="P108">
            <v>6410.2199596867358</v>
          </cell>
        </row>
        <row r="109">
          <cell r="G109">
            <v>317.27431514999995</v>
          </cell>
          <cell r="H109">
            <v>302.9944263448574</v>
          </cell>
          <cell r="I109">
            <v>299.84178521987985</v>
          </cell>
          <cell r="J109">
            <v>2017</v>
          </cell>
          <cell r="K109">
            <v>2204.3677465000001</v>
          </cell>
          <cell r="L109">
            <v>2781.3253166710429</v>
          </cell>
          <cell r="M109">
            <v>2901.3854388044556</v>
          </cell>
          <cell r="N109">
            <v>2017</v>
          </cell>
          <cell r="O109">
            <v>1503.739491</v>
          </cell>
          <cell r="P109">
            <v>6517.8216970870308</v>
          </cell>
        </row>
        <row r="110">
          <cell r="G110">
            <v>317.24267867000003</v>
          </cell>
          <cell r="H110">
            <v>302.99854171936556</v>
          </cell>
          <cell r="I110">
            <v>299.84818643487068</v>
          </cell>
          <cell r="J110">
            <v>2018</v>
          </cell>
          <cell r="K110">
            <v>2262.5792571000002</v>
          </cell>
          <cell r="L110">
            <v>2817.8028576592669</v>
          </cell>
          <cell r="M110">
            <v>2958.3268674938163</v>
          </cell>
          <cell r="N110">
            <v>2018</v>
          </cell>
          <cell r="O110">
            <v>1577.162726</v>
          </cell>
          <cell r="P110">
            <v>6635.301002310789</v>
          </cell>
        </row>
        <row r="111">
          <cell r="G111">
            <v>314.34328149999999</v>
          </cell>
          <cell r="H111">
            <v>303.37745755767685</v>
          </cell>
          <cell r="I111">
            <v>300.4348403429255</v>
          </cell>
          <cell r="J111">
            <v>2019</v>
          </cell>
          <cell r="K111">
            <v>2319.2871018000001</v>
          </cell>
          <cell r="L111">
            <v>2852.4466796581391</v>
          </cell>
          <cell r="M111">
            <v>3013.7974378643494</v>
          </cell>
          <cell r="N111">
            <v>2019</v>
          </cell>
          <cell r="O111">
            <v>1639.67632</v>
          </cell>
          <cell r="P111">
            <v>6735.3245655623969</v>
          </cell>
        </row>
        <row r="112">
          <cell r="G112">
            <v>315.50015542</v>
          </cell>
          <cell r="H112">
            <v>303.22585086442132</v>
          </cell>
          <cell r="I112">
            <v>300.20076251001694</v>
          </cell>
          <cell r="J112">
            <v>2020</v>
          </cell>
          <cell r="K112">
            <v>2377.7218233000003</v>
          </cell>
          <cell r="L112">
            <v>2887.2703785501863</v>
          </cell>
          <cell r="M112">
            <v>3070.9572073494401</v>
          </cell>
          <cell r="N112">
            <v>2020</v>
          </cell>
          <cell r="O112">
            <v>1705.7978700000001</v>
          </cell>
          <cell r="P112">
            <v>6841.1209630422682</v>
          </cell>
        </row>
        <row r="113">
          <cell r="G113">
            <v>316.60418516999999</v>
          </cell>
          <cell r="H113">
            <v>303.08168683583153</v>
          </cell>
          <cell r="I113">
            <v>299.97737698210523</v>
          </cell>
          <cell r="J113">
            <v>2021</v>
          </cell>
          <cell r="K113">
            <v>2439.5654765999998</v>
          </cell>
          <cell r="L113">
            <v>2923.2055190854799</v>
          </cell>
          <cell r="M113">
            <v>3131.4515312035173</v>
          </cell>
          <cell r="N113">
            <v>2021</v>
          </cell>
          <cell r="O113">
            <v>1761.876129</v>
          </cell>
          <cell r="P113">
            <v>6930.8478036735478</v>
          </cell>
        </row>
        <row r="114">
          <cell r="G114">
            <v>314.02580390000003</v>
          </cell>
          <cell r="H114">
            <v>303.41916012380017</v>
          </cell>
          <cell r="I114">
            <v>300.49907765290391</v>
          </cell>
          <cell r="J114">
            <v>2022</v>
          </cell>
          <cell r="K114">
            <v>2511.4935043</v>
          </cell>
          <cell r="L114">
            <v>2963.8717110873577</v>
          </cell>
          <cell r="M114">
            <v>3201.8102045626301</v>
          </cell>
          <cell r="N114">
            <v>2022</v>
          </cell>
          <cell r="O114">
            <v>1832.3539189999999</v>
          </cell>
          <cell r="P114">
            <v>7043.6143114814095</v>
          </cell>
        </row>
        <row r="115">
          <cell r="G115">
            <v>312.16577096000003</v>
          </cell>
          <cell r="H115">
            <v>303.66433680226078</v>
          </cell>
          <cell r="I115">
            <v>300.87543022876076</v>
          </cell>
          <cell r="J115">
            <v>2023</v>
          </cell>
          <cell r="K115">
            <v>2591.8140733999994</v>
          </cell>
          <cell r="L115">
            <v>3007.9285968792492</v>
          </cell>
          <cell r="M115">
            <v>3280.3783075126412</v>
          </cell>
          <cell r="N115">
            <v>2023</v>
          </cell>
          <cell r="O115">
            <v>1885.834558</v>
          </cell>
          <cell r="P115">
            <v>7129.184884783479</v>
          </cell>
        </row>
        <row r="116">
          <cell r="G116">
            <v>316.84677275000001</v>
          </cell>
          <cell r="H116">
            <v>303.05007715937325</v>
          </cell>
          <cell r="I116">
            <v>299.9282926574997</v>
          </cell>
          <cell r="J116">
            <v>2024</v>
          </cell>
          <cell r="K116">
            <v>2679.4342780000002</v>
          </cell>
          <cell r="L116">
            <v>3054.4586648127197</v>
          </cell>
          <cell r="M116">
            <v>3366.0867796095345</v>
          </cell>
          <cell r="N116">
            <v>2024</v>
          </cell>
          <cell r="O116">
            <v>1950.7029729999999</v>
          </cell>
          <cell r="P116">
            <v>7232.9762299232898</v>
          </cell>
        </row>
        <row r="117">
          <cell r="G117">
            <v>317.15401794000007</v>
          </cell>
          <cell r="H117">
            <v>303.01007717776395</v>
          </cell>
          <cell r="I117">
            <v>299.86612573766217</v>
          </cell>
          <cell r="J117">
            <v>2025</v>
          </cell>
          <cell r="K117">
            <v>2774.5402503</v>
          </cell>
          <cell r="L117">
            <v>3103.2723514737127</v>
          </cell>
          <cell r="M117">
            <v>3459.1176919468744</v>
          </cell>
          <cell r="N117">
            <v>2025</v>
          </cell>
          <cell r="O117">
            <v>2024.878252</v>
          </cell>
          <cell r="P117">
            <v>7351.6588273558118</v>
          </cell>
        </row>
        <row r="118">
          <cell r="G118">
            <v>317.13283171</v>
          </cell>
          <cell r="H118">
            <v>303.01283415030065</v>
          </cell>
          <cell r="I118">
            <v>299.87041248552657</v>
          </cell>
          <cell r="J118">
            <v>2026</v>
          </cell>
          <cell r="K118">
            <v>2879.6123496999999</v>
          </cell>
          <cell r="L118">
            <v>3155.2926430989965</v>
          </cell>
          <cell r="M118">
            <v>3561.8972864559109</v>
          </cell>
          <cell r="N118">
            <v>2026</v>
          </cell>
          <cell r="O118">
            <v>2106.2538709999999</v>
          </cell>
          <cell r="P118">
            <v>7481.8621775932852</v>
          </cell>
        </row>
        <row r="119">
          <cell r="G119">
            <v>329.61937967999995</v>
          </cell>
          <cell r="H119">
            <v>301.41907423058802</v>
          </cell>
          <cell r="I119">
            <v>297.34392793194127</v>
          </cell>
          <cell r="J119">
            <v>2027</v>
          </cell>
          <cell r="K119">
            <v>2984.1930711999998</v>
          </cell>
          <cell r="L119">
            <v>3205.2179835947745</v>
          </cell>
          <cell r="M119">
            <v>3664.196224143574</v>
          </cell>
          <cell r="N119">
            <v>2027</v>
          </cell>
          <cell r="O119">
            <v>2193.3254480000001</v>
          </cell>
          <cell r="P119">
            <v>7621.1792258096575</v>
          </cell>
        </row>
        <row r="120">
          <cell r="G120">
            <v>331.06686551000001</v>
          </cell>
          <cell r="H120">
            <v>301.23823851251768</v>
          </cell>
          <cell r="I120">
            <v>297.05104869904079</v>
          </cell>
          <cell r="J120">
            <v>2028</v>
          </cell>
          <cell r="K120">
            <v>3092.4288740000002</v>
          </cell>
          <cell r="L120">
            <v>3255.0785902298294</v>
          </cell>
          <cell r="M120">
            <v>3770.070495112448</v>
          </cell>
          <cell r="N120">
            <v>2028</v>
          </cell>
          <cell r="O120">
            <v>2273.9649589999999</v>
          </cell>
          <cell r="P120">
            <v>7750.2047819005002</v>
          </cell>
        </row>
        <row r="121">
          <cell r="G121">
            <v>333.95276374000002</v>
          </cell>
          <cell r="H121">
            <v>300.88004828067164</v>
          </cell>
          <cell r="I121">
            <v>296.46712611941098</v>
          </cell>
          <cell r="J121">
            <v>2029</v>
          </cell>
          <cell r="K121">
            <v>3202.9177786</v>
          </cell>
          <cell r="L121">
            <v>3304.2085620815005</v>
          </cell>
          <cell r="M121">
            <v>3878.1487088093527</v>
          </cell>
          <cell r="N121">
            <v>2029</v>
          </cell>
          <cell r="O121">
            <v>2356.5114309999999</v>
          </cell>
          <cell r="P121">
            <v>7882.2815308919107</v>
          </cell>
        </row>
        <row r="122">
          <cell r="G122">
            <v>338.48675989000003</v>
          </cell>
          <cell r="H122">
            <v>300.32350497753021</v>
          </cell>
          <cell r="I122">
            <v>295.54973315647896</v>
          </cell>
          <cell r="J122">
            <v>2030</v>
          </cell>
          <cell r="K122">
            <v>3332.4983846999999</v>
          </cell>
          <cell r="L122">
            <v>3359.7128554945239</v>
          </cell>
          <cell r="M122">
            <v>4004.90207366306</v>
          </cell>
          <cell r="N122">
            <v>2030</v>
          </cell>
          <cell r="O122">
            <v>2435.9209999999998</v>
          </cell>
          <cell r="P122">
            <v>8009.3391441152744</v>
          </cell>
        </row>
        <row r="123">
          <cell r="G123">
            <v>344.00598583999999</v>
          </cell>
          <cell r="H123">
            <v>299.65600067965477</v>
          </cell>
          <cell r="I123">
            <v>294.43299223305291</v>
          </cell>
          <cell r="J123">
            <v>2031</v>
          </cell>
          <cell r="K123">
            <v>3442.2490373999999</v>
          </cell>
          <cell r="L123">
            <v>3405.0605171911329</v>
          </cell>
          <cell r="M123">
            <v>4112.258142933797</v>
          </cell>
          <cell r="N123">
            <v>2031</v>
          </cell>
          <cell r="O123">
            <v>2531.1727129999999</v>
          </cell>
          <cell r="P123">
            <v>8161.7446471500134</v>
          </cell>
        </row>
        <row r="124">
          <cell r="G124">
            <v>344.01553636</v>
          </cell>
          <cell r="H124">
            <v>299.65485493072765</v>
          </cell>
          <cell r="I124">
            <v>294.43105981415562</v>
          </cell>
          <cell r="K124">
            <v>3565.1723305999999</v>
          </cell>
          <cell r="L124">
            <v>3454.1652559274162</v>
          </cell>
          <cell r="M124">
            <v>4232.4994467904453</v>
          </cell>
          <cell r="N124">
            <v>2032</v>
          </cell>
          <cell r="O124">
            <v>2621.0043449999998</v>
          </cell>
          <cell r="P124">
            <v>8305.4778634060985</v>
          </cell>
        </row>
        <row r="125">
          <cell r="G125">
            <v>352.16671738000002</v>
          </cell>
          <cell r="H125">
            <v>298.68839934499135</v>
          </cell>
          <cell r="I125">
            <v>292.78177828414539</v>
          </cell>
          <cell r="K125">
            <v>3708.1658152000005</v>
          </cell>
          <cell r="L125">
            <v>3509.2005551615157</v>
          </cell>
          <cell r="M125">
            <v>4372.3730426217498</v>
          </cell>
          <cell r="N125">
            <v>2033</v>
          </cell>
          <cell r="O125">
            <v>2698.900541</v>
          </cell>
          <cell r="P125">
            <v>8430.1140359426772</v>
          </cell>
        </row>
        <row r="126">
          <cell r="G126">
            <v>360.25747230000007</v>
          </cell>
          <cell r="H126">
            <v>297.75098083368539</v>
          </cell>
          <cell r="I126">
            <v>291.14472316039655</v>
          </cell>
          <cell r="K126">
            <v>3837.6261948000001</v>
          </cell>
          <cell r="L126">
            <v>3557.2266817524842</v>
          </cell>
          <cell r="M126">
            <v>4499.0088041250929</v>
          </cell>
          <cell r="N126">
            <v>2034</v>
          </cell>
          <cell r="O126">
            <v>2796.5181590000002</v>
          </cell>
          <cell r="P126">
            <v>8586.3050555870468</v>
          </cell>
        </row>
        <row r="127">
          <cell r="G127">
            <v>360.16767245</v>
          </cell>
          <cell r="H127">
            <v>297.76126931363558</v>
          </cell>
          <cell r="I127">
            <v>291.16289294875475</v>
          </cell>
          <cell r="K127">
            <v>3986.1197308000001</v>
          </cell>
          <cell r="L127">
            <v>3610.3576666465606</v>
          </cell>
          <cell r="M127">
            <v>4644.2624490455355</v>
          </cell>
          <cell r="N127">
            <v>2035</v>
          </cell>
          <cell r="O127">
            <v>2869.3628429999999</v>
          </cell>
          <cell r="P127">
            <v>8702.858662433222</v>
          </cell>
        </row>
        <row r="156">
          <cell r="G156">
            <v>2017</v>
          </cell>
          <cell r="H156">
            <v>2018</v>
          </cell>
          <cell r="I156">
            <v>2019</v>
          </cell>
          <cell r="J156">
            <v>2020</v>
          </cell>
          <cell r="K156">
            <v>2021</v>
          </cell>
          <cell r="L156">
            <v>2022</v>
          </cell>
          <cell r="M156">
            <v>2023</v>
          </cell>
          <cell r="N156">
            <v>2024</v>
          </cell>
          <cell r="O156">
            <v>2025</v>
          </cell>
          <cell r="P156">
            <v>2026</v>
          </cell>
          <cell r="Q156">
            <v>2027</v>
          </cell>
          <cell r="R156">
            <v>2028</v>
          </cell>
          <cell r="S156">
            <v>2029</v>
          </cell>
          <cell r="T156">
            <v>2030</v>
          </cell>
          <cell r="U156">
            <v>2031</v>
          </cell>
          <cell r="V156">
            <v>2032</v>
          </cell>
          <cell r="W156">
            <v>2033</v>
          </cell>
          <cell r="X156">
            <v>2034</v>
          </cell>
          <cell r="Y156">
            <v>2035</v>
          </cell>
        </row>
        <row r="157">
          <cell r="G157">
            <v>13842.907114251881</v>
          </cell>
          <cell r="H157">
            <v>14023.216425344392</v>
          </cell>
          <cell r="I157">
            <v>14266.319353967396</v>
          </cell>
          <cell r="J157">
            <v>14513.683501515552</v>
          </cell>
          <cell r="K157">
            <v>14784.738793280194</v>
          </cell>
          <cell r="L157">
            <v>15048.82150982591</v>
          </cell>
          <cell r="M157">
            <v>15351.081667959821</v>
          </cell>
          <cell r="N157">
            <v>15676.70161423125</v>
          </cell>
          <cell r="O157">
            <v>16022.910400199034</v>
          </cell>
          <cell r="P157">
            <v>16435.334001552066</v>
          </cell>
          <cell r="Q157">
            <v>16796.9270935268</v>
          </cell>
          <cell r="R157">
            <v>17186.008838626629</v>
          </cell>
          <cell r="S157">
            <v>17509.663776252026</v>
          </cell>
          <cell r="T157">
            <v>17849.045518001847</v>
          </cell>
          <cell r="U157">
            <v>18205.116228437721</v>
          </cell>
          <cell r="V157">
            <v>18533.843580326749</v>
          </cell>
          <cell r="W157">
            <v>18839.457555909743</v>
          </cell>
          <cell r="X157">
            <v>19186.22471079613</v>
          </cell>
          <cell r="Y157">
            <v>19422.392838095242</v>
          </cell>
        </row>
        <row r="158">
          <cell r="G158">
            <v>90.898327903457215</v>
          </cell>
          <cell r="H158">
            <v>90.899562515809663</v>
          </cell>
          <cell r="I158">
            <v>91.013237267303055</v>
          </cell>
          <cell r="J158">
            <v>90.967755259326395</v>
          </cell>
          <cell r="K158">
            <v>90.924506050749457</v>
          </cell>
          <cell r="L158">
            <v>91.025748037140048</v>
          </cell>
          <cell r="M158">
            <v>91.099301040678228</v>
          </cell>
          <cell r="N158">
            <v>90.915023147811965</v>
          </cell>
          <cell r="O158">
            <v>90.903023153329187</v>
          </cell>
          <cell r="P158">
            <v>90.903850245090197</v>
          </cell>
          <cell r="Q158">
            <v>90.425722269176404</v>
          </cell>
          <cell r="R158">
            <v>90.371471553755299</v>
          </cell>
          <cell r="S158">
            <v>90.264014484201496</v>
          </cell>
          <cell r="T158">
            <v>90.097051493259059</v>
          </cell>
          <cell r="U158">
            <v>89.896800203896433</v>
          </cell>
          <cell r="V158">
            <v>89.896456479218287</v>
          </cell>
          <cell r="W158">
            <v>89.606519803497406</v>
          </cell>
          <cell r="X158">
            <v>89.325294250105614</v>
          </cell>
          <cell r="Y158">
            <v>89.328380794090677</v>
          </cell>
        </row>
        <row r="159">
          <cell r="G159">
            <v>2781.3253166710429</v>
          </cell>
          <cell r="H159">
            <v>2817.8028576592669</v>
          </cell>
          <cell r="I159">
            <v>2852.4466796581391</v>
          </cell>
          <cell r="J159">
            <v>2887.2703785501863</v>
          </cell>
          <cell r="K159">
            <v>2923.2055190854799</v>
          </cell>
          <cell r="L159">
            <v>2963.8717110873577</v>
          </cell>
          <cell r="M159">
            <v>3007.9285968792492</v>
          </cell>
          <cell r="N159">
            <v>3054.4586648127197</v>
          </cell>
          <cell r="O159">
            <v>3103.2723514737127</v>
          </cell>
          <cell r="P159">
            <v>3155.2926430989965</v>
          </cell>
          <cell r="Q159">
            <v>3205.2179835947745</v>
          </cell>
          <cell r="R159">
            <v>3255.0785902298294</v>
          </cell>
          <cell r="S159">
            <v>3304.2085620815005</v>
          </cell>
          <cell r="T159">
            <v>3359.7128554945239</v>
          </cell>
          <cell r="U159">
            <v>3405.0605171911329</v>
          </cell>
          <cell r="V159">
            <v>3454.1652559274162</v>
          </cell>
          <cell r="W159">
            <v>3509.2005551615157</v>
          </cell>
          <cell r="X159">
            <v>3557.2266817524842</v>
          </cell>
          <cell r="Y159">
            <v>3610.3576666465606</v>
          </cell>
        </row>
        <row r="160">
          <cell r="G160">
            <v>6527.6845985495966</v>
          </cell>
          <cell r="H160">
            <v>6648.0748527559354</v>
          </cell>
          <cell r="I160">
            <v>6750.5768396680051</v>
          </cell>
          <cell r="J160">
            <v>6858.9947023924851</v>
          </cell>
          <cell r="K160">
            <v>6950.9448303929594</v>
          </cell>
          <cell r="L160">
            <v>7066.5055116132971</v>
          </cell>
          <cell r="M160">
            <v>7154.1963866384513</v>
          </cell>
          <cell r="N160">
            <v>7260.5595150379595</v>
          </cell>
          <cell r="O160">
            <v>7382.1828771063319</v>
          </cell>
          <cell r="P160">
            <v>7515.612457778011</v>
          </cell>
          <cell r="Q160">
            <v>7658.3815592644387</v>
          </cell>
          <cell r="R160">
            <v>7790.6041619373518</v>
          </cell>
          <cell r="S160">
            <v>7925.9535611829233</v>
          </cell>
          <cell r="T160">
            <v>8056.1594585167277</v>
          </cell>
          <cell r="U160">
            <v>8212.3413257643278</v>
          </cell>
          <cell r="V160">
            <v>8359.6360208598271</v>
          </cell>
          <cell r="W160">
            <v>8487.3604780857568</v>
          </cell>
          <cell r="X160">
            <v>8647.4216609802097</v>
          </cell>
          <cell r="Y160">
            <v>8766.8632794861296</v>
          </cell>
        </row>
        <row r="161">
          <cell r="G161">
            <v>23242.815357375977</v>
          </cell>
          <cell r="H161">
            <v>23579.993698275401</v>
          </cell>
          <cell r="I161">
            <v>23960.356110560846</v>
          </cell>
          <cell r="J161">
            <v>24350.91633771755</v>
          </cell>
          <cell r="K161">
            <v>24749.813648809384</v>
          </cell>
          <cell r="L161">
            <v>25170.224480563706</v>
          </cell>
          <cell r="M161">
            <v>25604.3059525182</v>
          </cell>
          <cell r="N161">
            <v>26082.63481722974</v>
          </cell>
          <cell r="O161">
            <v>26599.268651932405</v>
          </cell>
          <cell r="P161">
            <v>27197.142952674163</v>
          </cell>
          <cell r="Q161">
            <v>27750.952358655191</v>
          </cell>
          <cell r="R161">
            <v>28322.063062347566</v>
          </cell>
          <cell r="S161">
            <v>28830.089914000651</v>
          </cell>
          <cell r="T161">
            <v>29355.014883506359</v>
          </cell>
          <cell r="U161">
            <v>29912.41487159708</v>
          </cell>
          <cell r="V161">
            <v>30437.54131359321</v>
          </cell>
          <cell r="W161">
            <v>30925.62510896051</v>
          </cell>
          <cell r="X161">
            <v>31480.198347778929</v>
          </cell>
          <cell r="Y161">
            <v>31888.942165022021</v>
          </cell>
          <cell r="AB161">
            <v>0</v>
          </cell>
        </row>
      </sheetData>
      <sheetData sheetId="20">
        <row r="3">
          <cell r="H3">
            <v>2018</v>
          </cell>
        </row>
        <row r="4">
          <cell r="H4">
            <v>14023.216425344392</v>
          </cell>
        </row>
      </sheetData>
      <sheetData sheetId="21">
        <row r="3">
          <cell r="H3">
            <v>2018</v>
          </cell>
        </row>
        <row r="4">
          <cell r="H4">
            <v>14023.216425344392</v>
          </cell>
        </row>
      </sheetData>
      <sheetData sheetId="22">
        <row r="4">
          <cell r="H4">
            <v>2021</v>
          </cell>
        </row>
      </sheetData>
      <sheetData sheetId="23">
        <row r="4">
          <cell r="H4">
            <v>2021</v>
          </cell>
        </row>
      </sheetData>
      <sheetData sheetId="24">
        <row r="4">
          <cell r="H4">
            <v>2021</v>
          </cell>
        </row>
      </sheetData>
      <sheetData sheetId="25">
        <row r="20">
          <cell r="H20">
            <v>22309.51</v>
          </cell>
          <cell r="J20">
            <v>2020</v>
          </cell>
          <cell r="K20">
            <v>30517.62</v>
          </cell>
          <cell r="L20">
            <v>30224.53</v>
          </cell>
          <cell r="M20">
            <v>31240.25</v>
          </cell>
          <cell r="N20">
            <v>30940.36</v>
          </cell>
          <cell r="O20">
            <v>32058.65</v>
          </cell>
          <cell r="P20">
            <v>31753.85</v>
          </cell>
        </row>
        <row r="21">
          <cell r="G21">
            <v>22567.200000000001</v>
          </cell>
          <cell r="H21">
            <v>22551.94</v>
          </cell>
          <cell r="J21">
            <v>2021</v>
          </cell>
          <cell r="K21">
            <v>30579.58</v>
          </cell>
          <cell r="L21">
            <v>30284.62</v>
          </cell>
          <cell r="M21">
            <v>31379.48</v>
          </cell>
          <cell r="N21">
            <v>31076.62</v>
          </cell>
          <cell r="O21">
            <v>32325.31</v>
          </cell>
          <cell r="P21">
            <v>32016.73</v>
          </cell>
        </row>
        <row r="22">
          <cell r="G22">
            <v>22814.09</v>
          </cell>
          <cell r="H22">
            <v>22811.360000000001</v>
          </cell>
          <cell r="J22">
            <v>2022</v>
          </cell>
          <cell r="K22">
            <v>30652.03</v>
          </cell>
          <cell r="L22">
            <v>30355.66</v>
          </cell>
          <cell r="M22">
            <v>31536.59</v>
          </cell>
          <cell r="N22">
            <v>31231.13</v>
          </cell>
          <cell r="O22">
            <v>32611.46</v>
          </cell>
          <cell r="P22">
            <v>32299.52</v>
          </cell>
        </row>
        <row r="23">
          <cell r="G23">
            <v>23071.37</v>
          </cell>
          <cell r="H23">
            <v>23082.07</v>
          </cell>
          <cell r="J23">
            <v>2023</v>
          </cell>
          <cell r="K23">
            <v>30752.01</v>
          </cell>
          <cell r="L23">
            <v>30454.71</v>
          </cell>
          <cell r="M23">
            <v>31707.63</v>
          </cell>
          <cell r="N23">
            <v>31399.98</v>
          </cell>
          <cell r="O23">
            <v>32907.730000000003</v>
          </cell>
          <cell r="P23">
            <v>32592.82</v>
          </cell>
        </row>
        <row r="24">
          <cell r="G24">
            <v>23333.49</v>
          </cell>
          <cell r="H24">
            <v>23358.51</v>
          </cell>
          <cell r="J24">
            <v>2024</v>
          </cell>
          <cell r="K24">
            <v>30868.21</v>
          </cell>
          <cell r="L24">
            <v>30570.46</v>
          </cell>
          <cell r="M24">
            <v>31899.38</v>
          </cell>
          <cell r="N24">
            <v>31589.91</v>
          </cell>
          <cell r="O24">
            <v>33211.82</v>
          </cell>
          <cell r="P24">
            <v>32894.300000000003</v>
          </cell>
        </row>
        <row r="25">
          <cell r="G25">
            <v>23616.99</v>
          </cell>
          <cell r="H25">
            <v>23657.24</v>
          </cell>
          <cell r="J25">
            <v>2025</v>
          </cell>
          <cell r="K25">
            <v>30992.73</v>
          </cell>
          <cell r="L25">
            <v>30694.959999999999</v>
          </cell>
          <cell r="M25">
            <v>32111.85</v>
          </cell>
          <cell r="N25">
            <v>31800.86</v>
          </cell>
          <cell r="O25">
            <v>33537.67</v>
          </cell>
          <cell r="P25">
            <v>33217.839999999997</v>
          </cell>
        </row>
        <row r="26">
          <cell r="G26">
            <v>23909.86</v>
          </cell>
          <cell r="H26">
            <v>23966.37</v>
          </cell>
          <cell r="J26">
            <v>2026</v>
          </cell>
          <cell r="K26">
            <v>31142.31</v>
          </cell>
          <cell r="L26">
            <v>30845</v>
          </cell>
          <cell r="M26">
            <v>32344.22</v>
          </cell>
          <cell r="N26">
            <v>32032.07</v>
          </cell>
          <cell r="O26">
            <v>33886.93</v>
          </cell>
          <cell r="P26">
            <v>33565.1</v>
          </cell>
        </row>
        <row r="27">
          <cell r="G27">
            <v>24213.35</v>
          </cell>
          <cell r="H27">
            <v>24287.21</v>
          </cell>
          <cell r="J27">
            <v>2027</v>
          </cell>
          <cell r="K27">
            <v>31311.07</v>
          </cell>
          <cell r="L27">
            <v>31014.63</v>
          </cell>
          <cell r="M27">
            <v>32602.89</v>
          </cell>
          <cell r="N27">
            <v>32289.9</v>
          </cell>
          <cell r="O27">
            <v>34250.71</v>
          </cell>
          <cell r="P27">
            <v>33927.120000000003</v>
          </cell>
        </row>
        <row r="28">
          <cell r="G28">
            <v>24518.14</v>
          </cell>
          <cell r="H28">
            <v>24610.720000000001</v>
          </cell>
          <cell r="J28">
            <v>2028</v>
          </cell>
          <cell r="K28">
            <v>31474.38</v>
          </cell>
          <cell r="L28">
            <v>31220.240000000002</v>
          </cell>
          <cell r="M28">
            <v>32880.89</v>
          </cell>
          <cell r="N28">
            <v>32638.75</v>
          </cell>
          <cell r="O28">
            <v>34613.980000000003</v>
          </cell>
          <cell r="P28">
            <v>34347.769999999997</v>
          </cell>
        </row>
        <row r="29">
          <cell r="G29">
            <v>24827.279999999999</v>
          </cell>
          <cell r="H29">
            <v>24940.15</v>
          </cell>
          <cell r="J29">
            <v>2029</v>
          </cell>
          <cell r="K29">
            <v>31615.08</v>
          </cell>
          <cell r="L29">
            <v>31630.39</v>
          </cell>
          <cell r="M29">
            <v>33158.54</v>
          </cell>
          <cell r="N29">
            <v>33197.279999999999</v>
          </cell>
          <cell r="O29">
            <v>34983.39</v>
          </cell>
          <cell r="P29">
            <v>35004.050000000003</v>
          </cell>
        </row>
        <row r="30">
          <cell r="G30">
            <v>25156.76</v>
          </cell>
          <cell r="H30">
            <v>25291.09</v>
          </cell>
          <cell r="J30">
            <v>2030</v>
          </cell>
          <cell r="K30">
            <v>31763.1</v>
          </cell>
          <cell r="L30">
            <v>32066.36</v>
          </cell>
          <cell r="M30">
            <v>33454.04</v>
          </cell>
          <cell r="N30">
            <v>33796.879999999997</v>
          </cell>
          <cell r="O30">
            <v>35377.85</v>
          </cell>
          <cell r="P30">
            <v>35713.08</v>
          </cell>
        </row>
        <row r="31">
          <cell r="G31">
            <v>25446.54</v>
          </cell>
          <cell r="H31">
            <v>25603.18</v>
          </cell>
          <cell r="J31">
            <v>2031</v>
          </cell>
          <cell r="K31">
            <v>31871.77</v>
          </cell>
          <cell r="L31">
            <v>32466.51</v>
          </cell>
          <cell r="M31">
            <v>33712.21</v>
          </cell>
          <cell r="N31">
            <v>34363.79</v>
          </cell>
          <cell r="O31">
            <v>35731.08</v>
          </cell>
          <cell r="P31">
            <v>36389.129999999997</v>
          </cell>
        </row>
        <row r="32">
          <cell r="G32">
            <v>25765.17</v>
          </cell>
          <cell r="H32">
            <v>25945.39</v>
          </cell>
          <cell r="J32">
            <v>2032</v>
          </cell>
          <cell r="K32">
            <v>32050.880000000001</v>
          </cell>
          <cell r="L32">
            <v>32948.230000000003</v>
          </cell>
          <cell r="M32">
            <v>34014.519999999997</v>
          </cell>
          <cell r="N32">
            <v>34979.269999999997</v>
          </cell>
          <cell r="O32">
            <v>36125.57</v>
          </cell>
          <cell r="P32">
            <v>37113.089999999997</v>
          </cell>
        </row>
        <row r="33">
          <cell r="G33">
            <v>26094.06</v>
          </cell>
          <cell r="H33">
            <v>26299.41</v>
          </cell>
          <cell r="J33">
            <v>2033</v>
          </cell>
          <cell r="K33">
            <v>32239.52</v>
          </cell>
          <cell r="L33">
            <v>33458.04</v>
          </cell>
          <cell r="M33">
            <v>34316.910000000003</v>
          </cell>
          <cell r="N33">
            <v>35618.07</v>
          </cell>
          <cell r="O33">
            <v>36532.980000000003</v>
          </cell>
          <cell r="P33">
            <v>37875.54</v>
          </cell>
        </row>
        <row r="34">
          <cell r="G34">
            <v>26434.54</v>
          </cell>
          <cell r="H34">
            <v>26666.26</v>
          </cell>
          <cell r="J34">
            <v>2034</v>
          </cell>
          <cell r="K34">
            <v>32439.73</v>
          </cell>
          <cell r="L34">
            <v>33984.230000000003</v>
          </cell>
          <cell r="M34">
            <v>34625.449999999997</v>
          </cell>
          <cell r="N34">
            <v>36272.54</v>
          </cell>
          <cell r="O34">
            <v>36961.5</v>
          </cell>
          <cell r="P34">
            <v>38668.550000000003</v>
          </cell>
        </row>
        <row r="35">
          <cell r="G35">
            <v>26786.02</v>
          </cell>
          <cell r="H35">
            <v>27045.69</v>
          </cell>
          <cell r="J35">
            <v>2035</v>
          </cell>
          <cell r="K35">
            <v>32648.63</v>
          </cell>
          <cell r="L35">
            <v>34541.82</v>
          </cell>
          <cell r="M35">
            <v>34939.879999999997</v>
          </cell>
          <cell r="N35">
            <v>36961.300000000003</v>
          </cell>
          <cell r="O35">
            <v>37400.99</v>
          </cell>
          <cell r="P35">
            <v>39507.519999999997</v>
          </cell>
        </row>
      </sheetData>
      <sheetData sheetId="26"/>
      <sheetData sheetId="27"/>
      <sheetData sheetId="28">
        <row r="25">
          <cell r="G25">
            <v>2017</v>
          </cell>
          <cell r="H25">
            <v>2018</v>
          </cell>
          <cell r="I25">
            <v>2019</v>
          </cell>
          <cell r="J25">
            <v>2020</v>
          </cell>
          <cell r="K25">
            <v>2021</v>
          </cell>
          <cell r="L25">
            <v>2022</v>
          </cell>
          <cell r="M25">
            <v>2023</v>
          </cell>
          <cell r="N25">
            <v>2024</v>
          </cell>
          <cell r="O25">
            <v>2025</v>
          </cell>
          <cell r="P25">
            <v>2026</v>
          </cell>
          <cell r="Q25">
            <v>2027</v>
          </cell>
          <cell r="R25">
            <v>2028</v>
          </cell>
          <cell r="S25">
            <v>2029</v>
          </cell>
          <cell r="T25">
            <v>2030</v>
          </cell>
          <cell r="U25">
            <v>2031</v>
          </cell>
          <cell r="V25">
            <v>2032</v>
          </cell>
          <cell r="W25">
            <v>2033</v>
          </cell>
          <cell r="X25">
            <v>2034</v>
          </cell>
          <cell r="Y25">
            <v>2035</v>
          </cell>
        </row>
        <row r="26">
          <cell r="G26">
            <v>1812.1175799086759</v>
          </cell>
          <cell r="H26">
            <v>1848.224885844749</v>
          </cell>
          <cell r="I26">
            <v>1882.8139269406395</v>
          </cell>
          <cell r="J26">
            <v>1912.091324200913</v>
          </cell>
          <cell r="K26">
            <v>1938.2899543378994</v>
          </cell>
          <cell r="L26">
            <v>1965.4657534246576</v>
          </cell>
          <cell r="M26">
            <v>1991.3242009132421</v>
          </cell>
          <cell r="N26">
            <v>2018.0901826484021</v>
          </cell>
          <cell r="O26">
            <v>2046.033105022831</v>
          </cell>
          <cell r="P26">
            <v>2075.6232876712329</v>
          </cell>
          <cell r="Q26">
            <v>2108.1952054794524</v>
          </cell>
          <cell r="R26">
            <v>2143.4212328767121</v>
          </cell>
          <cell r="S26">
            <v>2176.6529680365297</v>
          </cell>
          <cell r="T26">
            <v>2211.5605022831051</v>
          </cell>
          <cell r="U26">
            <v>2244.461187214612</v>
          </cell>
          <cell r="V26">
            <v>2276.7397260273974</v>
          </cell>
          <cell r="W26">
            <v>2307.0559360730595</v>
          </cell>
          <cell r="X26">
            <v>2336.4189497716893</v>
          </cell>
          <cell r="Y26">
            <v>2365.7865296803657</v>
          </cell>
        </row>
        <row r="27">
          <cell r="G27">
            <v>1773.5022831050228</v>
          </cell>
          <cell r="H27">
            <v>1805.9029680365297</v>
          </cell>
          <cell r="I27">
            <v>1838.228310502283</v>
          </cell>
          <cell r="J27">
            <v>1866.4269406392693</v>
          </cell>
          <cell r="K27">
            <v>1889.961187214612</v>
          </cell>
          <cell r="L27">
            <v>1913.5993150684933</v>
          </cell>
          <cell r="M27">
            <v>1938.0319634703196</v>
          </cell>
          <cell r="N27">
            <v>1964.1392694063927</v>
          </cell>
          <cell r="O27">
            <v>1989.708904109589</v>
          </cell>
          <cell r="P27">
            <v>2015.8835616438355</v>
          </cell>
          <cell r="Q27">
            <v>2043.0970319634703</v>
          </cell>
          <cell r="R27">
            <v>2068.2260273972602</v>
          </cell>
          <cell r="S27">
            <v>2091.9132420091323</v>
          </cell>
          <cell r="T27">
            <v>2115.6894977168949</v>
          </cell>
          <cell r="U27">
            <v>2136.6301369863017</v>
          </cell>
          <cell r="V27">
            <v>2164.0182648401828</v>
          </cell>
          <cell r="W27">
            <v>2190.1484018264841</v>
          </cell>
          <cell r="X27">
            <v>2214.1107305936075</v>
          </cell>
          <cell r="Y27">
            <v>2238.9691780821918</v>
          </cell>
        </row>
        <row r="28">
          <cell r="G28">
            <v>1855.7283105022832</v>
          </cell>
          <cell r="H28">
            <v>1895.9817351598174</v>
          </cell>
          <cell r="I28">
            <v>1937.0627853881276</v>
          </cell>
          <cell r="J28">
            <v>1974.1712328767126</v>
          </cell>
          <cell r="K28">
            <v>2009.4657534246574</v>
          </cell>
          <cell r="L28">
            <v>2046.0616438356165</v>
          </cell>
          <cell r="M28">
            <v>2080.9794520547948</v>
          </cell>
          <cell r="N28">
            <v>2114.1872146118722</v>
          </cell>
          <cell r="O28">
            <v>2146.6244292237443</v>
          </cell>
          <cell r="P28">
            <v>2179.1723744292235</v>
          </cell>
          <cell r="Q28">
            <v>2213.3972602739727</v>
          </cell>
          <cell r="R28">
            <v>2250.9634703196348</v>
          </cell>
          <cell r="S28">
            <v>2286.4589041095892</v>
          </cell>
          <cell r="T28">
            <v>2323.2762557077626</v>
          </cell>
          <cell r="U28">
            <v>2358.0947488584475</v>
          </cell>
          <cell r="V28">
            <v>2393.0821917808221</v>
          </cell>
          <cell r="W28">
            <v>2426.994292237443</v>
          </cell>
          <cell r="X28">
            <v>2458.2031963470322</v>
          </cell>
          <cell r="Y28">
            <v>2489.7511415525114</v>
          </cell>
        </row>
        <row r="31">
          <cell r="G31">
            <v>1.0229263769326289</v>
          </cell>
          <cell r="H31">
            <v>1.0199254763247165</v>
          </cell>
          <cell r="I31">
            <v>1.0187147361561908</v>
          </cell>
          <cell r="J31">
            <v>1.015549809166669</v>
          </cell>
          <cell r="K31">
            <v>1.0137015579775903</v>
          </cell>
          <cell r="L31">
            <v>1.0140205024671043</v>
          </cell>
          <cell r="M31">
            <v>1.0131563968710868</v>
          </cell>
          <cell r="N31">
            <v>1.0134412978674616</v>
          </cell>
          <cell r="O31">
            <v>1.0138462208550851</v>
          </cell>
          <cell r="P31">
            <v>1.0144622208583822</v>
          </cell>
          <cell r="Q31">
            <v>1.0156925960513596</v>
          </cell>
          <cell r="R31">
            <v>1.0167090918837607</v>
          </cell>
          <cell r="S31">
            <v>1.0155040617542157</v>
          </cell>
          <cell r="T31">
            <v>1.0160372529563424</v>
          </cell>
          <cell r="U31">
            <v>1.01487668318255</v>
          </cell>
          <cell r="V31">
            <v>1.0143814199134551</v>
          </cell>
          <cell r="W31">
            <v>1.0133156239595993</v>
          </cell>
          <cell r="X31">
            <v>1.0127274823464445</v>
          </cell>
          <cell r="Y31">
            <v>1.0125694837013481</v>
          </cell>
        </row>
        <row r="32">
          <cell r="G32">
            <v>1.0216470371612512</v>
          </cell>
          <cell r="H32">
            <v>1.0182693223686075</v>
          </cell>
          <cell r="I32">
            <v>1.0178998224366944</v>
          </cell>
          <cell r="J32">
            <v>1.0153401130729409</v>
          </cell>
          <cell r="K32">
            <v>1.0126092514327305</v>
          </cell>
          <cell r="L32">
            <v>1.0125072028006663</v>
          </cell>
          <cell r="M32">
            <v>1.012767901937168</v>
          </cell>
          <cell r="N32">
            <v>1.0134710399148033</v>
          </cell>
          <cell r="O32">
            <v>1.0130182391348064</v>
          </cell>
          <cell r="P32">
            <v>1.0131550185457705</v>
          </cell>
          <cell r="Q32">
            <v>1.0134995248919256</v>
          </cell>
          <cell r="R32">
            <v>1.0122994625515365</v>
          </cell>
          <cell r="S32">
            <v>1.0114529138972692</v>
          </cell>
          <cell r="T32">
            <v>1.0113657943504997</v>
          </cell>
          <cell r="U32">
            <v>1.0098977847609512</v>
          </cell>
          <cell r="V32">
            <v>1.0128183757121914</v>
          </cell>
          <cell r="W32">
            <v>1.0120748227548952</v>
          </cell>
          <cell r="X32">
            <v>1.0109409612367546</v>
          </cell>
          <cell r="Y32">
            <v>1.0112272828748361</v>
          </cell>
        </row>
        <row r="33">
          <cell r="G33">
            <v>1.0255514422919205</v>
          </cell>
          <cell r="H33">
            <v>1.0216914428851058</v>
          </cell>
          <cell r="I33">
            <v>1.02166742931458</v>
          </cell>
          <cell r="J33">
            <v>1.019157070059115</v>
          </cell>
          <cell r="K33">
            <v>1.0178781455023607</v>
          </cell>
          <cell r="L33">
            <v>1.018211751232182</v>
          </cell>
          <cell r="M33">
            <v>1.0170658632521552</v>
          </cell>
          <cell r="N33">
            <v>1.0159577561058026</v>
          </cell>
          <cell r="O33">
            <v>1.0153426406080253</v>
          </cell>
          <cell r="P33">
            <v>1.0151623846083075</v>
          </cell>
          <cell r="Q33">
            <v>1.0157054514118984</v>
          </cell>
          <cell r="R33">
            <v>1.0169721950595585</v>
          </cell>
          <cell r="S33">
            <v>1.015768995924627</v>
          </cell>
          <cell r="T33">
            <v>1.016102345654234</v>
          </cell>
          <cell r="U33">
            <v>1.0149868071285728</v>
          </cell>
          <cell r="V33">
            <v>1.0148371658684674</v>
          </cell>
          <cell r="W33">
            <v>1.0141708883101024</v>
          </cell>
          <cell r="X33">
            <v>1.0128590760223082</v>
          </cell>
          <cell r="Y33">
            <v>1.0128337418372739</v>
          </cell>
        </row>
        <row r="35">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row>
        <row r="36">
          <cell r="G36">
            <v>0.97869051256287731</v>
          </cell>
          <cell r="H36">
            <v>0.97710131589918747</v>
          </cell>
          <cell r="I36">
            <v>0.97631969054382173</v>
          </cell>
          <cell r="J36">
            <v>0.97611809489239354</v>
          </cell>
          <cell r="K36">
            <v>0.9750662861275593</v>
          </cell>
          <cell r="L36">
            <v>0.97361112079119594</v>
          </cell>
          <cell r="M36">
            <v>0.97323778949782158</v>
          </cell>
          <cell r="N36">
            <v>0.97326635166957309</v>
          </cell>
          <cell r="O36">
            <v>0.97247151046824654</v>
          </cell>
          <cell r="P36">
            <v>0.97121841598991543</v>
          </cell>
          <cell r="Q36">
            <v>0.96912137294175404</v>
          </cell>
          <cell r="R36">
            <v>0.96491813912912883</v>
          </cell>
          <cell r="S36">
            <v>0.96106879356894559</v>
          </cell>
          <cell r="T36">
            <v>0.95665006475416903</v>
          </cell>
          <cell r="U36">
            <v>0.95195682115486746</v>
          </cell>
          <cell r="V36">
            <v>0.95048996602527847</v>
          </cell>
          <cell r="W36">
            <v>0.94932609460455097</v>
          </cell>
          <cell r="X36">
            <v>0.94765141791456808</v>
          </cell>
          <cell r="Y36">
            <v>0.94639526854719735</v>
          </cell>
        </row>
        <row r="37">
          <cell r="G37">
            <v>1.0240661704721197</v>
          </cell>
          <cell r="H37">
            <v>1.0258393065047604</v>
          </cell>
          <cell r="I37">
            <v>1.0288126498700998</v>
          </cell>
          <cell r="J37">
            <v>1.0324670207380098</v>
          </cell>
          <cell r="K37">
            <v>1.0367209245074331</v>
          </cell>
          <cell r="L37">
            <v>1.0410060008781772</v>
          </cell>
          <cell r="M37">
            <v>1.045022930520523</v>
          </cell>
          <cell r="N37">
            <v>1.0476178085546994</v>
          </cell>
          <cell r="O37">
            <v>1.0491640745958462</v>
          </cell>
          <cell r="P37">
            <v>1.04988818894693</v>
          </cell>
          <cell r="Q37">
            <v>1.0499014771123127</v>
          </cell>
          <cell r="R37">
            <v>1.0501731697873447</v>
          </cell>
          <cell r="S37">
            <v>1.0504471487579901</v>
          </cell>
          <cell r="T37">
            <v>1.0505144459350435</v>
          </cell>
          <cell r="U37">
            <v>1.0506284369233647</v>
          </cell>
          <cell r="V37">
            <v>1.0511004681050771</v>
          </cell>
          <cell r="W37">
            <v>1.0519876238321884</v>
          </cell>
          <cell r="X37">
            <v>1.0521243189656733</v>
          </cell>
          <cell r="Y37">
            <v>1.0523989000346934</v>
          </cell>
        </row>
        <row r="40">
          <cell r="G40">
            <v>404.69885906229592</v>
          </cell>
          <cell r="H40">
            <v>421.46039895133885</v>
          </cell>
          <cell r="I40">
            <v>419.64642143844253</v>
          </cell>
          <cell r="J40">
            <v>423.66562864853898</v>
          </cell>
          <cell r="K40">
            <v>432.76092390952061</v>
          </cell>
          <cell r="L40">
            <v>446.31531189522576</v>
          </cell>
          <cell r="M40">
            <v>450.98222620533323</v>
          </cell>
          <cell r="N40">
            <v>459.05126073815245</v>
          </cell>
          <cell r="O40">
            <v>470.19601765719887</v>
          </cell>
          <cell r="P40">
            <v>484.16208251533135</v>
          </cell>
          <cell r="Q40">
            <v>494.21069266812788</v>
          </cell>
          <cell r="R40">
            <v>506.64189476780371</v>
          </cell>
          <cell r="S40">
            <v>521.35392484293436</v>
          </cell>
          <cell r="T40">
            <v>538.28523642117</v>
          </cell>
          <cell r="U40">
            <v>554.01935267425768</v>
          </cell>
          <cell r="V40">
            <v>571.88182312772415</v>
          </cell>
          <cell r="W40">
            <v>591.90212163156946</v>
          </cell>
          <cell r="X40">
            <v>614.13634434495953</v>
          </cell>
          <cell r="Y40">
            <v>636.87438282107769</v>
          </cell>
        </row>
        <row r="41">
          <cell r="G41">
            <v>396.07493380929003</v>
          </cell>
          <cell r="H41">
            <v>411.8095104147497</v>
          </cell>
          <cell r="I41">
            <v>409.70906431660239</v>
          </cell>
          <cell r="J41">
            <v>413.54768630780012</v>
          </cell>
          <cell r="K41">
            <v>421.97058685758753</v>
          </cell>
          <cell r="L41">
            <v>434.53755104058291</v>
          </cell>
          <cell r="M41">
            <v>438.91294493488505</v>
          </cell>
          <cell r="N41">
            <v>446.77914576793955</v>
          </cell>
          <cell r="O41">
            <v>457.25223150725049</v>
          </cell>
          <cell r="P41">
            <v>470.22713086291884</v>
          </cell>
          <cell r="Q41">
            <v>478.95014500103133</v>
          </cell>
          <cell r="R41">
            <v>488.86795430420506</v>
          </cell>
          <cell r="S41">
            <v>501.05698757123366</v>
          </cell>
          <cell r="T41">
            <v>514.95060627852547</v>
          </cell>
          <cell r="U41">
            <v>527.40250183006378</v>
          </cell>
          <cell r="V41">
            <v>543.56793463514487</v>
          </cell>
          <cell r="W41">
            <v>561.90812951664577</v>
          </cell>
          <cell r="X41">
            <v>581.98717751137031</v>
          </cell>
          <cell r="Y41">
            <v>602.73490256078435</v>
          </cell>
        </row>
        <row r="42">
          <cell r="G42">
            <v>414.43841079436146</v>
          </cell>
          <cell r="H42">
            <v>432.35064337946108</v>
          </cell>
          <cell r="I42">
            <v>431.73754684858869</v>
          </cell>
          <cell r="J42">
            <v>437.42078939985305</v>
          </cell>
          <cell r="K42">
            <v>448.65230512616915</v>
          </cell>
          <cell r="L42">
            <v>464.61691796674529</v>
          </cell>
          <cell r="M42">
            <v>471.28676764176674</v>
          </cell>
          <cell r="N42">
            <v>480.91027578877521</v>
          </cell>
          <cell r="O42">
            <v>493.31276974396718</v>
          </cell>
          <cell r="P42">
            <v>508.31605196879531</v>
          </cell>
          <cell r="Q42">
            <v>518.87253623696665</v>
          </cell>
          <cell r="R42">
            <v>532.0617245753707</v>
          </cell>
          <cell r="S42">
            <v>547.65474384504785</v>
          </cell>
          <cell r="T42">
            <v>565.47641689399927</v>
          </cell>
          <cell r="U42">
            <v>582.06848652544966</v>
          </cell>
          <cell r="V42">
            <v>601.10525199033577</v>
          </cell>
          <cell r="W42">
            <v>622.67370647642565</v>
          </cell>
          <cell r="X42">
            <v>646.14778304600873</v>
          </cell>
          <cell r="Y42">
            <v>670.24589994117639</v>
          </cell>
        </row>
        <row r="44">
          <cell r="G44">
            <v>404.69885906229592</v>
          </cell>
          <cell r="H44">
            <v>421.46039895133885</v>
          </cell>
          <cell r="I44">
            <v>419.64642143844253</v>
          </cell>
          <cell r="J44">
            <v>423.66562864853898</v>
          </cell>
          <cell r="K44">
            <v>432.76092390952061</v>
          </cell>
          <cell r="L44">
            <v>446.31531189522576</v>
          </cell>
          <cell r="M44">
            <v>450.98222620533323</v>
          </cell>
          <cell r="N44">
            <v>459.05126073815245</v>
          </cell>
          <cell r="O44">
            <v>470.19601765719887</v>
          </cell>
          <cell r="P44">
            <v>484.16208251533135</v>
          </cell>
          <cell r="Q44">
            <v>494.21069266812788</v>
          </cell>
          <cell r="R44">
            <v>506.64189476780371</v>
          </cell>
          <cell r="S44">
            <v>521.35392484293436</v>
          </cell>
          <cell r="T44">
            <v>538.28523642117</v>
          </cell>
          <cell r="U44">
            <v>554.01935267425768</v>
          </cell>
          <cell r="V44">
            <v>571.88182312772415</v>
          </cell>
          <cell r="W44">
            <v>591.90212163156946</v>
          </cell>
          <cell r="X44">
            <v>614.13634434495953</v>
          </cell>
          <cell r="Y44">
            <v>636.87438282107769</v>
          </cell>
        </row>
      </sheetData>
      <sheetData sheetId="29"/>
      <sheetData sheetId="3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LOG"/>
      <sheetName val="SC-New"/>
      <sheetName val="SC-NR"/>
      <sheetName val="SC-Retro"/>
      <sheetName val="Levelized Cost Summary_No O&amp;M"/>
      <sheetName val="Levelized Cost Summary_with O&amp;M"/>
      <sheetName val="Model Input Summary"/>
      <sheetName val="M_Input(Fixture wo OM)_Out"/>
      <sheetName val="M_Input(Fixture wo OM)"/>
      <sheetName val="M_Input(Fixture)_Out"/>
      <sheetName val="M_Input(Fixture)"/>
      <sheetName val="M_Input(per KSF)_Out"/>
      <sheetName val="M_Input(per KSF)"/>
      <sheetName val="Fixt vs KSF Levelized Cost Chk"/>
      <sheetName val="WeightedAvgBuilding Check"/>
      <sheetName val="Proxy Measures"/>
      <sheetName val="Lists&amp;Tables"/>
      <sheetName val="DOE2014 Sales Pen"/>
      <sheetName val="Master Generic Spec Lookup Tbl"/>
      <sheetName val="DOE Conventional Tech Specs"/>
      <sheetName val="LED Lumen Maintenance"/>
      <sheetName val="Recessed Cans"/>
      <sheetName val="LED Display Track Fixtures"/>
      <sheetName val="TLEDs"/>
      <sheetName val="LED GS A-Lamps"/>
      <sheetName val="LED High Bay"/>
      <sheetName val="Ceramic Metal Halide - Display"/>
      <sheetName val="HP T8 Fixture or Kit"/>
      <sheetName val="LED Fixture or Kit"/>
      <sheetName val="LED PARs"/>
      <sheetName val="T5 HO Fixtures"/>
      <sheetName val="Energy Star Lamps"/>
      <sheetName val="EnergyStar-LED Disp Track Lam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8">
          <cell r="B28" t="str">
            <v>Metal Halide</v>
          </cell>
          <cell r="C28">
            <v>349.5</v>
          </cell>
          <cell r="D28">
            <v>72.8</v>
          </cell>
          <cell r="E28">
            <v>1</v>
          </cell>
          <cell r="F28">
            <v>29101.477345657764</v>
          </cell>
          <cell r="G28">
            <v>1</v>
          </cell>
          <cell r="H28">
            <v>0.87430612878477942</v>
          </cell>
          <cell r="J28">
            <v>18</v>
          </cell>
          <cell r="K28">
            <v>75</v>
          </cell>
          <cell r="L28">
            <v>100</v>
          </cell>
        </row>
        <row r="29">
          <cell r="B29" t="str">
            <v>High Pressure Sodium</v>
          </cell>
          <cell r="C29">
            <v>356.3</v>
          </cell>
          <cell r="D29">
            <v>107.5</v>
          </cell>
          <cell r="E29">
            <v>1</v>
          </cell>
          <cell r="F29">
            <v>45361.812354863032</v>
          </cell>
          <cell r="G29">
            <v>1</v>
          </cell>
          <cell r="H29">
            <v>0.8443721273824677</v>
          </cell>
          <cell r="J29">
            <v>28</v>
          </cell>
          <cell r="K29">
            <v>75</v>
          </cell>
          <cell r="L29">
            <v>100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8" Type="http://schemas.openxmlformats.org/officeDocument/2006/relationships/hyperlink" Target="http://www.prolighting.com/van5s150w.html" TargetMode="External"/><Relationship Id="rId13" Type="http://schemas.openxmlformats.org/officeDocument/2006/relationships/comments" Target="../comments6.xml"/><Relationship Id="rId3" Type="http://schemas.openxmlformats.org/officeDocument/2006/relationships/hyperlink" Target="https://www.platt.com/platt-electric-supply/HID-High-Pressure-Sodium-Lamps-Non-Cycling/Philips-Lighting/C150S55-ALTO-NC-HPS/product.aspx?zpid=596628" TargetMode="External"/><Relationship Id="rId7" Type="http://schemas.openxmlformats.org/officeDocument/2006/relationships/hyperlink" Target="http://www.warehouse-lighting.com/canopy-lighting/150-watt-high-pressure-sodium-white-finish-12-inch-x-12-inch-120-volt.aspx" TargetMode="External"/><Relationship Id="rId12" Type="http://schemas.openxmlformats.org/officeDocument/2006/relationships/vmlDrawing" Target="../drawings/vmlDrawing6.vml"/><Relationship Id="rId2" Type="http://schemas.openxmlformats.org/officeDocument/2006/relationships/hyperlink" Target="https://www.platt.com/platt-electric-supply/HID-High-Pressure-Sodium-Lamps-Standard/Philips-Lighting/C150S55-ALTO/product.aspx?zpid=441190" TargetMode="External"/><Relationship Id="rId1" Type="http://schemas.openxmlformats.org/officeDocument/2006/relationships/hyperlink" Target="http://www.cree.com/Lighting/Products/Outdoor/Parking-Structure/304-Series-Parking-Structure" TargetMode="External"/><Relationship Id="rId6" Type="http://schemas.openxmlformats.org/officeDocument/2006/relationships/hyperlink" Target="https://www.1000bulbs.com/product/766/HLF-175HSJ175MH.html" TargetMode="External"/><Relationship Id="rId11" Type="http://schemas.openxmlformats.org/officeDocument/2006/relationships/hyperlink" Target="http://www.globalindustrial.com/p/outdoor-grounds-maintenance/lighting-outdoor/flood-lighting/canopy-12l-x-12w-60hz-150w-psmh-m102e-120208240277v-medium-poly" TargetMode="External"/><Relationship Id="rId5" Type="http://schemas.openxmlformats.org/officeDocument/2006/relationships/hyperlink" Target="https://www.platt.com/platt-electric-supply/HID-Metal-Halide-Traditional/Philips-Lighting/MH175-C-U/product.aspx?zpid=49350" TargetMode="External"/><Relationship Id="rId10" Type="http://schemas.openxmlformats.org/officeDocument/2006/relationships/hyperlink" Target="http://www.globalindustrial.com/p/outdoor-grounds-maintenance/lighting-outdoor/flood-lighting/canopy-12l-x-12w-60hz-150w-hps-s55-120v-medium-poly-" TargetMode="External"/><Relationship Id="rId4" Type="http://schemas.openxmlformats.org/officeDocument/2006/relationships/hyperlink" Target="https://www.platt.com/platt-electric-supply/HID-Metal-Halide-Traditional/Philips-Lighting/MH175-U-M/product.aspx?zpid=152881" TargetMode="External"/><Relationship Id="rId9" Type="http://schemas.openxmlformats.org/officeDocument/2006/relationships/hyperlink" Target="http://www.e-conolight.com/outdoor-lighting/canopy/e-cc2p15qw.html"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dimension ref="A1:BD3"/>
  <sheetViews>
    <sheetView workbookViewId="0">
      <selection activeCell="C31" sqref="C31"/>
    </sheetView>
  </sheetViews>
  <sheetFormatPr defaultRowHeight="15"/>
  <cols>
    <col min="1" max="1" width="12.7109375" customWidth="1"/>
    <col min="2" max="2" width="9.140625" customWidth="1"/>
    <col min="3" max="3" width="34" customWidth="1"/>
    <col min="4" max="5" width="14.7109375" customWidth="1"/>
    <col min="10" max="10" width="13.7109375" customWidth="1"/>
  </cols>
  <sheetData>
    <row r="1" spans="1:56" ht="15.75" thickBot="1">
      <c r="A1" s="252" t="s">
        <v>655</v>
      </c>
      <c r="B1" s="252" t="s">
        <v>656</v>
      </c>
      <c r="C1" s="252" t="s">
        <v>657</v>
      </c>
      <c r="D1" s="252" t="s">
        <v>658</v>
      </c>
      <c r="E1" s="252" t="s">
        <v>659</v>
      </c>
      <c r="F1" s="252" t="s">
        <v>660</v>
      </c>
      <c r="G1" s="252" t="s">
        <v>661</v>
      </c>
      <c r="H1" s="252" t="s">
        <v>662</v>
      </c>
      <c r="I1" s="252" t="s">
        <v>545</v>
      </c>
      <c r="J1" s="252" t="s">
        <v>546</v>
      </c>
      <c r="K1" s="265">
        <v>2016</v>
      </c>
      <c r="L1" s="306">
        <v>2017</v>
      </c>
      <c r="M1" s="306">
        <v>2018</v>
      </c>
      <c r="N1" s="306">
        <v>2019</v>
      </c>
      <c r="O1" s="306">
        <v>2020</v>
      </c>
      <c r="P1" s="306">
        <v>2021</v>
      </c>
      <c r="Q1" s="306">
        <v>2022</v>
      </c>
      <c r="R1" s="306">
        <v>2023</v>
      </c>
      <c r="S1" s="306">
        <v>2024</v>
      </c>
      <c r="T1" s="306">
        <v>2025</v>
      </c>
      <c r="U1" s="306">
        <v>2026</v>
      </c>
      <c r="V1" s="306">
        <v>2027</v>
      </c>
      <c r="W1" s="306">
        <v>2028</v>
      </c>
      <c r="X1" s="306">
        <v>2029</v>
      </c>
      <c r="Y1" s="306">
        <v>2030</v>
      </c>
      <c r="Z1" s="306">
        <v>2031</v>
      </c>
      <c r="AA1" s="306">
        <v>2032</v>
      </c>
      <c r="AB1" s="306">
        <v>2033</v>
      </c>
      <c r="AC1" s="306">
        <v>2034</v>
      </c>
      <c r="AD1" s="306">
        <v>2035</v>
      </c>
      <c r="AE1" s="307" t="s">
        <v>663</v>
      </c>
      <c r="AF1" s="107" t="s">
        <v>176</v>
      </c>
      <c r="AG1" s="108"/>
      <c r="AH1" s="108"/>
      <c r="AI1" s="108"/>
      <c r="AJ1" s="108"/>
      <c r="AK1" s="108"/>
      <c r="AL1" s="108"/>
      <c r="AM1" s="108"/>
      <c r="AN1" s="108"/>
      <c r="AO1" s="108"/>
      <c r="AP1" s="108"/>
      <c r="AQ1" s="109"/>
      <c r="AR1" s="106"/>
      <c r="AS1" s="107" t="s">
        <v>177</v>
      </c>
      <c r="AT1" s="108"/>
      <c r="AU1" s="108"/>
      <c r="AV1" s="108"/>
      <c r="AW1" s="108"/>
      <c r="AX1" s="108"/>
      <c r="AY1" s="108"/>
      <c r="AZ1" s="108"/>
      <c r="BA1" s="108"/>
      <c r="BB1" s="108"/>
      <c r="BC1" s="108"/>
      <c r="BD1" s="109"/>
    </row>
    <row r="2" spans="1:56">
      <c r="A2" s="252"/>
      <c r="B2" s="252"/>
      <c r="C2" s="252"/>
      <c r="D2" s="252"/>
      <c r="E2" s="252"/>
      <c r="F2" s="252" t="s">
        <v>190</v>
      </c>
      <c r="G2" s="252" t="s">
        <v>180</v>
      </c>
      <c r="H2" s="252" t="s">
        <v>544</v>
      </c>
      <c r="I2" s="252">
        <f>'[1]SC-New'!D62</f>
        <v>1000</v>
      </c>
      <c r="J2" s="252"/>
      <c r="K2" s="266" t="str">
        <f t="shared" ref="K2:AD2" si="0">CONCATENATE("aMW_",K$1)</f>
        <v>aMW_2016</v>
      </c>
      <c r="L2" s="308" t="str">
        <f t="shared" si="0"/>
        <v>aMW_2017</v>
      </c>
      <c r="M2" s="308" t="str">
        <f t="shared" si="0"/>
        <v>aMW_2018</v>
      </c>
      <c r="N2" s="308" t="str">
        <f t="shared" si="0"/>
        <v>aMW_2019</v>
      </c>
      <c r="O2" s="308" t="str">
        <f t="shared" si="0"/>
        <v>aMW_2020</v>
      </c>
      <c r="P2" s="308" t="str">
        <f t="shared" si="0"/>
        <v>aMW_2021</v>
      </c>
      <c r="Q2" s="308" t="str">
        <f t="shared" si="0"/>
        <v>aMW_2022</v>
      </c>
      <c r="R2" s="308" t="str">
        <f t="shared" si="0"/>
        <v>aMW_2023</v>
      </c>
      <c r="S2" s="308" t="str">
        <f t="shared" si="0"/>
        <v>aMW_2024</v>
      </c>
      <c r="T2" s="308" t="str">
        <f t="shared" si="0"/>
        <v>aMW_2025</v>
      </c>
      <c r="U2" s="308" t="str">
        <f t="shared" si="0"/>
        <v>aMW_2026</v>
      </c>
      <c r="V2" s="308" t="str">
        <f t="shared" si="0"/>
        <v>aMW_2027</v>
      </c>
      <c r="W2" s="308" t="str">
        <f t="shared" si="0"/>
        <v>aMW_2028</v>
      </c>
      <c r="X2" s="308" t="str">
        <f t="shared" si="0"/>
        <v>aMW_2029</v>
      </c>
      <c r="Y2" s="308" t="str">
        <f t="shared" si="0"/>
        <v>aMW_2030</v>
      </c>
      <c r="Z2" s="308" t="str">
        <f t="shared" si="0"/>
        <v>aMW_2031</v>
      </c>
      <c r="AA2" s="308" t="str">
        <f t="shared" si="0"/>
        <v>aMW_2032</v>
      </c>
      <c r="AB2" s="308" t="str">
        <f t="shared" si="0"/>
        <v>aMW_2033</v>
      </c>
      <c r="AC2" s="308" t="str">
        <f t="shared" si="0"/>
        <v>aMW_2034</v>
      </c>
      <c r="AD2" s="308" t="str">
        <f t="shared" si="0"/>
        <v>aMW_2035</v>
      </c>
      <c r="AE2" s="309" t="s">
        <v>663</v>
      </c>
      <c r="AF2" s="112" t="s">
        <v>191</v>
      </c>
      <c r="AG2" s="112" t="s">
        <v>192</v>
      </c>
      <c r="AH2" s="112" t="s">
        <v>193</v>
      </c>
      <c r="AI2" s="112" t="s">
        <v>194</v>
      </c>
      <c r="AJ2" s="112" t="s">
        <v>195</v>
      </c>
      <c r="AK2" s="112" t="s">
        <v>196</v>
      </c>
      <c r="AL2" s="112" t="s">
        <v>197</v>
      </c>
      <c r="AM2" s="112" t="s">
        <v>198</v>
      </c>
      <c r="AN2" s="112" t="s">
        <v>199</v>
      </c>
      <c r="AO2" s="112" t="s">
        <v>200</v>
      </c>
      <c r="AP2" s="112" t="s">
        <v>201</v>
      </c>
      <c r="AQ2" s="112" t="s">
        <v>202</v>
      </c>
      <c r="AR2" s="112"/>
      <c r="AS2" s="112" t="s">
        <v>191</v>
      </c>
      <c r="AT2" s="112" t="s">
        <v>192</v>
      </c>
      <c r="AU2" s="112" t="s">
        <v>193</v>
      </c>
      <c r="AV2" s="112" t="s">
        <v>194</v>
      </c>
      <c r="AW2" s="112" t="s">
        <v>195</v>
      </c>
      <c r="AX2" s="112" t="s">
        <v>196</v>
      </c>
      <c r="AY2" s="112" t="s">
        <v>197</v>
      </c>
      <c r="AZ2" s="112" t="s">
        <v>198</v>
      </c>
      <c r="BA2" s="112" t="s">
        <v>199</v>
      </c>
      <c r="BB2" s="112" t="s">
        <v>200</v>
      </c>
      <c r="BC2" s="112" t="s">
        <v>201</v>
      </c>
      <c r="BD2" s="112" t="s">
        <v>202</v>
      </c>
    </row>
    <row r="3" spans="1:56">
      <c r="A3" s="260" t="str">
        <f>VLOOKUP(CONCATENATE(C3,"-",B3),[2]!ACHIEV,2,FALSE)</f>
        <v>LO12Med</v>
      </c>
      <c r="B3" s="260" t="s">
        <v>116</v>
      </c>
      <c r="C3" s="260" t="str">
        <f>[3]MLIST!$B$70</f>
        <v>Parking Lighting</v>
      </c>
      <c r="D3" s="260" t="s">
        <v>665</v>
      </c>
      <c r="E3" s="260" t="s">
        <v>519</v>
      </c>
      <c r="F3" s="310">
        <f>VLOOKUP(J3,MeasOut,14,FALSE)</f>
        <v>0.20557028264941321</v>
      </c>
      <c r="G3" s="311">
        <f>VLOOKUP(J3,MeasOut,3,FALSE)</f>
        <v>1636.755308990244</v>
      </c>
      <c r="H3" s="311">
        <f>VLOOKUP(J3,MeasOut,11,FALSE)</f>
        <v>25.00409166164275</v>
      </c>
      <c r="I3" s="79"/>
      <c r="J3" s="79" t="s">
        <v>203</v>
      </c>
      <c r="K3" s="103">
        <f>VLOOKUP($J3,'SC-NR'!$D$68:$Y$68,COLUMN()-9,FALSE)</f>
        <v>0.31228549412738982</v>
      </c>
      <c r="L3" s="103">
        <f ca="1">VLOOKUP($J3,'SC-NR'!$D$68:$Y$68,COLUMN()-9,FALSE)</f>
        <v>0.62188382445375068</v>
      </c>
      <c r="M3" s="103">
        <f ca="1">VLOOKUP($J3,'SC-NR'!$D$68:$Y$68,COLUMN()-9,FALSE)</f>
        <v>0.92881563204653739</v>
      </c>
      <c r="N3" s="103">
        <f ca="1">VLOOKUP($J3,'SC-NR'!$D$68:$Y$68,COLUMN()-9,FALSE)</f>
        <v>1.2331013883133874</v>
      </c>
      <c r="O3" s="103">
        <f ca="1">VLOOKUP($J3,'SC-NR'!$D$68:$Y$68,COLUMN()-9,FALSE)</f>
        <v>1.5347613965294968</v>
      </c>
      <c r="P3" s="103">
        <f ca="1">VLOOKUP($J3,'SC-NR'!$D$68:$Y$68,COLUMN()-9,FALSE)</f>
        <v>1.8032521967945101</v>
      </c>
      <c r="Q3" s="103">
        <f ca="1">VLOOKUP($J3,'SC-NR'!$D$68:$Y$68,COLUMN()-9,FALSE)</f>
        <v>2.0146405318645599</v>
      </c>
      <c r="R3" s="103">
        <f ca="1">VLOOKUP($J3,'SC-NR'!$D$68:$Y$68,COLUMN()-9,FALSE)</f>
        <v>2.1805566340366038</v>
      </c>
      <c r="S3" s="103">
        <f ca="1">VLOOKUP($J3,'SC-NR'!$D$68:$Y$68,COLUMN()-9,FALSE)</f>
        <v>2.310264326470961</v>
      </c>
      <c r="T3" s="103">
        <f ca="1">VLOOKUP($J3,'SC-NR'!$D$68:$Y$68,COLUMN()-9,FALSE)</f>
        <v>2.4111425293771238</v>
      </c>
      <c r="U3" s="103">
        <f ca="1">VLOOKUP($J3,'SC-NR'!$D$68:$Y$68,COLUMN()-9,FALSE)</f>
        <v>2.4890687860912539</v>
      </c>
      <c r="V3" s="103">
        <f ca="1">VLOOKUP($J3,'SC-NR'!$D$68:$Y$68,COLUMN()-9,FALSE)</f>
        <v>2.5487247478312312</v>
      </c>
      <c r="W3" s="103">
        <f ca="1">VLOOKUP($J3,'SC-NR'!$D$68:$Y$68,COLUMN()-9,FALSE)</f>
        <v>2.5938394981719863</v>
      </c>
      <c r="X3" s="103">
        <f ca="1">VLOOKUP($J3,'SC-NR'!$D$68:$Y$68,COLUMN()-9,FALSE)</f>
        <v>2.6273833663802693</v>
      </c>
      <c r="Y3" s="103">
        <f ca="1">VLOOKUP($J3,'SC-NR'!$D$68:$Y$68,COLUMN()-9,FALSE)</f>
        <v>2.6517223045977891</v>
      </c>
      <c r="Z3" s="103">
        <f ca="1">VLOOKUP($J3,'SC-NR'!$D$68:$Y$68,COLUMN()-9,FALSE)</f>
        <v>2.6687408535916943</v>
      </c>
      <c r="AA3" s="103">
        <f ca="1">VLOOKUP($J3,'SC-NR'!$D$68:$Y$68,COLUMN()-9,FALSE)</f>
        <v>2.6575895877513078</v>
      </c>
      <c r="AB3" s="103">
        <f ca="1">VLOOKUP($J3,'SC-NR'!$D$68:$Y$68,COLUMN()-9,FALSE)</f>
        <v>2.6463708462029709</v>
      </c>
      <c r="AC3" s="103">
        <f ca="1">VLOOKUP($J3,'SC-NR'!$D$68:$Y$68,COLUMN()-9,FALSE)</f>
        <v>2.6351635115271308</v>
      </c>
      <c r="AD3" s="103">
        <f ca="1">VLOOKUP($J3,'SC-NR'!$D$68:$Y$68,COLUMN()-9,FALSE)</f>
        <v>2.6239969119100048</v>
      </c>
      <c r="AE3" s="103">
        <f ca="1">VLOOKUP($J3,'SC-NR'!$D$68:$Y$68,COLUMN()-9,FALSE)</f>
        <v>8.4133728390346398</v>
      </c>
      <c r="AF3" s="312">
        <f t="shared" ref="AF3:BD3" si="1">VLOOKUP($J3,MeasOut,COLUMN()-17,FALSE)</f>
        <v>79.047797828141313</v>
      </c>
      <c r="AG3" s="312">
        <f t="shared" si="1"/>
        <v>74.273656237081724</v>
      </c>
      <c r="AH3" s="312">
        <f t="shared" si="1"/>
        <v>84.243506697665254</v>
      </c>
      <c r="AI3" s="312">
        <f t="shared" si="1"/>
        <v>76.758368658713692</v>
      </c>
      <c r="AJ3" s="312">
        <f t="shared" si="1"/>
        <v>78.728407464721769</v>
      </c>
      <c r="AK3" s="312">
        <f t="shared" si="1"/>
        <v>78.477496814042425</v>
      </c>
      <c r="AL3" s="312">
        <f t="shared" si="1"/>
        <v>75.141986189149875</v>
      </c>
      <c r="AM3" s="312">
        <f t="shared" si="1"/>
        <v>85.718012317059078</v>
      </c>
      <c r="AN3" s="312">
        <f t="shared" si="1"/>
        <v>73.830018099578325</v>
      </c>
      <c r="AO3" s="312">
        <f t="shared" si="1"/>
        <v>83.878390404667329</v>
      </c>
      <c r="AP3" s="312">
        <f t="shared" si="1"/>
        <v>72.487485902113647</v>
      </c>
      <c r="AQ3" s="312">
        <f t="shared" si="1"/>
        <v>73.80491154463779</v>
      </c>
      <c r="AR3" s="312">
        <f t="shared" si="1"/>
        <v>0</v>
      </c>
      <c r="AS3" s="312">
        <f t="shared" si="1"/>
        <v>63.639322085156095</v>
      </c>
      <c r="AT3" s="312">
        <f t="shared" si="1"/>
        <v>57.243859399316221</v>
      </c>
      <c r="AU3" s="312">
        <f t="shared" si="1"/>
        <v>56.935371876082698</v>
      </c>
      <c r="AV3" s="312">
        <f t="shared" si="1"/>
        <v>57.211650010197026</v>
      </c>
      <c r="AW3" s="312">
        <f t="shared" si="1"/>
        <v>57.950721292351027</v>
      </c>
      <c r="AX3" s="312">
        <f t="shared" si="1"/>
        <v>53.722173265733737</v>
      </c>
      <c r="AY3" s="312">
        <f t="shared" si="1"/>
        <v>60.400754133062499</v>
      </c>
      <c r="AZ3" s="312">
        <f t="shared" si="1"/>
        <v>57.561775374453724</v>
      </c>
      <c r="BA3" s="312">
        <f t="shared" si="1"/>
        <v>60.200728001863176</v>
      </c>
      <c r="BB3" s="312">
        <f t="shared" si="1"/>
        <v>56.474362160537623</v>
      </c>
      <c r="BC3" s="312">
        <f t="shared" si="1"/>
        <v>59.395645704767851</v>
      </c>
      <c r="BD3" s="312">
        <f t="shared" si="1"/>
        <v>59.62890752914997</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sheetPr>
    <tabColor rgb="FFFFFF00"/>
  </sheetPr>
  <dimension ref="B2:BF15"/>
  <sheetViews>
    <sheetView topLeftCell="G1" workbookViewId="0">
      <selection activeCell="L9" sqref="L9"/>
    </sheetView>
  </sheetViews>
  <sheetFormatPr defaultRowHeight="15"/>
  <cols>
    <col min="2" max="2" width="48.7109375" customWidth="1"/>
    <col min="3" max="3" width="23.85546875" customWidth="1"/>
    <col min="4" max="4" width="8.140625" customWidth="1"/>
    <col min="5" max="5" width="12.85546875" customWidth="1"/>
    <col min="6" max="6" width="16.28515625" customWidth="1"/>
    <col min="7" max="7" width="17.140625" customWidth="1"/>
    <col min="8" max="8" width="14.28515625" customWidth="1"/>
    <col min="9" max="9" width="17" customWidth="1"/>
    <col min="11" max="11" width="60.7109375" customWidth="1"/>
    <col min="12" max="12" width="14.42578125" customWidth="1"/>
    <col min="13" max="13" width="13.5703125" customWidth="1"/>
    <col min="14" max="14" width="25.5703125" customWidth="1"/>
    <col min="15" max="15" width="8.7109375" customWidth="1"/>
    <col min="18" max="19" width="10.140625" customWidth="1"/>
    <col min="20" max="20" width="9.5703125" bestFit="1" customWidth="1"/>
    <col min="21" max="22" width="11.140625" customWidth="1"/>
    <col min="23" max="23" width="9.7109375" customWidth="1"/>
    <col min="24" max="24" width="9.5703125" bestFit="1" customWidth="1"/>
    <col min="26" max="26" width="10.5703125" customWidth="1"/>
    <col min="27" max="27" width="8" customWidth="1"/>
    <col min="37" max="37" width="10.28515625" customWidth="1"/>
    <col min="38" max="38" width="9.5703125" customWidth="1"/>
    <col min="39" max="39" width="8.5703125" customWidth="1"/>
    <col min="43" max="43" width="10.85546875" customWidth="1"/>
    <col min="46" max="46" width="10.5703125" customWidth="1"/>
    <col min="51" max="51" width="26.140625" customWidth="1"/>
    <col min="52" max="52" width="18" customWidth="1"/>
    <col min="53" max="53" width="9.42578125" customWidth="1"/>
    <col min="54" max="54" width="11.42578125" customWidth="1"/>
    <col min="55" max="55" width="11" customWidth="1"/>
    <col min="56" max="56" width="9.140625" customWidth="1"/>
    <col min="58" max="58" width="11" customWidth="1"/>
  </cols>
  <sheetData>
    <row r="2" spans="2:58">
      <c r="S2" s="10" t="s">
        <v>143</v>
      </c>
      <c r="T2" s="56">
        <f>AVERAGE('CLTC Studies'!Q50,'CLTC Studies'!Q74)</f>
        <v>0.22021276595744682</v>
      </c>
      <c r="U2" t="s">
        <v>137</v>
      </c>
      <c r="AO2" s="65" t="s">
        <v>145</v>
      </c>
      <c r="AP2" s="65" t="s">
        <v>146</v>
      </c>
    </row>
    <row r="3" spans="2:58">
      <c r="AN3" s="10" t="s">
        <v>147</v>
      </c>
      <c r="AO3" s="66">
        <f>5/60</f>
        <v>8.3333333333333329E-2</v>
      </c>
      <c r="AP3" s="66">
        <f>10/60</f>
        <v>0.16666666666666666</v>
      </c>
      <c r="AQ3" s="10" t="s">
        <v>21</v>
      </c>
      <c r="AR3" s="67">
        <v>100</v>
      </c>
      <c r="AS3" t="s">
        <v>148</v>
      </c>
      <c r="AZ3" s="10" t="s">
        <v>461</v>
      </c>
      <c r="BA3" s="185">
        <f>'Park Garage Data'!$J$15</f>
        <v>0.98668133127146362</v>
      </c>
      <c r="BB3" t="s">
        <v>460</v>
      </c>
    </row>
    <row r="4" spans="2:58">
      <c r="N4" s="51"/>
      <c r="O4" s="52"/>
      <c r="S4" s="10" t="s">
        <v>133</v>
      </c>
      <c r="T4" s="34">
        <v>8760</v>
      </c>
      <c r="U4" t="s">
        <v>136</v>
      </c>
      <c r="AN4" s="10" t="s">
        <v>149</v>
      </c>
      <c r="AO4" s="66">
        <f>20/60</f>
        <v>0.33333333333333331</v>
      </c>
      <c r="AP4" s="66">
        <f>30/60</f>
        <v>0.5</v>
      </c>
    </row>
    <row r="6" spans="2:58">
      <c r="S6" s="10" t="s">
        <v>135</v>
      </c>
      <c r="T6" s="56">
        <f>AVERAGE('CLTC Studies'!Q16,'CLTC Studies'!Q41,'CLTC Studies'!Q65)</f>
        <v>0.4366666666666667</v>
      </c>
      <c r="U6" t="s">
        <v>137</v>
      </c>
    </row>
    <row r="7" spans="2:58">
      <c r="L7" s="46">
        <v>10</v>
      </c>
      <c r="N7" s="45">
        <v>2</v>
      </c>
      <c r="O7" s="45">
        <v>3</v>
      </c>
      <c r="AB7" s="63">
        <v>13</v>
      </c>
      <c r="AC7" s="63">
        <v>13</v>
      </c>
      <c r="AK7" s="45">
        <v>4</v>
      </c>
    </row>
    <row r="8" spans="2:58" ht="64.5">
      <c r="B8" s="37" t="s">
        <v>64</v>
      </c>
      <c r="C8" s="37" t="s">
        <v>65</v>
      </c>
      <c r="D8" s="37" t="s">
        <v>66</v>
      </c>
      <c r="E8" s="37" t="s">
        <v>67</v>
      </c>
      <c r="F8" s="37" t="s">
        <v>68</v>
      </c>
      <c r="G8" s="37" t="s">
        <v>69</v>
      </c>
      <c r="H8" s="37" t="s">
        <v>70</v>
      </c>
      <c r="I8" s="37" t="s">
        <v>71</v>
      </c>
      <c r="J8" s="37" t="s">
        <v>72</v>
      </c>
      <c r="K8" s="38" t="s">
        <v>73</v>
      </c>
      <c r="L8" s="38" t="s">
        <v>74</v>
      </c>
      <c r="M8" s="38" t="s">
        <v>75</v>
      </c>
      <c r="N8" s="38" t="s">
        <v>76</v>
      </c>
      <c r="O8" s="38" t="s">
        <v>77</v>
      </c>
      <c r="P8" s="38" t="s">
        <v>125</v>
      </c>
      <c r="Q8" s="38" t="s">
        <v>78</v>
      </c>
      <c r="R8" s="38" t="s">
        <v>131</v>
      </c>
      <c r="S8" s="38" t="s">
        <v>141</v>
      </c>
      <c r="T8" s="38" t="s">
        <v>132</v>
      </c>
      <c r="U8" s="38" t="s">
        <v>134</v>
      </c>
      <c r="V8" s="58" t="s">
        <v>138</v>
      </c>
      <c r="W8" s="58" t="s">
        <v>142</v>
      </c>
      <c r="X8" s="38" t="s">
        <v>79</v>
      </c>
      <c r="Y8" s="38" t="s">
        <v>80</v>
      </c>
      <c r="Z8" s="38" t="s">
        <v>139</v>
      </c>
      <c r="AA8" s="38" t="s">
        <v>140</v>
      </c>
      <c r="AB8" s="38" t="s">
        <v>81</v>
      </c>
      <c r="AC8" s="38" t="s">
        <v>82</v>
      </c>
      <c r="AD8" s="38" t="s">
        <v>83</v>
      </c>
      <c r="AE8" s="38" t="s">
        <v>84</v>
      </c>
      <c r="AF8" s="38" t="s">
        <v>85</v>
      </c>
      <c r="AG8" s="38" t="s">
        <v>86</v>
      </c>
      <c r="AH8" s="38" t="s">
        <v>87</v>
      </c>
      <c r="AI8" s="38" t="s">
        <v>88</v>
      </c>
      <c r="AJ8" s="38" t="s">
        <v>89</v>
      </c>
      <c r="AK8" s="38" t="s">
        <v>90</v>
      </c>
      <c r="AL8" s="38" t="s">
        <v>91</v>
      </c>
      <c r="AM8" s="38" t="s">
        <v>92</v>
      </c>
      <c r="AN8" s="38" t="s">
        <v>93</v>
      </c>
      <c r="AO8" s="38" t="s">
        <v>94</v>
      </c>
      <c r="AP8" s="38" t="s">
        <v>95</v>
      </c>
      <c r="AQ8" s="38" t="s">
        <v>96</v>
      </c>
      <c r="AR8" s="38" t="s">
        <v>97</v>
      </c>
      <c r="AS8" s="38" t="s">
        <v>98</v>
      </c>
      <c r="AT8" s="38" t="s">
        <v>99</v>
      </c>
      <c r="AU8" s="38" t="s">
        <v>100</v>
      </c>
      <c r="AV8" s="38" t="s">
        <v>101</v>
      </c>
      <c r="AW8" s="38" t="s">
        <v>102</v>
      </c>
      <c r="AX8" s="39" t="s">
        <v>103</v>
      </c>
      <c r="AY8" s="39" t="s">
        <v>104</v>
      </c>
      <c r="AZ8" s="39" t="s">
        <v>105</v>
      </c>
      <c r="BA8" s="39" t="s">
        <v>462</v>
      </c>
      <c r="BB8" s="39" t="s">
        <v>106</v>
      </c>
      <c r="BC8" s="39" t="s">
        <v>107</v>
      </c>
      <c r="BD8" s="39" t="s">
        <v>108</v>
      </c>
      <c r="BE8" s="39" t="s">
        <v>103</v>
      </c>
      <c r="BF8" s="39" t="s">
        <v>109</v>
      </c>
    </row>
    <row r="9" spans="2:58">
      <c r="B9" s="32" t="str">
        <f>C9</f>
        <v>NR_PARKING_GARAGE_FIX_REPL_from HPS to BI-LEVEL_LED_FIX</v>
      </c>
      <c r="C9" s="32" t="str">
        <f>K9</f>
        <v>NR_PARKING_GARAGE_FIX_REPL_from HPS to BI-LEVEL_LED_FIX</v>
      </c>
      <c r="D9" s="32" t="s">
        <v>116</v>
      </c>
      <c r="E9" s="32" t="s">
        <v>110</v>
      </c>
      <c r="F9" s="32" t="s">
        <v>118</v>
      </c>
      <c r="G9" s="32" t="s">
        <v>123</v>
      </c>
      <c r="H9" s="32" t="s">
        <v>119</v>
      </c>
      <c r="I9" s="32" t="s">
        <v>121</v>
      </c>
      <c r="J9" s="32" t="s">
        <v>122</v>
      </c>
      <c r="K9" s="32" t="str">
        <f t="shared" ref="K9:K14" si="0">CONCATENATE(D9,"_",G9,"_",E9,"_from ",H9," to ",I9)</f>
        <v>NR_PARKING_GARAGE_FIX_REPL_from HPS to BI-LEVEL_LED_FIX</v>
      </c>
      <c r="L9" s="164">
        <f>VLOOKUP(H9,'Base and EE Specs'!$A$53:$M$59,'Measure Development'!L$7,FALSE)</f>
        <v>53.244680851063833</v>
      </c>
      <c r="M9" s="48">
        <f>'Base and EE Specs'!$I$23</f>
        <v>109.01372805340509</v>
      </c>
      <c r="N9" s="32" t="str">
        <f>VLOOKUP(H9,'Lists&amp;Tables'!$B$3:$D$5,N$7,FALSE)</f>
        <v>HPS parking garage fixture</v>
      </c>
      <c r="O9" s="33">
        <f>VLOOKUP(H9,'Lists&amp;Tables'!$B$3:$D$5,O$7,FALSE)</f>
        <v>10000</v>
      </c>
      <c r="P9" s="50">
        <f>O9</f>
        <v>10000</v>
      </c>
      <c r="Q9" s="50">
        <f t="shared" ref="Q9:R14" si="1">O9/L9</f>
        <v>187.8121878121878</v>
      </c>
      <c r="R9" s="50">
        <f t="shared" si="1"/>
        <v>91.731566093226974</v>
      </c>
      <c r="S9" s="50">
        <f>R9*$T$2</f>
        <v>20.200461894997854</v>
      </c>
      <c r="T9" s="50">
        <f>$T$4</f>
        <v>8760</v>
      </c>
      <c r="U9" s="57">
        <f t="shared" ref="U9:U14" si="2">$T$6</f>
        <v>0.4366666666666667</v>
      </c>
      <c r="V9" s="33">
        <f>U9*T9</f>
        <v>3825.2000000000003</v>
      </c>
      <c r="W9" s="50">
        <f>(1-U9)*T9</f>
        <v>4934.7999999999993</v>
      </c>
      <c r="X9" s="33">
        <f>T9*(Q9/1000)</f>
        <v>1645.2347652347653</v>
      </c>
      <c r="Y9" s="33">
        <f>V9*(R9/1000)+W9*(S9/1000)</f>
        <v>450.57682597924725</v>
      </c>
      <c r="Z9" s="50">
        <f>X9-Y9</f>
        <v>1194.6579392555182</v>
      </c>
      <c r="AA9" s="59">
        <f>Z9/X9</f>
        <v>0.7261321997928043</v>
      </c>
      <c r="AB9" s="62">
        <f>VLOOKUP(H9,'Base and EE Specs'!$A$53:$M$59,'Measure Development'!AB$7,FALSE)</f>
        <v>2.6595896909233172</v>
      </c>
      <c r="AC9" s="62">
        <f>VLOOKUP(H9,'Base and EE Specs'!$A$65:$M$75,AC$7,FALSE)</f>
        <v>12.453123543123544</v>
      </c>
      <c r="AD9" s="32" t="s">
        <v>111</v>
      </c>
      <c r="AE9" s="62">
        <f>'Base and EE Specs'!$C$30</f>
        <v>64.494180601043368</v>
      </c>
      <c r="AF9" s="49">
        <f t="shared" ref="AF9:AF14" si="3">AB9*(O9/1000)</f>
        <v>26.595896909233172</v>
      </c>
      <c r="AG9" s="49">
        <f t="shared" ref="AG9:AG14" si="4">AC9*(O9/1000)</f>
        <v>124.53123543123544</v>
      </c>
      <c r="AH9" s="32" t="s">
        <v>111</v>
      </c>
      <c r="AI9" s="49">
        <f t="shared" ref="AI9:AI14" si="5">AE9*(P9/1000)</f>
        <v>644.94180601043365</v>
      </c>
      <c r="AJ9" s="49">
        <f t="shared" ref="AJ9:AJ14" si="6">IF(D9="NR",AI9-AG9,AI9)</f>
        <v>520.41057057919818</v>
      </c>
      <c r="AK9" s="33">
        <f>VLOOKUP($H9,'Lists&amp;Tables'!$B$3:$E$5,'Measure Development'!AK$7,FALSE)</f>
        <v>18000</v>
      </c>
      <c r="AL9" s="33">
        <f>'Base and EE Specs'!$G$21</f>
        <v>75000</v>
      </c>
      <c r="AM9" s="47">
        <f t="shared" ref="AM9:AM14" si="7">AK9/T9</f>
        <v>2.0547945205479454</v>
      </c>
      <c r="AN9" s="47">
        <f t="shared" ref="AN9:AN14" si="8">AL9/T9</f>
        <v>8.5616438356164384</v>
      </c>
      <c r="AO9" s="64">
        <f>$AO$3</f>
        <v>8.3333333333333329E-2</v>
      </c>
      <c r="AP9" s="64">
        <f>$AO$4</f>
        <v>0.33333333333333331</v>
      </c>
      <c r="AQ9" s="68">
        <f>AO9*$AR$3</f>
        <v>8.3333333333333321</v>
      </c>
      <c r="AR9" s="68">
        <f>AP9*$AR$3</f>
        <v>33.333333333333329</v>
      </c>
      <c r="AS9" s="62">
        <f t="shared" ref="AS9:AS14" si="9">IF(D9="NR",AR9-AQ9,AR9)</f>
        <v>24.999999999999996</v>
      </c>
      <c r="AT9" s="69">
        <f>AS9+AJ9</f>
        <v>545.41057057919818</v>
      </c>
      <c r="AU9" s="69">
        <f t="shared" ref="AU9:AU14" si="10">AF9</f>
        <v>26.595896909233172</v>
      </c>
      <c r="AV9" s="68">
        <f>AQ9</f>
        <v>8.3333333333333321</v>
      </c>
      <c r="AW9" s="69">
        <f>SUM(AU9:AV9)</f>
        <v>34.929230242566504</v>
      </c>
      <c r="AX9" s="47">
        <f>AM9</f>
        <v>2.0547945205479454</v>
      </c>
      <c r="AY9" s="47" t="s">
        <v>710</v>
      </c>
      <c r="AZ9" s="32" t="s">
        <v>111</v>
      </c>
      <c r="BA9" s="47">
        <f>$BA$3</f>
        <v>0.98668133127146362</v>
      </c>
      <c r="BB9" s="50">
        <f>$Z9*BA9</f>
        <v>1178.7466859186579</v>
      </c>
      <c r="BC9" s="49">
        <f>$AT9*BA9</f>
        <v>538.1464278686118</v>
      </c>
      <c r="BD9" s="49">
        <f>AW9*BA9</f>
        <v>34.464019396022984</v>
      </c>
      <c r="BE9" s="47">
        <f>AX9</f>
        <v>2.0547945205479454</v>
      </c>
      <c r="BF9" s="32" t="str">
        <f>IF(D9="NR","L","R")</f>
        <v>L</v>
      </c>
    </row>
    <row r="10" spans="2:58">
      <c r="B10" s="32" t="str">
        <f t="shared" ref="B10:B14" si="11">C10</f>
        <v>NR_PARKING_GARAGE_FIX_REPL_from MH to BI-LEVEL_LED_FIX</v>
      </c>
      <c r="C10" s="32" t="str">
        <f t="shared" ref="C10:C14" si="12">K10</f>
        <v>NR_PARKING_GARAGE_FIX_REPL_from MH to BI-LEVEL_LED_FIX</v>
      </c>
      <c r="D10" s="32" t="s">
        <v>116</v>
      </c>
      <c r="E10" s="32" t="s">
        <v>110</v>
      </c>
      <c r="F10" s="32" t="s">
        <v>118</v>
      </c>
      <c r="G10" s="32" t="s">
        <v>123</v>
      </c>
      <c r="H10" s="32" t="s">
        <v>120</v>
      </c>
      <c r="I10" s="32" t="s">
        <v>121</v>
      </c>
      <c r="J10" s="32" t="s">
        <v>122</v>
      </c>
      <c r="K10" s="32" t="str">
        <f t="shared" si="0"/>
        <v>NR_PARKING_GARAGE_FIX_REPL_from MH to BI-LEVEL_LED_FIX</v>
      </c>
      <c r="L10" s="164">
        <f>VLOOKUP(H10,'Base and EE Specs'!$A$53:$M$59,'Measure Development'!L$7,FALSE)</f>
        <v>32.952380952380949</v>
      </c>
      <c r="M10" s="48">
        <f>'Base and EE Specs'!$I$23</f>
        <v>109.01372805340509</v>
      </c>
      <c r="N10" s="32" t="str">
        <f>VLOOKUP(H10,'Lists&amp;Tables'!$B$3:$D$5,N$7,FALSE)</f>
        <v>MH parking garage fixture</v>
      </c>
      <c r="O10" s="33">
        <f>VLOOKUP(H10,'Lists&amp;Tables'!$B$3:$D$5,O$7,FALSE)</f>
        <v>7000</v>
      </c>
      <c r="P10" s="50">
        <f t="shared" ref="P10:P14" si="13">O10</f>
        <v>7000</v>
      </c>
      <c r="Q10" s="50">
        <f t="shared" si="1"/>
        <v>212.42774566473992</v>
      </c>
      <c r="R10" s="50">
        <f t="shared" si="1"/>
        <v>64.212096265258879</v>
      </c>
      <c r="S10" s="50">
        <f t="shared" ref="S10:S14" si="14">R10*$T$2</f>
        <v>14.140323326498498</v>
      </c>
      <c r="T10" s="50">
        <f t="shared" ref="T10:T14" si="15">$T$4</f>
        <v>8760</v>
      </c>
      <c r="U10" s="57">
        <f t="shared" si="2"/>
        <v>0.4366666666666667</v>
      </c>
      <c r="V10" s="33">
        <f t="shared" ref="V10:V14" si="16">U10*T10</f>
        <v>3825.2000000000003</v>
      </c>
      <c r="W10" s="50">
        <f t="shared" ref="W10:W14" si="17">(1-U10)*T10</f>
        <v>4934.7999999999993</v>
      </c>
      <c r="X10" s="33">
        <f t="shared" ref="X10:X14" si="18">T10*(Q10/1000)</f>
        <v>1860.8670520231215</v>
      </c>
      <c r="Y10" s="33">
        <f t="shared" ref="Y10:Y14" si="19">V10*(R10/1000)+W10*(S10/1000)</f>
        <v>315.40377818547307</v>
      </c>
      <c r="Z10" s="50">
        <f t="shared" ref="Z10:Z14" si="20">X10-Y10</f>
        <v>1545.4632738376483</v>
      </c>
      <c r="AA10" s="59">
        <f t="shared" ref="AA10:AA14" si="21">Z10/X10</f>
        <v>0.83050708655270755</v>
      </c>
      <c r="AB10" s="62">
        <f>VLOOKUP(H10,'Base and EE Specs'!$A$53:$M$59,'Measure Development'!AB$7,FALSE)</f>
        <v>4.3101653712141523</v>
      </c>
      <c r="AC10" s="62">
        <f>VLOOKUP(H10,'Base and EE Specs'!$A$65:$M$75,AC$7,FALSE)</f>
        <v>17.124289980732176</v>
      </c>
      <c r="AD10" s="32" t="s">
        <v>111</v>
      </c>
      <c r="AE10" s="62">
        <f>'Base and EE Specs'!$C$30</f>
        <v>64.494180601043368</v>
      </c>
      <c r="AF10" s="49">
        <f t="shared" si="3"/>
        <v>30.171157598499065</v>
      </c>
      <c r="AG10" s="49">
        <f t="shared" si="4"/>
        <v>119.87002986512523</v>
      </c>
      <c r="AH10" s="32" t="s">
        <v>111</v>
      </c>
      <c r="AI10" s="49">
        <f t="shared" si="5"/>
        <v>451.45926420730359</v>
      </c>
      <c r="AJ10" s="49">
        <f t="shared" si="6"/>
        <v>331.58923434217837</v>
      </c>
      <c r="AK10" s="33">
        <f>VLOOKUP($H10,'Lists&amp;Tables'!$B$3:$E$5,'Measure Development'!AK$7,FALSE)</f>
        <v>28000</v>
      </c>
      <c r="AL10" s="33">
        <f>'Base and EE Specs'!$G$21</f>
        <v>75000</v>
      </c>
      <c r="AM10" s="47">
        <f t="shared" si="7"/>
        <v>3.1963470319634704</v>
      </c>
      <c r="AN10" s="47">
        <f t="shared" si="8"/>
        <v>8.5616438356164384</v>
      </c>
      <c r="AO10" s="64">
        <f t="shared" ref="AO10:AO14" si="22">$AO$3</f>
        <v>8.3333333333333329E-2</v>
      </c>
      <c r="AP10" s="64">
        <f t="shared" ref="AP10:AP14" si="23">$AO$4</f>
        <v>0.33333333333333331</v>
      </c>
      <c r="AQ10" s="68">
        <f t="shared" ref="AQ10:AQ14" si="24">AO10*$AR$3</f>
        <v>8.3333333333333321</v>
      </c>
      <c r="AR10" s="68">
        <f t="shared" ref="AR10:AR14" si="25">AP10*$AR$3</f>
        <v>33.333333333333329</v>
      </c>
      <c r="AS10" s="62">
        <f t="shared" si="9"/>
        <v>24.999999999999996</v>
      </c>
      <c r="AT10" s="69">
        <f t="shared" ref="AT10:AT14" si="26">AS10+AJ10</f>
        <v>356.58923434217837</v>
      </c>
      <c r="AU10" s="69">
        <f t="shared" si="10"/>
        <v>30.171157598499065</v>
      </c>
      <c r="AV10" s="68">
        <f t="shared" ref="AV10:AV14" si="27">AQ10</f>
        <v>8.3333333333333321</v>
      </c>
      <c r="AW10" s="69">
        <f t="shared" ref="AW10:AW14" si="28">SUM(AU10:AV10)</f>
        <v>38.504490931832393</v>
      </c>
      <c r="AX10" s="47">
        <f t="shared" ref="AX10:AX14" si="29">AM10</f>
        <v>3.1963470319634704</v>
      </c>
      <c r="AY10" s="47" t="s">
        <v>710</v>
      </c>
      <c r="AZ10" s="32" t="s">
        <v>111</v>
      </c>
      <c r="BA10" s="47">
        <f t="shared" ref="BA10:BA14" si="30">$BA$3</f>
        <v>0.98668133127146362</v>
      </c>
      <c r="BB10" s="50">
        <f t="shared" ref="BB10:BB14" si="31">$Z10*BA10</f>
        <v>1524.8797604612853</v>
      </c>
      <c r="BC10" s="49">
        <f t="shared" ref="BC10:BC14" si="32">$AT10*BA10</f>
        <v>351.83994045781247</v>
      </c>
      <c r="BD10" s="49">
        <f t="shared" ref="BD10:BD14" si="33">AW10*BA10</f>
        <v>37.991662372550387</v>
      </c>
      <c r="BE10" s="47">
        <f t="shared" ref="BE10:BE14" si="34">AX10</f>
        <v>3.1963470319634704</v>
      </c>
      <c r="BF10" s="32" t="str">
        <f t="shared" ref="BF10:BF14" si="35">IF(D10="NR","L","R")</f>
        <v>L</v>
      </c>
    </row>
    <row r="11" spans="2:58">
      <c r="B11" s="32" t="str">
        <f t="shared" si="11"/>
        <v>NR_PARKING_GARAGE_FIX_REPL_from HID to BI-LEVEL_LED_FIX</v>
      </c>
      <c r="C11" s="32" t="str">
        <f t="shared" si="12"/>
        <v>NR_PARKING_GARAGE_FIX_REPL_from HID to BI-LEVEL_LED_FIX</v>
      </c>
      <c r="D11" s="32" t="s">
        <v>116</v>
      </c>
      <c r="E11" s="32" t="s">
        <v>110</v>
      </c>
      <c r="F11" s="32" t="s">
        <v>118</v>
      </c>
      <c r="G11" s="32" t="s">
        <v>123</v>
      </c>
      <c r="H11" s="32" t="s">
        <v>124</v>
      </c>
      <c r="I11" s="32" t="s">
        <v>121</v>
      </c>
      <c r="J11" s="32" t="s">
        <v>122</v>
      </c>
      <c r="K11" s="32" t="str">
        <f t="shared" si="0"/>
        <v>NR_PARKING_GARAGE_FIX_REPL_from HID to BI-LEVEL_LED_FIX</v>
      </c>
      <c r="L11" s="164">
        <f>VLOOKUP(H11,'Base and EE Specs'!$A$53:$M$59,'Measure Development'!L$7,FALSE)</f>
        <v>43.098530901722391</v>
      </c>
      <c r="M11" s="48">
        <f>'Base and EE Specs'!$I$23</f>
        <v>109.01372805340509</v>
      </c>
      <c r="N11" s="32" t="str">
        <f>VLOOKUP(H11,'Lists&amp;Tables'!$B$3:$D$5,N$7,FALSE)</f>
        <v>HID parking garage fixture</v>
      </c>
      <c r="O11" s="33">
        <f>VLOOKUP(H11,'Lists&amp;Tables'!$B$3:$D$5,O$7,FALSE)</f>
        <v>8500</v>
      </c>
      <c r="P11" s="50">
        <f t="shared" si="13"/>
        <v>8500</v>
      </c>
      <c r="Q11" s="50">
        <f t="shared" si="1"/>
        <v>197.22249975022478</v>
      </c>
      <c r="R11" s="50">
        <f t="shared" si="1"/>
        <v>77.971831179242926</v>
      </c>
      <c r="S11" s="50">
        <f t="shared" si="14"/>
        <v>17.170392610748177</v>
      </c>
      <c r="T11" s="50">
        <f t="shared" si="15"/>
        <v>8760</v>
      </c>
      <c r="U11" s="57">
        <f t="shared" si="2"/>
        <v>0.4366666666666667</v>
      </c>
      <c r="V11" s="33">
        <f t="shared" si="16"/>
        <v>3825.2000000000003</v>
      </c>
      <c r="W11" s="50">
        <f t="shared" si="17"/>
        <v>4934.7999999999993</v>
      </c>
      <c r="X11" s="33">
        <f t="shared" si="18"/>
        <v>1727.6690978119691</v>
      </c>
      <c r="Y11" s="33">
        <f t="shared" si="19"/>
        <v>382.99030208236019</v>
      </c>
      <c r="Z11" s="50">
        <f t="shared" si="20"/>
        <v>1344.678795729609</v>
      </c>
      <c r="AA11" s="59">
        <f t="shared" si="21"/>
        <v>0.77831964317275593</v>
      </c>
      <c r="AB11" s="62">
        <f>VLOOKUP(H11,'Base and EE Specs'!$A$53:$M$59,'Measure Development'!AB$7,FALSE)</f>
        <v>3.4848775310687348</v>
      </c>
      <c r="AC11" s="62">
        <f>VLOOKUP(H11,'Base and EE Specs'!$A$65:$M$75,AC$7,FALSE)</f>
        <v>14.788706761927861</v>
      </c>
      <c r="AD11" s="32" t="s">
        <v>111</v>
      </c>
      <c r="AE11" s="62">
        <f>'Base and EE Specs'!$C$30</f>
        <v>64.494180601043368</v>
      </c>
      <c r="AF11" s="49">
        <f t="shared" si="3"/>
        <v>29.621459014084245</v>
      </c>
      <c r="AG11" s="49">
        <f t="shared" si="4"/>
        <v>125.70400747638682</v>
      </c>
      <c r="AH11" s="32" t="s">
        <v>111</v>
      </c>
      <c r="AI11" s="49">
        <f t="shared" si="5"/>
        <v>548.20053510886862</v>
      </c>
      <c r="AJ11" s="49">
        <f t="shared" si="6"/>
        <v>422.49652763248179</v>
      </c>
      <c r="AK11" s="33">
        <f>VLOOKUP($H11,'Lists&amp;Tables'!$B$3:$E$5,'Measure Development'!AK$7,FALSE)</f>
        <v>23000</v>
      </c>
      <c r="AL11" s="33">
        <f>'Base and EE Specs'!$G$21</f>
        <v>75000</v>
      </c>
      <c r="AM11" s="47">
        <f t="shared" si="7"/>
        <v>2.6255707762557079</v>
      </c>
      <c r="AN11" s="47">
        <f t="shared" si="8"/>
        <v>8.5616438356164384</v>
      </c>
      <c r="AO11" s="64">
        <f t="shared" si="22"/>
        <v>8.3333333333333329E-2</v>
      </c>
      <c r="AP11" s="64">
        <f t="shared" si="23"/>
        <v>0.33333333333333331</v>
      </c>
      <c r="AQ11" s="68">
        <f t="shared" si="24"/>
        <v>8.3333333333333321</v>
      </c>
      <c r="AR11" s="68">
        <f t="shared" si="25"/>
        <v>33.333333333333329</v>
      </c>
      <c r="AS11" s="62">
        <f t="shared" si="9"/>
        <v>24.999999999999996</v>
      </c>
      <c r="AT11" s="69">
        <f t="shared" si="26"/>
        <v>447.49652763248179</v>
      </c>
      <c r="AU11" s="69">
        <f t="shared" si="10"/>
        <v>29.621459014084245</v>
      </c>
      <c r="AV11" s="68">
        <f t="shared" si="27"/>
        <v>8.3333333333333321</v>
      </c>
      <c r="AW11" s="69">
        <f t="shared" si="28"/>
        <v>37.95479234741758</v>
      </c>
      <c r="AX11" s="47">
        <f t="shared" si="29"/>
        <v>2.6255707762557079</v>
      </c>
      <c r="AY11" s="47" t="s">
        <v>710</v>
      </c>
      <c r="AZ11" s="32" t="s">
        <v>111</v>
      </c>
      <c r="BA11" s="47">
        <f t="shared" si="30"/>
        <v>0.98668133127146362</v>
      </c>
      <c r="BB11" s="50">
        <f t="shared" si="31"/>
        <v>1326.769464302999</v>
      </c>
      <c r="BC11" s="49">
        <f t="shared" si="32"/>
        <v>441.53646962377445</v>
      </c>
      <c r="BD11" s="49">
        <f t="shared" si="33"/>
        <v>37.449285041481936</v>
      </c>
      <c r="BE11" s="47">
        <f t="shared" si="34"/>
        <v>2.6255707762557079</v>
      </c>
      <c r="BF11" s="32" t="str">
        <f t="shared" si="35"/>
        <v>L</v>
      </c>
    </row>
    <row r="12" spans="2:58">
      <c r="B12" s="32" t="str">
        <f t="shared" si="11"/>
        <v>Retro_PARKING_GARAGE_FIX_REPL_from HPS to BI-LEVEL_LED_FIX</v>
      </c>
      <c r="C12" s="32" t="str">
        <f t="shared" si="12"/>
        <v>Retro_PARKING_GARAGE_FIX_REPL_from HPS to BI-LEVEL_LED_FIX</v>
      </c>
      <c r="D12" s="32" t="s">
        <v>117</v>
      </c>
      <c r="E12" s="32" t="s">
        <v>110</v>
      </c>
      <c r="F12" s="32" t="s">
        <v>118</v>
      </c>
      <c r="G12" s="32" t="s">
        <v>123</v>
      </c>
      <c r="H12" s="32" t="s">
        <v>119</v>
      </c>
      <c r="I12" s="32" t="s">
        <v>121</v>
      </c>
      <c r="J12" s="32" t="s">
        <v>122</v>
      </c>
      <c r="K12" s="32" t="str">
        <f t="shared" si="0"/>
        <v>Retro_PARKING_GARAGE_FIX_REPL_from HPS to BI-LEVEL_LED_FIX</v>
      </c>
      <c r="L12" s="164">
        <f>VLOOKUP(H12,'Base and EE Specs'!$A$53:$M$59,'Measure Development'!L$7,FALSE)</f>
        <v>53.244680851063833</v>
      </c>
      <c r="M12" s="48">
        <f>'Base and EE Specs'!$I$23</f>
        <v>109.01372805340509</v>
      </c>
      <c r="N12" s="32" t="str">
        <f>VLOOKUP(H12,'Lists&amp;Tables'!$B$3:$D$5,N$7,FALSE)</f>
        <v>HPS parking garage fixture</v>
      </c>
      <c r="O12" s="33">
        <f>VLOOKUP(H12,'Lists&amp;Tables'!$B$3:$D$5,O$7,FALSE)</f>
        <v>10000</v>
      </c>
      <c r="P12" s="50">
        <f t="shared" si="13"/>
        <v>10000</v>
      </c>
      <c r="Q12" s="50">
        <f t="shared" si="1"/>
        <v>187.8121878121878</v>
      </c>
      <c r="R12" s="50">
        <f t="shared" si="1"/>
        <v>91.731566093226974</v>
      </c>
      <c r="S12" s="50">
        <f t="shared" si="14"/>
        <v>20.200461894997854</v>
      </c>
      <c r="T12" s="50">
        <f t="shared" si="15"/>
        <v>8760</v>
      </c>
      <c r="U12" s="57">
        <f t="shared" si="2"/>
        <v>0.4366666666666667</v>
      </c>
      <c r="V12" s="33">
        <f t="shared" si="16"/>
        <v>3825.2000000000003</v>
      </c>
      <c r="W12" s="50">
        <f t="shared" si="17"/>
        <v>4934.7999999999993</v>
      </c>
      <c r="X12" s="33">
        <f t="shared" si="18"/>
        <v>1645.2347652347653</v>
      </c>
      <c r="Y12" s="33">
        <f t="shared" si="19"/>
        <v>450.57682597924725</v>
      </c>
      <c r="Z12" s="50">
        <f t="shared" si="20"/>
        <v>1194.6579392555182</v>
      </c>
      <c r="AA12" s="59">
        <f t="shared" si="21"/>
        <v>0.7261321997928043</v>
      </c>
      <c r="AB12" s="62">
        <f>VLOOKUP(H12,'Base and EE Specs'!$A$53:$M$59,'Measure Development'!AB$7,FALSE)</f>
        <v>2.6595896909233172</v>
      </c>
      <c r="AC12" s="62">
        <f>VLOOKUP(H12,'Base and EE Specs'!$A$65:$M$75,AC$7,FALSE)</f>
        <v>12.453123543123544</v>
      </c>
      <c r="AD12" s="32" t="s">
        <v>111</v>
      </c>
      <c r="AE12" s="62">
        <f>'Base and EE Specs'!$C$30</f>
        <v>64.494180601043368</v>
      </c>
      <c r="AF12" s="49">
        <f t="shared" si="3"/>
        <v>26.595896909233172</v>
      </c>
      <c r="AG12" s="49">
        <f t="shared" si="4"/>
        <v>124.53123543123544</v>
      </c>
      <c r="AH12" s="32" t="s">
        <v>111</v>
      </c>
      <c r="AI12" s="49">
        <f t="shared" si="5"/>
        <v>644.94180601043365</v>
      </c>
      <c r="AJ12" s="49">
        <f t="shared" si="6"/>
        <v>644.94180601043365</v>
      </c>
      <c r="AK12" s="33">
        <f>VLOOKUP($H12,'Lists&amp;Tables'!$B$3:$E$5,'Measure Development'!AK$7,FALSE)</f>
        <v>18000</v>
      </c>
      <c r="AL12" s="33">
        <f>'Base and EE Specs'!$G$21</f>
        <v>75000</v>
      </c>
      <c r="AM12" s="47">
        <f t="shared" si="7"/>
        <v>2.0547945205479454</v>
      </c>
      <c r="AN12" s="47">
        <f t="shared" si="8"/>
        <v>8.5616438356164384</v>
      </c>
      <c r="AO12" s="64">
        <f t="shared" si="22"/>
        <v>8.3333333333333329E-2</v>
      </c>
      <c r="AP12" s="64">
        <f t="shared" si="23"/>
        <v>0.33333333333333331</v>
      </c>
      <c r="AQ12" s="68">
        <f t="shared" si="24"/>
        <v>8.3333333333333321</v>
      </c>
      <c r="AR12" s="68">
        <f t="shared" si="25"/>
        <v>33.333333333333329</v>
      </c>
      <c r="AS12" s="62">
        <f t="shared" si="9"/>
        <v>33.333333333333329</v>
      </c>
      <c r="AT12" s="69">
        <f t="shared" si="26"/>
        <v>678.27513934376702</v>
      </c>
      <c r="AU12" s="69">
        <f t="shared" si="10"/>
        <v>26.595896909233172</v>
      </c>
      <c r="AV12" s="68">
        <f t="shared" si="27"/>
        <v>8.3333333333333321</v>
      </c>
      <c r="AW12" s="69">
        <f t="shared" si="28"/>
        <v>34.929230242566504</v>
      </c>
      <c r="AX12" s="47">
        <f t="shared" si="29"/>
        <v>2.0547945205479454</v>
      </c>
      <c r="AY12" s="47" t="s">
        <v>710</v>
      </c>
      <c r="AZ12" s="32" t="s">
        <v>111</v>
      </c>
      <c r="BA12" s="47">
        <f t="shared" si="30"/>
        <v>0.98668133127146362</v>
      </c>
      <c r="BB12" s="50">
        <f t="shared" si="31"/>
        <v>1178.7466859186579</v>
      </c>
      <c r="BC12" s="49">
        <f t="shared" si="32"/>
        <v>669.2414174560455</v>
      </c>
      <c r="BD12" s="49">
        <f t="shared" si="33"/>
        <v>34.464019396022984</v>
      </c>
      <c r="BE12" s="47">
        <f t="shared" si="34"/>
        <v>2.0547945205479454</v>
      </c>
      <c r="BF12" s="32" t="str">
        <f t="shared" si="35"/>
        <v>R</v>
      </c>
    </row>
    <row r="13" spans="2:58">
      <c r="B13" s="32" t="str">
        <f t="shared" si="11"/>
        <v>Retro_PARKING_GARAGE_FIX_REPL_from MH to BI-LEVEL_LED_FIX</v>
      </c>
      <c r="C13" s="32" t="str">
        <f t="shared" si="12"/>
        <v>Retro_PARKING_GARAGE_FIX_REPL_from MH to BI-LEVEL_LED_FIX</v>
      </c>
      <c r="D13" s="32" t="s">
        <v>117</v>
      </c>
      <c r="E13" s="32" t="s">
        <v>110</v>
      </c>
      <c r="F13" s="32" t="s">
        <v>118</v>
      </c>
      <c r="G13" s="32" t="s">
        <v>123</v>
      </c>
      <c r="H13" s="32" t="s">
        <v>120</v>
      </c>
      <c r="I13" s="32" t="s">
        <v>121</v>
      </c>
      <c r="J13" s="32" t="s">
        <v>122</v>
      </c>
      <c r="K13" s="32" t="str">
        <f t="shared" si="0"/>
        <v>Retro_PARKING_GARAGE_FIX_REPL_from MH to BI-LEVEL_LED_FIX</v>
      </c>
      <c r="L13" s="164">
        <f>VLOOKUP(H13,'Base and EE Specs'!$A$53:$M$59,'Measure Development'!L$7,FALSE)</f>
        <v>32.952380952380949</v>
      </c>
      <c r="M13" s="48">
        <f>'Base and EE Specs'!$I$23</f>
        <v>109.01372805340509</v>
      </c>
      <c r="N13" s="32" t="str">
        <f>VLOOKUP(H13,'Lists&amp;Tables'!$B$3:$D$5,N$7,FALSE)</f>
        <v>MH parking garage fixture</v>
      </c>
      <c r="O13" s="33">
        <f>VLOOKUP(H13,'Lists&amp;Tables'!$B$3:$D$5,O$7,FALSE)</f>
        <v>7000</v>
      </c>
      <c r="P13" s="50">
        <f t="shared" si="13"/>
        <v>7000</v>
      </c>
      <c r="Q13" s="50">
        <f t="shared" si="1"/>
        <v>212.42774566473992</v>
      </c>
      <c r="R13" s="50">
        <f t="shared" si="1"/>
        <v>64.212096265258879</v>
      </c>
      <c r="S13" s="50">
        <f t="shared" si="14"/>
        <v>14.140323326498498</v>
      </c>
      <c r="T13" s="50">
        <f t="shared" si="15"/>
        <v>8760</v>
      </c>
      <c r="U13" s="57">
        <f t="shared" si="2"/>
        <v>0.4366666666666667</v>
      </c>
      <c r="V13" s="33">
        <f t="shared" si="16"/>
        <v>3825.2000000000003</v>
      </c>
      <c r="W13" s="50">
        <f t="shared" si="17"/>
        <v>4934.7999999999993</v>
      </c>
      <c r="X13" s="33">
        <f t="shared" si="18"/>
        <v>1860.8670520231215</v>
      </c>
      <c r="Y13" s="33">
        <f t="shared" si="19"/>
        <v>315.40377818547307</v>
      </c>
      <c r="Z13" s="50">
        <f t="shared" si="20"/>
        <v>1545.4632738376483</v>
      </c>
      <c r="AA13" s="59">
        <f t="shared" si="21"/>
        <v>0.83050708655270755</v>
      </c>
      <c r="AB13" s="62">
        <f>VLOOKUP(H13,'Base and EE Specs'!$A$53:$M$59,'Measure Development'!AB$7,FALSE)</f>
        <v>4.3101653712141523</v>
      </c>
      <c r="AC13" s="62">
        <f>VLOOKUP(H13,'Base and EE Specs'!$A$65:$M$75,AC$7,FALSE)</f>
        <v>17.124289980732176</v>
      </c>
      <c r="AD13" s="32" t="s">
        <v>111</v>
      </c>
      <c r="AE13" s="62">
        <f>'Base and EE Specs'!$C$30</f>
        <v>64.494180601043368</v>
      </c>
      <c r="AF13" s="49">
        <f t="shared" si="3"/>
        <v>30.171157598499065</v>
      </c>
      <c r="AG13" s="49">
        <f t="shared" si="4"/>
        <v>119.87002986512523</v>
      </c>
      <c r="AH13" s="32" t="s">
        <v>111</v>
      </c>
      <c r="AI13" s="49">
        <f t="shared" si="5"/>
        <v>451.45926420730359</v>
      </c>
      <c r="AJ13" s="49">
        <f t="shared" si="6"/>
        <v>451.45926420730359</v>
      </c>
      <c r="AK13" s="33">
        <f>VLOOKUP($H13,'Lists&amp;Tables'!$B$3:$E$5,'Measure Development'!AK$7,FALSE)</f>
        <v>28000</v>
      </c>
      <c r="AL13" s="33">
        <f>'Base and EE Specs'!$G$21</f>
        <v>75000</v>
      </c>
      <c r="AM13" s="47">
        <f t="shared" si="7"/>
        <v>3.1963470319634704</v>
      </c>
      <c r="AN13" s="47">
        <f t="shared" si="8"/>
        <v>8.5616438356164384</v>
      </c>
      <c r="AO13" s="64">
        <f t="shared" si="22"/>
        <v>8.3333333333333329E-2</v>
      </c>
      <c r="AP13" s="64">
        <f t="shared" si="23"/>
        <v>0.33333333333333331</v>
      </c>
      <c r="AQ13" s="68">
        <f t="shared" si="24"/>
        <v>8.3333333333333321</v>
      </c>
      <c r="AR13" s="68">
        <f t="shared" si="25"/>
        <v>33.333333333333329</v>
      </c>
      <c r="AS13" s="62">
        <f t="shared" si="9"/>
        <v>33.333333333333329</v>
      </c>
      <c r="AT13" s="69">
        <f t="shared" si="26"/>
        <v>484.7925975406369</v>
      </c>
      <c r="AU13" s="69">
        <f t="shared" si="10"/>
        <v>30.171157598499065</v>
      </c>
      <c r="AV13" s="68">
        <f t="shared" si="27"/>
        <v>8.3333333333333321</v>
      </c>
      <c r="AW13" s="69">
        <f t="shared" si="28"/>
        <v>38.504490931832393</v>
      </c>
      <c r="AX13" s="47">
        <f t="shared" si="29"/>
        <v>3.1963470319634704</v>
      </c>
      <c r="AY13" s="47" t="s">
        <v>710</v>
      </c>
      <c r="AZ13" s="32" t="s">
        <v>111</v>
      </c>
      <c r="BA13" s="47">
        <f t="shared" si="30"/>
        <v>0.98668133127146362</v>
      </c>
      <c r="BB13" s="50">
        <f t="shared" si="31"/>
        <v>1524.8797604612853</v>
      </c>
      <c r="BC13" s="49">
        <f t="shared" si="32"/>
        <v>478.33580553194651</v>
      </c>
      <c r="BD13" s="49">
        <f t="shared" si="33"/>
        <v>37.991662372550387</v>
      </c>
      <c r="BE13" s="47">
        <f t="shared" si="34"/>
        <v>3.1963470319634704</v>
      </c>
      <c r="BF13" s="32" t="str">
        <f t="shared" si="35"/>
        <v>R</v>
      </c>
    </row>
    <row r="14" spans="2:58">
      <c r="B14" s="32" t="str">
        <f t="shared" si="11"/>
        <v>Retro_PARKING_GARAGE_FIX_REPL_from HID to BI-LEVEL_LED_FIX</v>
      </c>
      <c r="C14" s="32" t="str">
        <f t="shared" si="12"/>
        <v>Retro_PARKING_GARAGE_FIX_REPL_from HID to BI-LEVEL_LED_FIX</v>
      </c>
      <c r="D14" s="32" t="s">
        <v>117</v>
      </c>
      <c r="E14" s="32" t="s">
        <v>110</v>
      </c>
      <c r="F14" s="32" t="s">
        <v>118</v>
      </c>
      <c r="G14" s="32" t="s">
        <v>123</v>
      </c>
      <c r="H14" s="32" t="s">
        <v>124</v>
      </c>
      <c r="I14" s="32" t="s">
        <v>121</v>
      </c>
      <c r="J14" s="32" t="s">
        <v>122</v>
      </c>
      <c r="K14" s="32" t="str">
        <f t="shared" si="0"/>
        <v>Retro_PARKING_GARAGE_FIX_REPL_from HID to BI-LEVEL_LED_FIX</v>
      </c>
      <c r="L14" s="164">
        <f>VLOOKUP(H14,'Base and EE Specs'!$A$53:$M$59,'Measure Development'!L$7,FALSE)</f>
        <v>43.098530901722391</v>
      </c>
      <c r="M14" s="48">
        <f>'Base and EE Specs'!$I$23</f>
        <v>109.01372805340509</v>
      </c>
      <c r="N14" s="32" t="str">
        <f>VLOOKUP(H14,'Lists&amp;Tables'!$B$3:$D$5,N$7,FALSE)</f>
        <v>HID parking garage fixture</v>
      </c>
      <c r="O14" s="33">
        <f>VLOOKUP(H14,'Lists&amp;Tables'!$B$3:$D$5,O$7,FALSE)</f>
        <v>8500</v>
      </c>
      <c r="P14" s="50">
        <f t="shared" si="13"/>
        <v>8500</v>
      </c>
      <c r="Q14" s="50">
        <f t="shared" si="1"/>
        <v>197.22249975022478</v>
      </c>
      <c r="R14" s="50">
        <f t="shared" si="1"/>
        <v>77.971831179242926</v>
      </c>
      <c r="S14" s="50">
        <f t="shared" si="14"/>
        <v>17.170392610748177</v>
      </c>
      <c r="T14" s="50">
        <f t="shared" si="15"/>
        <v>8760</v>
      </c>
      <c r="U14" s="57">
        <f t="shared" si="2"/>
        <v>0.4366666666666667</v>
      </c>
      <c r="V14" s="33">
        <f t="shared" si="16"/>
        <v>3825.2000000000003</v>
      </c>
      <c r="W14" s="50">
        <f t="shared" si="17"/>
        <v>4934.7999999999993</v>
      </c>
      <c r="X14" s="33">
        <f t="shared" si="18"/>
        <v>1727.6690978119691</v>
      </c>
      <c r="Y14" s="33">
        <f t="shared" si="19"/>
        <v>382.99030208236019</v>
      </c>
      <c r="Z14" s="50">
        <f t="shared" si="20"/>
        <v>1344.678795729609</v>
      </c>
      <c r="AA14" s="59">
        <f t="shared" si="21"/>
        <v>0.77831964317275593</v>
      </c>
      <c r="AB14" s="62">
        <f>VLOOKUP(H14,'Base and EE Specs'!$A$53:$M$59,'Measure Development'!AB$7,FALSE)</f>
        <v>3.4848775310687348</v>
      </c>
      <c r="AC14" s="62">
        <f>VLOOKUP(H14,'Base and EE Specs'!$A$65:$M$75,AC$7,FALSE)</f>
        <v>14.788706761927861</v>
      </c>
      <c r="AD14" s="32" t="s">
        <v>111</v>
      </c>
      <c r="AE14" s="62">
        <f>'Base and EE Specs'!$C$30</f>
        <v>64.494180601043368</v>
      </c>
      <c r="AF14" s="49">
        <f t="shared" si="3"/>
        <v>29.621459014084245</v>
      </c>
      <c r="AG14" s="49">
        <f t="shared" si="4"/>
        <v>125.70400747638682</v>
      </c>
      <c r="AH14" s="32" t="s">
        <v>111</v>
      </c>
      <c r="AI14" s="49">
        <f t="shared" si="5"/>
        <v>548.20053510886862</v>
      </c>
      <c r="AJ14" s="49">
        <f t="shared" si="6"/>
        <v>548.20053510886862</v>
      </c>
      <c r="AK14" s="33">
        <f>VLOOKUP($H14,'Lists&amp;Tables'!$B$3:$E$5,'Measure Development'!AK$7,FALSE)</f>
        <v>23000</v>
      </c>
      <c r="AL14" s="33">
        <f>'Base and EE Specs'!$G$21</f>
        <v>75000</v>
      </c>
      <c r="AM14" s="47">
        <f t="shared" si="7"/>
        <v>2.6255707762557079</v>
      </c>
      <c r="AN14" s="47">
        <f t="shared" si="8"/>
        <v>8.5616438356164384</v>
      </c>
      <c r="AO14" s="64">
        <f t="shared" si="22"/>
        <v>8.3333333333333329E-2</v>
      </c>
      <c r="AP14" s="64">
        <f t="shared" si="23"/>
        <v>0.33333333333333331</v>
      </c>
      <c r="AQ14" s="68">
        <f t="shared" si="24"/>
        <v>8.3333333333333321</v>
      </c>
      <c r="AR14" s="68">
        <f t="shared" si="25"/>
        <v>33.333333333333329</v>
      </c>
      <c r="AS14" s="62">
        <f t="shared" si="9"/>
        <v>33.333333333333329</v>
      </c>
      <c r="AT14" s="69">
        <f t="shared" si="26"/>
        <v>581.53386844220199</v>
      </c>
      <c r="AU14" s="69">
        <f t="shared" si="10"/>
        <v>29.621459014084245</v>
      </c>
      <c r="AV14" s="68">
        <f t="shared" si="27"/>
        <v>8.3333333333333321</v>
      </c>
      <c r="AW14" s="69">
        <f t="shared" si="28"/>
        <v>37.95479234741758</v>
      </c>
      <c r="AX14" s="47">
        <f t="shared" si="29"/>
        <v>2.6255707762557079</v>
      </c>
      <c r="AY14" s="47" t="s">
        <v>710</v>
      </c>
      <c r="AZ14" s="32" t="s">
        <v>111</v>
      </c>
      <c r="BA14" s="47">
        <f t="shared" si="30"/>
        <v>0.98668133127146362</v>
      </c>
      <c r="BB14" s="50">
        <f t="shared" si="31"/>
        <v>1326.769464302999</v>
      </c>
      <c r="BC14" s="49">
        <f t="shared" si="32"/>
        <v>573.78861149399609</v>
      </c>
      <c r="BD14" s="49">
        <f t="shared" si="33"/>
        <v>37.449285041481936</v>
      </c>
      <c r="BE14" s="47">
        <f t="shared" si="34"/>
        <v>2.6255707762557079</v>
      </c>
      <c r="BF14" s="32" t="str">
        <f t="shared" si="35"/>
        <v>R</v>
      </c>
    </row>
    <row r="15" spans="2:58">
      <c r="V15" s="60"/>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dimension ref="A2:AC75"/>
  <sheetViews>
    <sheetView topLeftCell="A40" workbookViewId="0">
      <selection activeCell="J59" sqref="J59"/>
    </sheetView>
  </sheetViews>
  <sheetFormatPr defaultRowHeight="15"/>
  <cols>
    <col min="1" max="1" width="10" customWidth="1"/>
    <col min="2" max="2" width="21.140625" customWidth="1"/>
    <col min="4" max="4" width="12.85546875" customWidth="1"/>
    <col min="5" max="5" width="16.7109375" customWidth="1"/>
    <col min="6" max="6" width="9.85546875" customWidth="1"/>
    <col min="7" max="7" width="12" customWidth="1"/>
    <col min="8" max="8" width="13.140625" customWidth="1"/>
    <col min="9" max="9" width="14.28515625" customWidth="1"/>
    <col min="10" max="10" width="15.28515625" customWidth="1"/>
    <col min="11" max="11" width="13.140625" customWidth="1"/>
    <col min="12" max="12" width="11.7109375" customWidth="1"/>
    <col min="19" max="19" width="9.7109375" customWidth="1"/>
    <col min="20" max="20" width="10.42578125" customWidth="1"/>
    <col min="22" max="22" width="11.42578125" customWidth="1"/>
  </cols>
  <sheetData>
    <row r="2" spans="2:28">
      <c r="O2" s="10" t="s">
        <v>17</v>
      </c>
      <c r="P2">
        <v>0.97399999999999998</v>
      </c>
    </row>
    <row r="3" spans="2:28">
      <c r="O3" s="10" t="s">
        <v>24</v>
      </c>
    </row>
    <row r="4" spans="2:28">
      <c r="O4" s="10" t="s">
        <v>128</v>
      </c>
      <c r="P4">
        <v>1.0375601721277092</v>
      </c>
    </row>
    <row r="5" spans="2:28">
      <c r="O5" s="10" t="s">
        <v>24</v>
      </c>
    </row>
    <row r="6" spans="2:28">
      <c r="O6" s="10"/>
    </row>
    <row r="7" spans="2:28">
      <c r="O7" s="10" t="s">
        <v>40</v>
      </c>
      <c r="P7" s="1">
        <v>0.86915887850467288</v>
      </c>
      <c r="Q7" t="s">
        <v>41</v>
      </c>
    </row>
    <row r="8" spans="2:28">
      <c r="O8" s="10" t="s">
        <v>47</v>
      </c>
      <c r="P8" s="1">
        <v>0.81005788606478368</v>
      </c>
      <c r="Q8" t="s">
        <v>41</v>
      </c>
    </row>
    <row r="9" spans="2:28">
      <c r="O9" s="10"/>
      <c r="P9" s="1"/>
    </row>
    <row r="10" spans="2:28">
      <c r="B10" s="19" t="s">
        <v>37</v>
      </c>
      <c r="C10" s="19"/>
      <c r="D10" s="19"/>
      <c r="E10" s="19"/>
      <c r="F10" s="19"/>
      <c r="G10" s="19"/>
      <c r="H10" s="19"/>
      <c r="I10" s="19"/>
      <c r="J10" s="19"/>
      <c r="K10" s="19"/>
      <c r="L10" s="19"/>
      <c r="M10" s="19"/>
      <c r="N10" s="19"/>
      <c r="O10" s="19"/>
      <c r="P10" s="19"/>
      <c r="Q10" s="19"/>
      <c r="R10" s="19"/>
      <c r="S10" s="19"/>
      <c r="T10" s="18"/>
      <c r="U10" s="18"/>
      <c r="V10" s="18"/>
      <c r="W10" s="18"/>
      <c r="X10" s="18"/>
      <c r="Y10" s="18"/>
      <c r="Z10" s="18"/>
      <c r="AA10" s="18"/>
      <c r="AB10" s="18"/>
    </row>
    <row r="12" spans="2:28">
      <c r="B12" t="s">
        <v>18</v>
      </c>
    </row>
    <row r="14" spans="2:28">
      <c r="B14" s="15" t="s">
        <v>26</v>
      </c>
    </row>
    <row r="15" spans="2:28">
      <c r="B15" t="s">
        <v>20</v>
      </c>
      <c r="C15" s="6">
        <v>724.99</v>
      </c>
      <c r="D15" t="s">
        <v>19</v>
      </c>
    </row>
    <row r="16" spans="2:28">
      <c r="B16" t="s">
        <v>21</v>
      </c>
      <c r="C16" s="12">
        <v>67</v>
      </c>
      <c r="D16" s="11" t="s">
        <v>22</v>
      </c>
    </row>
    <row r="17" spans="2:10">
      <c r="B17" s="10" t="s">
        <v>23</v>
      </c>
      <c r="C17" s="13">
        <f>SUM(C15:C16)</f>
        <v>791.99</v>
      </c>
    </row>
    <row r="19" spans="2:10">
      <c r="B19" s="15" t="s">
        <v>27</v>
      </c>
    </row>
    <row r="20" spans="2:10" ht="45">
      <c r="C20" s="20" t="s">
        <v>30</v>
      </c>
      <c r="D20" s="21" t="s">
        <v>31</v>
      </c>
      <c r="E20" s="21" t="s">
        <v>32</v>
      </c>
      <c r="F20" s="21" t="s">
        <v>33</v>
      </c>
      <c r="G20" s="21" t="s">
        <v>34</v>
      </c>
      <c r="H20" s="21" t="s">
        <v>35</v>
      </c>
      <c r="I20" s="21" t="s">
        <v>38</v>
      </c>
      <c r="J20" s="21" t="s">
        <v>16</v>
      </c>
    </row>
    <row r="21" spans="2:10">
      <c r="B21" t="s">
        <v>28</v>
      </c>
      <c r="C21">
        <v>71</v>
      </c>
      <c r="D21">
        <v>7147</v>
      </c>
      <c r="E21">
        <v>0.92</v>
      </c>
      <c r="F21" s="3">
        <f>E21*D21</f>
        <v>6575.2400000000007</v>
      </c>
      <c r="G21" s="3">
        <v>75000</v>
      </c>
      <c r="H21" s="22">
        <f>F21/C21</f>
        <v>92.609014084507052</v>
      </c>
      <c r="I21" s="16">
        <f>H21/$P$7</f>
        <v>106.55015598970166</v>
      </c>
      <c r="J21" s="9" t="s">
        <v>36</v>
      </c>
    </row>
    <row r="22" spans="2:10">
      <c r="B22" t="s">
        <v>29</v>
      </c>
      <c r="C22">
        <v>101</v>
      </c>
      <c r="D22">
        <v>10637</v>
      </c>
      <c r="E22">
        <v>0.92</v>
      </c>
      <c r="F22" s="3">
        <f>E22*D22</f>
        <v>9786.0400000000009</v>
      </c>
      <c r="G22" s="3">
        <v>75000</v>
      </c>
      <c r="H22" s="22">
        <f>F22/C22</f>
        <v>96.89148514851486</v>
      </c>
      <c r="I22" s="16">
        <f>H22/$P$7</f>
        <v>111.4773001171085</v>
      </c>
      <c r="J22" s="9"/>
    </row>
    <row r="23" spans="2:10">
      <c r="G23" s="10" t="s">
        <v>39</v>
      </c>
      <c r="H23" s="25">
        <f>AVERAGE(H21:H22)</f>
        <v>94.750249616510956</v>
      </c>
      <c r="I23" s="23">
        <f>AVERAGE(I21:I22)</f>
        <v>109.01372805340509</v>
      </c>
    </row>
    <row r="25" spans="2:10">
      <c r="B25" s="15" t="s">
        <v>45</v>
      </c>
    </row>
    <row r="26" spans="2:10">
      <c r="B26" s="10" t="s">
        <v>114</v>
      </c>
      <c r="C26" s="14">
        <f>C17*P2</f>
        <v>771.39825999999994</v>
      </c>
      <c r="D26" t="s">
        <v>25</v>
      </c>
    </row>
    <row r="27" spans="2:10">
      <c r="B27" s="10" t="s">
        <v>46</v>
      </c>
      <c r="C27" s="24">
        <f>AVERAGE(C26,'CLTC Studies'!Q48,'CLTC Studies'!Q72)</f>
        <v>846.13275333333331</v>
      </c>
      <c r="D27" t="s">
        <v>25</v>
      </c>
    </row>
    <row r="28" spans="2:10">
      <c r="B28" s="10" t="s">
        <v>42</v>
      </c>
      <c r="C28" s="8">
        <f>C27-C16</f>
        <v>779.13275333333331</v>
      </c>
      <c r="D28" t="s">
        <v>25</v>
      </c>
    </row>
    <row r="29" spans="2:10">
      <c r="B29" s="10" t="s">
        <v>43</v>
      </c>
      <c r="C29" s="7">
        <f>C28/(F22/1000)</f>
        <v>79.616755432568553</v>
      </c>
      <c r="D29" t="s">
        <v>25</v>
      </c>
    </row>
    <row r="30" spans="2:10">
      <c r="B30" s="10" t="s">
        <v>44</v>
      </c>
      <c r="C30" s="17">
        <f>C29*$P$8</f>
        <v>64.494180601043368</v>
      </c>
      <c r="D30" t="s">
        <v>25</v>
      </c>
      <c r="E30" t="s">
        <v>126</v>
      </c>
    </row>
    <row r="33" spans="1:29">
      <c r="B33" s="19" t="s">
        <v>48</v>
      </c>
      <c r="C33" s="19"/>
      <c r="D33" s="19"/>
      <c r="E33" s="19"/>
      <c r="F33" s="19"/>
      <c r="G33" s="19"/>
      <c r="H33" s="19"/>
      <c r="I33" s="19"/>
      <c r="J33" s="19"/>
      <c r="K33" s="19"/>
      <c r="L33" s="19"/>
      <c r="M33" s="19"/>
      <c r="N33" s="19"/>
      <c r="O33" s="19"/>
      <c r="P33" s="19"/>
      <c r="Q33" s="19"/>
      <c r="R33" s="19"/>
      <c r="S33" s="19"/>
      <c r="T33" s="18"/>
      <c r="U33" s="18"/>
      <c r="V33" s="18"/>
      <c r="W33" s="18"/>
      <c r="X33" s="18"/>
      <c r="Y33" s="18"/>
      <c r="Z33" s="18"/>
      <c r="AA33" s="18"/>
      <c r="AB33" s="18"/>
    </row>
    <row r="35" spans="1:29">
      <c r="B35" t="s">
        <v>112</v>
      </c>
    </row>
    <row r="36" spans="1:29">
      <c r="B36" t="s">
        <v>113</v>
      </c>
    </row>
    <row r="38" spans="1:29">
      <c r="C38">
        <v>2010</v>
      </c>
      <c r="D38">
        <v>2010</v>
      </c>
      <c r="G38">
        <v>2010</v>
      </c>
      <c r="I38" t="s">
        <v>49</v>
      </c>
      <c r="J38" s="26" t="s">
        <v>50</v>
      </c>
      <c r="K38" s="26" t="s">
        <v>51</v>
      </c>
      <c r="M38" s="53"/>
      <c r="N38" s="53"/>
      <c r="O38" s="53"/>
      <c r="P38" s="53"/>
      <c r="Q38" s="53"/>
      <c r="R38" s="53"/>
      <c r="S38" s="53"/>
      <c r="T38" s="53"/>
      <c r="U38" s="53"/>
      <c r="V38" s="170"/>
      <c r="W38" s="170"/>
      <c r="X38" s="170"/>
      <c r="Y38" s="170"/>
      <c r="Z38" s="170"/>
      <c r="AA38" s="171"/>
      <c r="AB38" s="170"/>
      <c r="AC38" s="53"/>
    </row>
    <row r="39" spans="1:29">
      <c r="B39" s="27"/>
      <c r="C39" s="353" t="s">
        <v>52</v>
      </c>
      <c r="D39" s="354"/>
      <c r="E39" s="354"/>
      <c r="F39" s="354"/>
      <c r="G39" s="354"/>
      <c r="H39" s="354"/>
      <c r="I39" s="355"/>
      <c r="J39" s="356" t="s">
        <v>53</v>
      </c>
      <c r="K39" s="356"/>
      <c r="L39" s="356"/>
      <c r="M39" s="180"/>
      <c r="N39" s="180"/>
      <c r="O39" s="180"/>
      <c r="P39" s="180"/>
      <c r="Q39" s="180"/>
      <c r="R39" s="180"/>
      <c r="S39" s="53"/>
      <c r="T39" s="172"/>
      <c r="U39" s="53"/>
      <c r="V39" s="53"/>
      <c r="W39" s="53"/>
      <c r="X39" s="53"/>
      <c r="Y39" s="53"/>
      <c r="Z39" s="53"/>
      <c r="AA39" s="53"/>
      <c r="AB39" s="53"/>
      <c r="AC39" s="53"/>
    </row>
    <row r="40" spans="1:29" ht="51">
      <c r="B40" s="28"/>
      <c r="C40" s="31" t="s">
        <v>54</v>
      </c>
      <c r="D40" s="29" t="s">
        <v>55</v>
      </c>
      <c r="E40" s="29" t="s">
        <v>56</v>
      </c>
      <c r="F40" s="29" t="s">
        <v>57</v>
      </c>
      <c r="G40" s="30" t="s">
        <v>58</v>
      </c>
      <c r="H40" s="30" t="s">
        <v>59</v>
      </c>
      <c r="I40" s="30" t="s">
        <v>60</v>
      </c>
      <c r="J40" s="182" t="s">
        <v>61</v>
      </c>
      <c r="K40" s="183" t="s">
        <v>62</v>
      </c>
      <c r="L40" s="183" t="s">
        <v>63</v>
      </c>
      <c r="M40" s="173"/>
      <c r="N40" s="174"/>
      <c r="O40" s="175"/>
      <c r="P40" s="175"/>
      <c r="Q40" s="175"/>
      <c r="R40" s="175"/>
      <c r="S40" s="181"/>
      <c r="T40" s="181"/>
      <c r="U40" s="181"/>
      <c r="V40" s="181"/>
      <c r="W40" s="181"/>
      <c r="X40" s="181"/>
      <c r="Y40" s="181"/>
      <c r="Z40" s="181"/>
      <c r="AA40" s="181"/>
      <c r="AB40" s="181"/>
      <c r="AC40" s="53"/>
    </row>
    <row r="41" spans="1:29">
      <c r="A41" s="45" t="s">
        <v>127</v>
      </c>
      <c r="B41" s="28"/>
      <c r="C41" s="31"/>
      <c r="D41" s="29"/>
      <c r="E41" s="29"/>
      <c r="F41" s="29"/>
      <c r="G41" s="30"/>
      <c r="H41" s="30"/>
      <c r="I41" s="30"/>
      <c r="J41" s="182"/>
      <c r="K41" s="183"/>
      <c r="L41" s="183"/>
      <c r="M41" s="173"/>
      <c r="N41" s="174"/>
      <c r="O41" s="175"/>
      <c r="P41" s="175"/>
      <c r="Q41" s="175"/>
      <c r="R41" s="175"/>
      <c r="S41" s="176"/>
      <c r="T41" s="176"/>
      <c r="U41" s="176"/>
      <c r="V41" s="176"/>
      <c r="W41" s="176"/>
      <c r="X41" s="176"/>
      <c r="Y41" s="176"/>
      <c r="Z41" s="176"/>
      <c r="AA41" s="176"/>
      <c r="AB41" s="176"/>
      <c r="AC41" s="176"/>
    </row>
    <row r="42" spans="1:29">
      <c r="A42" s="45" t="s">
        <v>120</v>
      </c>
      <c r="B42" s="32" t="str">
        <f>'[5]DOE Conventional Tech Specs'!B28</f>
        <v>Metal Halide</v>
      </c>
      <c r="C42" s="32">
        <f>'[5]DOE Conventional Tech Specs'!C28</f>
        <v>349.5</v>
      </c>
      <c r="D42" s="32">
        <f>'[5]DOE Conventional Tech Specs'!D28</f>
        <v>72.8</v>
      </c>
      <c r="E42" s="32">
        <f>'[5]DOE Conventional Tech Specs'!E28</f>
        <v>1</v>
      </c>
      <c r="F42" s="32">
        <f>'[5]DOE Conventional Tech Specs'!F28</f>
        <v>29101.477345657764</v>
      </c>
      <c r="G42" s="32">
        <f>'[5]DOE Conventional Tech Specs'!G28</f>
        <v>1</v>
      </c>
      <c r="H42" s="32">
        <f>'[5]DOE Conventional Tech Specs'!H28</f>
        <v>0.87430612878477942</v>
      </c>
      <c r="I42" s="40">
        <v>0.8</v>
      </c>
      <c r="J42" s="184">
        <f>'[5]DOE Conventional Tech Specs'!J28</f>
        <v>18</v>
      </c>
      <c r="K42" s="32">
        <f>'[5]DOE Conventional Tech Specs'!K28</f>
        <v>75</v>
      </c>
      <c r="L42" s="32">
        <f>'[5]DOE Conventional Tech Specs'!L28</f>
        <v>100</v>
      </c>
      <c r="M42" s="53"/>
      <c r="N42" s="53"/>
      <c r="O42" s="53"/>
      <c r="P42" s="53"/>
      <c r="Q42" s="53"/>
      <c r="R42" s="53"/>
      <c r="S42" s="52"/>
      <c r="T42" s="52"/>
      <c r="U42" s="52"/>
      <c r="V42" s="52"/>
      <c r="W42" s="177"/>
      <c r="X42" s="177"/>
      <c r="Y42" s="177"/>
      <c r="Z42" s="177"/>
      <c r="AA42" s="177"/>
      <c r="AB42" s="177"/>
      <c r="AC42" s="60"/>
    </row>
    <row r="43" spans="1:29">
      <c r="A43" s="45" t="s">
        <v>119</v>
      </c>
      <c r="B43" s="32" t="str">
        <f>'[5]DOE Conventional Tech Specs'!B29</f>
        <v>High Pressure Sodium</v>
      </c>
      <c r="C43" s="32">
        <f>'[5]DOE Conventional Tech Specs'!C29</f>
        <v>356.3</v>
      </c>
      <c r="D43" s="32">
        <f>'[5]DOE Conventional Tech Specs'!D29</f>
        <v>107.5</v>
      </c>
      <c r="E43" s="32">
        <f>'[5]DOE Conventional Tech Specs'!E29</f>
        <v>1</v>
      </c>
      <c r="F43" s="32">
        <f>'[5]DOE Conventional Tech Specs'!F29</f>
        <v>45361.812354863032</v>
      </c>
      <c r="G43" s="32">
        <f>'[5]DOE Conventional Tech Specs'!G29</f>
        <v>1</v>
      </c>
      <c r="H43" s="32">
        <f>'[5]DOE Conventional Tech Specs'!H29</f>
        <v>0.8443721273824677</v>
      </c>
      <c r="I43" s="40">
        <v>0.7</v>
      </c>
      <c r="J43" s="184">
        <f>'[5]DOE Conventional Tech Specs'!J29</f>
        <v>28</v>
      </c>
      <c r="K43" s="32">
        <f>'[5]DOE Conventional Tech Specs'!K29</f>
        <v>75</v>
      </c>
      <c r="L43" s="32">
        <f>'[5]DOE Conventional Tech Specs'!L29</f>
        <v>100</v>
      </c>
      <c r="M43" s="53"/>
      <c r="N43" s="53"/>
      <c r="O43" s="53"/>
      <c r="P43" s="53"/>
      <c r="Q43" s="53"/>
      <c r="R43" s="53"/>
      <c r="S43" s="52"/>
      <c r="T43" s="52"/>
      <c r="U43" s="52"/>
      <c r="V43" s="52"/>
      <c r="W43" s="177"/>
      <c r="X43" s="177"/>
      <c r="Y43" s="177"/>
      <c r="Z43" s="177"/>
      <c r="AA43" s="177"/>
      <c r="AB43" s="177"/>
      <c r="AC43" s="60"/>
    </row>
    <row r="44" spans="1:29">
      <c r="A44" s="45" t="s">
        <v>124</v>
      </c>
      <c r="B44" t="s">
        <v>115</v>
      </c>
      <c r="J44" s="161">
        <f>AVERAGE(J42:J43)</f>
        <v>23</v>
      </c>
      <c r="M44" s="53"/>
      <c r="N44" s="53"/>
      <c r="O44" s="53"/>
      <c r="P44" s="53"/>
      <c r="Q44" s="53"/>
      <c r="R44" s="53"/>
      <c r="S44" s="53"/>
      <c r="T44" s="53"/>
      <c r="U44" s="53"/>
      <c r="V44" s="178"/>
      <c r="W44" s="179"/>
      <c r="X44" s="179"/>
      <c r="Y44" s="179"/>
      <c r="Z44" s="179"/>
      <c r="AA44" s="179"/>
      <c r="AB44" s="179"/>
      <c r="AC44" s="53"/>
    </row>
    <row r="47" spans="1:29">
      <c r="B47" t="s">
        <v>412</v>
      </c>
    </row>
    <row r="48" spans="1:29">
      <c r="B48" s="45">
        <v>2</v>
      </c>
      <c r="C48" s="45">
        <v>3</v>
      </c>
      <c r="D48" s="45">
        <v>4</v>
      </c>
      <c r="E48" s="45">
        <v>5</v>
      </c>
      <c r="F48" s="45">
        <v>6</v>
      </c>
      <c r="G48" s="45">
        <v>7</v>
      </c>
      <c r="H48" s="45">
        <v>8</v>
      </c>
      <c r="I48" s="45">
        <v>9</v>
      </c>
      <c r="J48" s="45">
        <v>10</v>
      </c>
      <c r="K48" s="45">
        <v>11</v>
      </c>
      <c r="L48" s="45">
        <v>12</v>
      </c>
      <c r="M48" s="45">
        <v>13</v>
      </c>
    </row>
    <row r="49" spans="1:15" ht="45">
      <c r="B49" s="144" t="s">
        <v>413</v>
      </c>
      <c r="C49" s="144" t="s">
        <v>414</v>
      </c>
      <c r="D49" s="145" t="s">
        <v>415</v>
      </c>
      <c r="E49" s="144" t="s">
        <v>416</v>
      </c>
      <c r="F49" s="144" t="s">
        <v>426</v>
      </c>
      <c r="G49" s="145" t="s">
        <v>439</v>
      </c>
      <c r="H49" s="145" t="s">
        <v>15</v>
      </c>
      <c r="I49" s="145" t="s">
        <v>427</v>
      </c>
      <c r="J49" s="145" t="s">
        <v>417</v>
      </c>
      <c r="K49" s="145" t="s">
        <v>418</v>
      </c>
      <c r="L49" s="145" t="s">
        <v>419</v>
      </c>
      <c r="M49" s="145" t="s">
        <v>435</v>
      </c>
      <c r="N49" s="144" t="s">
        <v>16</v>
      </c>
      <c r="O49" s="144" t="s">
        <v>420</v>
      </c>
    </row>
    <row r="50" spans="1:15">
      <c r="B50" s="15" t="s">
        <v>422</v>
      </c>
      <c r="C50" s="151"/>
      <c r="D50" s="151"/>
      <c r="E50" s="151"/>
      <c r="F50" s="151"/>
      <c r="I50" s="151"/>
      <c r="J50" s="168"/>
      <c r="K50" s="152" t="s">
        <v>423</v>
      </c>
      <c r="L50" s="152" t="s">
        <v>423</v>
      </c>
      <c r="M50" s="152" t="s">
        <v>423</v>
      </c>
    </row>
    <row r="51" spans="1:15">
      <c r="B51" t="s">
        <v>424</v>
      </c>
      <c r="C51">
        <v>150</v>
      </c>
      <c r="D51">
        <v>188</v>
      </c>
      <c r="E51" t="s">
        <v>428</v>
      </c>
      <c r="F51" s="3">
        <v>14200</v>
      </c>
      <c r="G51">
        <v>0.7</v>
      </c>
      <c r="H51" s="4">
        <f>G51*F51</f>
        <v>9940</v>
      </c>
      <c r="I51" s="4">
        <f>F51/D51</f>
        <v>75.531914893617028</v>
      </c>
      <c r="J51" s="35">
        <f>H51/D51</f>
        <v>52.872340425531917</v>
      </c>
      <c r="K51" s="6">
        <v>23.33</v>
      </c>
      <c r="L51" s="6">
        <f>K51*$P$2</f>
        <v>22.723419999999997</v>
      </c>
      <c r="M51" s="36">
        <f>L51/(H51/1000)</f>
        <v>2.2860583501006033</v>
      </c>
      <c r="N51" t="s">
        <v>421</v>
      </c>
      <c r="O51" s="9" t="s">
        <v>430</v>
      </c>
    </row>
    <row r="52" spans="1:15">
      <c r="B52" t="s">
        <v>424</v>
      </c>
      <c r="C52">
        <v>150</v>
      </c>
      <c r="D52">
        <v>188</v>
      </c>
      <c r="E52" t="s">
        <v>429</v>
      </c>
      <c r="F52" s="3">
        <v>14400</v>
      </c>
      <c r="G52">
        <v>0.7</v>
      </c>
      <c r="H52" s="4">
        <f>G52*F52</f>
        <v>10080</v>
      </c>
      <c r="I52" s="4">
        <f>F52/D52</f>
        <v>76.59574468085107</v>
      </c>
      <c r="J52" s="35">
        <f>H52/D52</f>
        <v>53.617021276595743</v>
      </c>
      <c r="K52" s="6">
        <v>31.39</v>
      </c>
      <c r="L52" s="6">
        <f>K52*$P$2</f>
        <v>30.57386</v>
      </c>
      <c r="M52" s="36">
        <f>L52/(H52/1000)</f>
        <v>3.0331210317460315</v>
      </c>
      <c r="N52" t="s">
        <v>421</v>
      </c>
      <c r="O52" s="9" t="s">
        <v>431</v>
      </c>
    </row>
    <row r="53" spans="1:15">
      <c r="A53" s="45" t="s">
        <v>119</v>
      </c>
      <c r="B53" s="156" t="s">
        <v>432</v>
      </c>
      <c r="C53" s="156"/>
      <c r="D53" s="156"/>
      <c r="E53" s="156"/>
      <c r="F53" s="159"/>
      <c r="H53" s="166">
        <f>AVERAGE(H51:H52)</f>
        <v>10010</v>
      </c>
      <c r="I53" s="160"/>
      <c r="J53" s="162">
        <f>AVERAGE(J51:J52)</f>
        <v>53.244680851063833</v>
      </c>
      <c r="K53" s="157"/>
      <c r="L53" s="157"/>
      <c r="M53" s="163">
        <f>AVERAGE(M51:M52)</f>
        <v>2.6595896909233172</v>
      </c>
      <c r="N53" s="156"/>
      <c r="O53" s="158"/>
    </row>
    <row r="54" spans="1:15">
      <c r="A54" s="45"/>
      <c r="B54" s="156"/>
      <c r="C54" s="156"/>
      <c r="D54" s="156"/>
      <c r="E54" s="156"/>
      <c r="F54" s="159"/>
      <c r="H54" s="166"/>
      <c r="I54" s="160"/>
      <c r="J54" s="162"/>
      <c r="K54" s="157"/>
      <c r="L54" s="157"/>
      <c r="M54" s="163"/>
      <c r="N54" s="156"/>
      <c r="O54" s="158"/>
    </row>
    <row r="55" spans="1:15">
      <c r="B55" t="s">
        <v>425</v>
      </c>
      <c r="C55">
        <v>175</v>
      </c>
      <c r="D55">
        <v>210</v>
      </c>
      <c r="E55" t="s">
        <v>428</v>
      </c>
      <c r="F55">
        <v>8200</v>
      </c>
      <c r="G55">
        <v>0.8</v>
      </c>
      <c r="H55" s="4">
        <f>G55*F55</f>
        <v>6560</v>
      </c>
      <c r="I55" s="4">
        <f>F55/D55</f>
        <v>39.047619047619051</v>
      </c>
      <c r="J55" s="35">
        <f>H55/D55</f>
        <v>31.238095238095237</v>
      </c>
      <c r="K55" s="6">
        <v>26.98</v>
      </c>
      <c r="L55" s="6">
        <f>K55*$P$2</f>
        <v>26.27852</v>
      </c>
      <c r="M55" s="36">
        <f>L55/(H55/1000)</f>
        <v>4.0058719512195129</v>
      </c>
      <c r="N55" t="s">
        <v>421</v>
      </c>
      <c r="O55" s="9" t="s">
        <v>437</v>
      </c>
    </row>
    <row r="56" spans="1:15">
      <c r="B56" t="s">
        <v>425</v>
      </c>
      <c r="C56">
        <v>175</v>
      </c>
      <c r="D56">
        <v>210</v>
      </c>
      <c r="E56" t="s">
        <v>428</v>
      </c>
      <c r="F56">
        <v>9100</v>
      </c>
      <c r="G56">
        <v>0.8</v>
      </c>
      <c r="H56" s="4">
        <f>G56*F56</f>
        <v>7280</v>
      </c>
      <c r="I56" s="4">
        <f>F56/D56</f>
        <v>43.333333333333336</v>
      </c>
      <c r="J56" s="35">
        <f>H56/D56</f>
        <v>34.666666666666664</v>
      </c>
      <c r="K56" s="6">
        <v>34.49</v>
      </c>
      <c r="L56" s="6">
        <f>K56*$P$2</f>
        <v>33.593260000000001</v>
      </c>
      <c r="M56" s="36">
        <f>L56/(H56/1000)</f>
        <v>4.6144587912087909</v>
      </c>
      <c r="N56" t="s">
        <v>421</v>
      </c>
      <c r="O56" s="9" t="s">
        <v>436</v>
      </c>
    </row>
    <row r="57" spans="1:15">
      <c r="A57" s="45" t="s">
        <v>120</v>
      </c>
      <c r="B57" s="156" t="s">
        <v>433</v>
      </c>
      <c r="C57" s="156"/>
      <c r="D57" s="156"/>
      <c r="E57" s="156"/>
      <c r="F57" s="156"/>
      <c r="H57" s="166">
        <f>AVERAGE(H55:H56)</f>
        <v>6920</v>
      </c>
      <c r="J57" s="162">
        <f>AVERAGE(J55:J56)</f>
        <v>32.952380952380949</v>
      </c>
      <c r="K57" s="157"/>
      <c r="L57" s="157"/>
      <c r="M57" s="163">
        <f>AVERAGE(M55:M56)</f>
        <v>4.3101653712141523</v>
      </c>
      <c r="N57" s="156"/>
      <c r="O57" s="158"/>
    </row>
    <row r="58" spans="1:15">
      <c r="A58" s="45"/>
      <c r="B58" s="156"/>
      <c r="C58" s="156"/>
      <c r="D58" s="156"/>
      <c r="E58" s="156"/>
      <c r="F58" s="156"/>
      <c r="H58" s="166"/>
      <c r="J58" s="162"/>
      <c r="K58" s="157"/>
      <c r="L58" s="157"/>
      <c r="M58" s="163"/>
      <c r="N58" s="156"/>
      <c r="O58" s="158"/>
    </row>
    <row r="59" spans="1:15">
      <c r="A59" s="45" t="s">
        <v>124</v>
      </c>
      <c r="B59" s="156" t="s">
        <v>434</v>
      </c>
      <c r="H59" s="167">
        <f>AVERAGE(H51:H52,H55:H56)</f>
        <v>8465</v>
      </c>
      <c r="J59" s="162">
        <f>AVERAGE(J51:J52,J55:J56)</f>
        <v>43.098530901722391</v>
      </c>
      <c r="K59" s="6"/>
      <c r="L59" s="6"/>
      <c r="M59" s="163">
        <f>AVERAGE(M51:M52,M55:M56)</f>
        <v>3.4848775310687348</v>
      </c>
      <c r="O59" s="9"/>
    </row>
    <row r="60" spans="1:15">
      <c r="B60" s="146"/>
      <c r="D60" s="147"/>
      <c r="E60" s="146"/>
      <c r="F60" s="146"/>
      <c r="H60" s="146"/>
      <c r="K60" s="148"/>
      <c r="L60" s="149"/>
    </row>
    <row r="61" spans="1:15">
      <c r="B61" t="s">
        <v>440</v>
      </c>
      <c r="C61" s="151"/>
      <c r="D61" s="151"/>
      <c r="E61" s="151"/>
      <c r="F61" s="151"/>
      <c r="H61" s="151"/>
      <c r="K61" s="152"/>
      <c r="L61" s="152"/>
      <c r="N61" s="151"/>
      <c r="O61" s="153"/>
    </row>
    <row r="62" spans="1:15">
      <c r="D62" s="154"/>
      <c r="E62" s="53"/>
      <c r="F62" s="53"/>
      <c r="H62" s="53"/>
      <c r="K62" s="152"/>
      <c r="L62" s="6"/>
      <c r="O62" s="153"/>
    </row>
    <row r="63" spans="1:15">
      <c r="B63" s="15" t="s">
        <v>438</v>
      </c>
      <c r="D63" s="154"/>
      <c r="E63" s="53"/>
      <c r="F63" s="53"/>
      <c r="H63" s="53"/>
      <c r="K63" s="155"/>
      <c r="L63" s="6"/>
      <c r="O63" s="153"/>
    </row>
    <row r="64" spans="1:15">
      <c r="B64" s="146"/>
      <c r="D64" s="147"/>
      <c r="E64" s="146"/>
      <c r="F64" s="146"/>
      <c r="H64" s="146"/>
      <c r="K64" t="s">
        <v>444</v>
      </c>
      <c r="L64" t="s">
        <v>444</v>
      </c>
      <c r="M64" t="s">
        <v>444</v>
      </c>
      <c r="N64" s="150"/>
    </row>
    <row r="65" spans="1:15">
      <c r="B65" t="s">
        <v>424</v>
      </c>
      <c r="E65" t="s">
        <v>447</v>
      </c>
      <c r="H65" s="4">
        <f>H53</f>
        <v>10010</v>
      </c>
      <c r="K65" s="6">
        <v>97</v>
      </c>
      <c r="L65" s="6">
        <f>K65*$P$2</f>
        <v>94.477999999999994</v>
      </c>
      <c r="M65" s="36">
        <f>L65/(H65/1000)</f>
        <v>9.4383616383616378</v>
      </c>
      <c r="N65" t="s">
        <v>446</v>
      </c>
      <c r="O65" s="9" t="s">
        <v>445</v>
      </c>
    </row>
    <row r="66" spans="1:15">
      <c r="B66" t="s">
        <v>424</v>
      </c>
      <c r="E66" t="s">
        <v>448</v>
      </c>
      <c r="H66" s="4">
        <f>H53</f>
        <v>10010</v>
      </c>
      <c r="K66" s="6">
        <v>182</v>
      </c>
      <c r="L66" s="6">
        <f>K66*$P$2</f>
        <v>177.268</v>
      </c>
      <c r="M66" s="36">
        <f>L66/(H66/1000)</f>
        <v>17.709090909090911</v>
      </c>
      <c r="N66" t="s">
        <v>449</v>
      </c>
      <c r="O66" s="9" t="s">
        <v>450</v>
      </c>
    </row>
    <row r="67" spans="1:15">
      <c r="B67" t="s">
        <v>424</v>
      </c>
      <c r="E67" t="s">
        <v>455</v>
      </c>
      <c r="H67" s="4">
        <f>H53</f>
        <v>10010</v>
      </c>
      <c r="K67" s="6">
        <v>104.95</v>
      </c>
      <c r="L67" s="6">
        <f>K67*$P$2</f>
        <v>102.2213</v>
      </c>
      <c r="M67" s="36">
        <f>L67/(H67/1000)</f>
        <v>10.211918081918082</v>
      </c>
      <c r="N67" t="s">
        <v>456</v>
      </c>
      <c r="O67" s="9" t="s">
        <v>457</v>
      </c>
    </row>
    <row r="68" spans="1:15">
      <c r="A68" s="45" t="s">
        <v>119</v>
      </c>
      <c r="B68" s="156" t="s">
        <v>432</v>
      </c>
      <c r="H68" s="4"/>
      <c r="L68" s="6"/>
      <c r="M68" s="163">
        <f>AVERAGE(M65:M67)</f>
        <v>12.453123543123544</v>
      </c>
      <c r="O68" s="9"/>
    </row>
    <row r="70" spans="1:15">
      <c r="B70" t="s">
        <v>425</v>
      </c>
      <c r="E70" t="s">
        <v>441</v>
      </c>
      <c r="H70" s="4">
        <f>H57</f>
        <v>6920</v>
      </c>
      <c r="K70">
        <v>124.14</v>
      </c>
      <c r="L70" s="6">
        <f>K70*$P$2</f>
        <v>120.91235999999999</v>
      </c>
      <c r="M70" s="36">
        <f>L70/(H70/1000)</f>
        <v>17.472884393063584</v>
      </c>
      <c r="N70" t="s">
        <v>443</v>
      </c>
      <c r="O70" s="9" t="s">
        <v>442</v>
      </c>
    </row>
    <row r="71" spans="1:15">
      <c r="B71" t="s">
        <v>451</v>
      </c>
      <c r="E71" t="s">
        <v>453</v>
      </c>
      <c r="H71" s="4">
        <f>H57</f>
        <v>6920</v>
      </c>
      <c r="K71">
        <v>98.9</v>
      </c>
      <c r="L71" s="6">
        <f>K71*$P$2</f>
        <v>96.328600000000009</v>
      </c>
      <c r="M71" s="36">
        <f>L71/(H71/1000)</f>
        <v>13.920317919075146</v>
      </c>
      <c r="N71" t="s">
        <v>452</v>
      </c>
      <c r="O71" s="9" t="s">
        <v>454</v>
      </c>
    </row>
    <row r="72" spans="1:15">
      <c r="B72" t="s">
        <v>451</v>
      </c>
      <c r="E72" t="s">
        <v>458</v>
      </c>
      <c r="H72" s="4">
        <f>H57</f>
        <v>6920</v>
      </c>
      <c r="K72">
        <v>141.94999999999999</v>
      </c>
      <c r="L72" s="6">
        <f>K72*$P$2</f>
        <v>138.2593</v>
      </c>
      <c r="M72" s="36">
        <f>L72/(H72/1000)</f>
        <v>19.979667630057804</v>
      </c>
      <c r="N72" t="s">
        <v>456</v>
      </c>
      <c r="O72" s="9" t="s">
        <v>459</v>
      </c>
    </row>
    <row r="73" spans="1:15">
      <c r="A73" s="45" t="s">
        <v>120</v>
      </c>
      <c r="B73" s="156" t="s">
        <v>433</v>
      </c>
      <c r="M73" s="163">
        <f>AVERAGE(M70:M72)</f>
        <v>17.124289980732176</v>
      </c>
    </row>
    <row r="75" spans="1:15">
      <c r="A75" s="45" t="s">
        <v>124</v>
      </c>
      <c r="B75" s="156" t="s">
        <v>434</v>
      </c>
      <c r="M75" s="169">
        <f>AVERAGE(M65:M67,M70:M72)</f>
        <v>14.788706761927861</v>
      </c>
    </row>
  </sheetData>
  <mergeCells count="2">
    <mergeCell ref="C39:I39"/>
    <mergeCell ref="J39:L39"/>
  </mergeCells>
  <hyperlinks>
    <hyperlink ref="J21" r:id="rId1"/>
    <hyperlink ref="O51" r:id="rId2"/>
    <hyperlink ref="O52" r:id="rId3"/>
    <hyperlink ref="O56" r:id="rId4"/>
    <hyperlink ref="O55" r:id="rId5"/>
    <hyperlink ref="O70" r:id="rId6"/>
    <hyperlink ref="O65" r:id="rId7"/>
    <hyperlink ref="O66" r:id="rId8"/>
    <hyperlink ref="O71" r:id="rId9"/>
    <hyperlink ref="O67" r:id="rId10"/>
    <hyperlink ref="O72" r:id="rId11"/>
  </hyperlinks>
  <pageMargins left="0.7" right="0.7" top="0.75" bottom="0.75" header="0.3" footer="0.3"/>
  <legacyDrawing r:id="rId12"/>
</worksheet>
</file>

<file path=xl/worksheets/sheet12.xml><?xml version="1.0" encoding="utf-8"?>
<worksheet xmlns="http://schemas.openxmlformats.org/spreadsheetml/2006/main" xmlns:r="http://schemas.openxmlformats.org/officeDocument/2006/relationships">
  <dimension ref="A2:S90"/>
  <sheetViews>
    <sheetView topLeftCell="A40" workbookViewId="0">
      <selection activeCell="Q50" sqref="Q50"/>
    </sheetView>
  </sheetViews>
  <sheetFormatPr defaultRowHeight="15"/>
  <cols>
    <col min="1" max="1" width="12.5703125" customWidth="1"/>
    <col min="16" max="16" width="20.85546875" customWidth="1"/>
    <col min="17" max="17" width="10" customWidth="1"/>
    <col min="18" max="18" width="11.5703125" customWidth="1"/>
  </cols>
  <sheetData>
    <row r="2" spans="1:19" ht="15.75">
      <c r="A2" s="5" t="s">
        <v>0</v>
      </c>
      <c r="B2" s="5"/>
      <c r="C2" s="5"/>
      <c r="D2" s="5"/>
      <c r="E2" s="5"/>
      <c r="F2" s="5"/>
      <c r="G2" s="5"/>
      <c r="H2" s="5"/>
      <c r="I2" s="5"/>
      <c r="J2" s="5"/>
      <c r="K2" s="5"/>
      <c r="L2" s="5"/>
      <c r="M2" s="5"/>
      <c r="N2" s="5"/>
      <c r="O2" s="5"/>
      <c r="P2" s="5"/>
      <c r="Q2" s="5"/>
      <c r="R2" s="5"/>
      <c r="S2" s="5"/>
    </row>
    <row r="5" spans="1:19"/>
    <row r="11" spans="1:19">
      <c r="Q11" t="s">
        <v>2</v>
      </c>
      <c r="R11" t="s">
        <v>6</v>
      </c>
    </row>
    <row r="12" spans="1:19">
      <c r="P12" t="s">
        <v>3</v>
      </c>
      <c r="Q12">
        <v>189</v>
      </c>
      <c r="R12" s="3">
        <f>(Q12/1000)*8760</f>
        <v>1655.64</v>
      </c>
    </row>
    <row r="13" spans="1:19">
      <c r="P13" t="s">
        <v>4</v>
      </c>
      <c r="Q13">
        <v>77</v>
      </c>
      <c r="R13" s="3">
        <f>(Q13/1000)*8760*(1-Q16)</f>
        <v>472.16399999999993</v>
      </c>
    </row>
    <row r="14" spans="1:19">
      <c r="P14" t="s">
        <v>5</v>
      </c>
      <c r="Q14">
        <v>165</v>
      </c>
      <c r="R14" s="3">
        <f>(Q14/1000)*8760*Q16</f>
        <v>433.62</v>
      </c>
    </row>
    <row r="16" spans="1:19">
      <c r="P16" t="s">
        <v>1</v>
      </c>
      <c r="Q16" s="1">
        <v>0.3</v>
      </c>
    </row>
    <row r="18" spans="16:18">
      <c r="P18" t="s">
        <v>7</v>
      </c>
      <c r="Q18" s="2"/>
      <c r="R18" s="4">
        <f>R12-(R14+R13)</f>
        <v>749.85600000000022</v>
      </c>
    </row>
    <row r="19" spans="16:18">
      <c r="P19" t="s">
        <v>8</v>
      </c>
      <c r="R19" s="1">
        <f>R18/R12</f>
        <v>0.45291005291005304</v>
      </c>
    </row>
    <row r="36" spans="16:18">
      <c r="Q36" t="s">
        <v>2</v>
      </c>
      <c r="R36" t="s">
        <v>6</v>
      </c>
    </row>
    <row r="37" spans="16:18">
      <c r="P37" t="s">
        <v>3</v>
      </c>
      <c r="Q37">
        <v>189</v>
      </c>
      <c r="R37" s="3">
        <f>(Q37/1000)*8760</f>
        <v>1655.64</v>
      </c>
    </row>
    <row r="38" spans="16:18">
      <c r="P38" t="s">
        <v>4</v>
      </c>
      <c r="Q38">
        <v>16</v>
      </c>
      <c r="R38" s="3">
        <f>(Q38/1000)*8760*(1-Q41)</f>
        <v>72.883200000000002</v>
      </c>
    </row>
    <row r="39" spans="16:18">
      <c r="P39" t="s">
        <v>5</v>
      </c>
      <c r="Q39">
        <v>47</v>
      </c>
      <c r="R39" s="3">
        <f>(Q39/1000)*8760*Q41</f>
        <v>197.62560000000002</v>
      </c>
    </row>
    <row r="41" spans="16:18">
      <c r="P41" t="s">
        <v>1</v>
      </c>
      <c r="Q41" s="1">
        <v>0.48</v>
      </c>
    </row>
    <row r="43" spans="16:18">
      <c r="P43" t="s">
        <v>7</v>
      </c>
      <c r="Q43" s="2"/>
      <c r="R43" s="4">
        <f>R37-(R39+R38)</f>
        <v>1385.1312</v>
      </c>
    </row>
    <row r="44" spans="16:18">
      <c r="P44" t="s">
        <v>8</v>
      </c>
      <c r="R44" s="1">
        <f>R43/R37</f>
        <v>0.83661375661375659</v>
      </c>
    </row>
    <row r="46" spans="16:18">
      <c r="P46" t="s">
        <v>12</v>
      </c>
      <c r="Q46" s="7">
        <v>4935</v>
      </c>
    </row>
    <row r="47" spans="16:18">
      <c r="P47" t="s">
        <v>13</v>
      </c>
      <c r="Q47">
        <v>7</v>
      </c>
    </row>
    <row r="48" spans="16:18">
      <c r="P48" t="s">
        <v>14</v>
      </c>
      <c r="Q48" s="8">
        <f>Q46/Q47</f>
        <v>705</v>
      </c>
    </row>
    <row r="50" spans="16:18">
      <c r="P50" t="s">
        <v>144</v>
      </c>
      <c r="Q50" s="61">
        <f>Q38/Q39</f>
        <v>0.34042553191489361</v>
      </c>
    </row>
    <row r="60" spans="16:18">
      <c r="Q60" t="s">
        <v>2</v>
      </c>
      <c r="R60" t="s">
        <v>6</v>
      </c>
    </row>
    <row r="61" spans="16:18">
      <c r="P61" t="s">
        <v>3</v>
      </c>
      <c r="Q61">
        <v>210</v>
      </c>
      <c r="R61" s="3">
        <f>(Q61/1000)*8760</f>
        <v>1839.6</v>
      </c>
    </row>
    <row r="62" spans="16:18">
      <c r="P62" t="s">
        <v>4</v>
      </c>
      <c r="Q62">
        <v>7</v>
      </c>
      <c r="R62" s="3">
        <f>(Q62/1000)*8760*(1-Q65)</f>
        <v>28.820399999999999</v>
      </c>
    </row>
    <row r="63" spans="16:18">
      <c r="P63" t="s">
        <v>5</v>
      </c>
      <c r="Q63">
        <v>70</v>
      </c>
      <c r="R63" s="3">
        <f>(Q63/1000)*8760*Q65</f>
        <v>324.99600000000004</v>
      </c>
    </row>
    <row r="65" spans="1:19">
      <c r="P65" t="s">
        <v>1</v>
      </c>
      <c r="Q65" s="1">
        <v>0.53</v>
      </c>
    </row>
    <row r="67" spans="1:19">
      <c r="P67" t="s">
        <v>7</v>
      </c>
      <c r="Q67" s="2"/>
      <c r="R67" s="4">
        <f>R61-(R63+R62)</f>
        <v>1485.7835999999998</v>
      </c>
    </row>
    <row r="68" spans="1:19">
      <c r="P68" t="s">
        <v>8</v>
      </c>
      <c r="R68" s="1">
        <f>R67/R61</f>
        <v>0.80766666666666653</v>
      </c>
    </row>
    <row r="70" spans="1:19">
      <c r="P70" t="s">
        <v>12</v>
      </c>
      <c r="Q70" s="7">
        <v>24426</v>
      </c>
    </row>
    <row r="71" spans="1:19">
      <c r="P71" t="s">
        <v>13</v>
      </c>
      <c r="Q71">
        <v>23</v>
      </c>
    </row>
    <row r="72" spans="1:19">
      <c r="P72" t="s">
        <v>14</v>
      </c>
      <c r="Q72" s="8">
        <f>Q70/Q71</f>
        <v>1062</v>
      </c>
    </row>
    <row r="74" spans="1:19">
      <c r="P74" t="s">
        <v>144</v>
      </c>
      <c r="Q74" s="61">
        <f>Q62/Q63</f>
        <v>0.1</v>
      </c>
    </row>
    <row r="80" spans="1:19" ht="15.75">
      <c r="A80" s="5" t="s">
        <v>9</v>
      </c>
      <c r="B80" s="5"/>
      <c r="C80" s="5"/>
      <c r="D80" s="5"/>
      <c r="E80" s="5"/>
      <c r="F80" s="5"/>
      <c r="G80" s="5"/>
      <c r="H80" s="5"/>
      <c r="I80" s="5"/>
      <c r="J80" s="5"/>
      <c r="K80" s="5"/>
      <c r="L80" s="5"/>
      <c r="M80" s="5"/>
      <c r="N80" s="5"/>
      <c r="O80" s="5"/>
      <c r="P80" s="5"/>
      <c r="Q80" s="5"/>
      <c r="R80" s="5"/>
      <c r="S80" s="5"/>
    </row>
    <row r="82" spans="1:3">
      <c r="B82" t="s">
        <v>10</v>
      </c>
    </row>
    <row r="83" spans="1:3">
      <c r="A83" t="s">
        <v>3</v>
      </c>
      <c r="B83">
        <v>210</v>
      </c>
      <c r="C83" s="3"/>
    </row>
    <row r="84" spans="1:3">
      <c r="A84" t="s">
        <v>4</v>
      </c>
      <c r="B84">
        <v>35</v>
      </c>
      <c r="C84" s="3"/>
    </row>
    <row r="85" spans="1:3">
      <c r="A85" t="s">
        <v>5</v>
      </c>
      <c r="B85">
        <v>100</v>
      </c>
      <c r="C85" s="3"/>
    </row>
    <row r="87" spans="1:3">
      <c r="A87" t="s">
        <v>11</v>
      </c>
      <c r="B87" s="1"/>
    </row>
    <row r="89" spans="1:3">
      <c r="B89" s="2"/>
      <c r="C89" s="4"/>
    </row>
    <row r="90" spans="1:3">
      <c r="C90" s="1"/>
    </row>
  </sheetData>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dimension ref="B1:F6"/>
  <sheetViews>
    <sheetView workbookViewId="0">
      <selection activeCell="F4" sqref="F4"/>
    </sheetView>
  </sheetViews>
  <sheetFormatPr defaultRowHeight="15"/>
  <cols>
    <col min="1" max="1" width="4" customWidth="1"/>
    <col min="2" max="2" width="16.42578125" customWidth="1"/>
    <col min="3" max="3" width="24.85546875" customWidth="1"/>
    <col min="4" max="4" width="13.7109375" customWidth="1"/>
    <col min="5" max="5" width="15.42578125" customWidth="1"/>
    <col min="6" max="6" width="12.5703125" customWidth="1"/>
  </cols>
  <sheetData>
    <row r="1" spans="2:6">
      <c r="C1" s="45">
        <v>2</v>
      </c>
      <c r="D1" s="45">
        <v>3</v>
      </c>
      <c r="E1" s="45">
        <v>4</v>
      </c>
      <c r="F1" s="45">
        <v>5</v>
      </c>
    </row>
    <row r="2" spans="2:6" ht="30">
      <c r="B2" s="42" t="s">
        <v>70</v>
      </c>
      <c r="C2" s="44" t="s">
        <v>129</v>
      </c>
      <c r="D2" s="44" t="s">
        <v>130</v>
      </c>
      <c r="E2" s="44" t="s">
        <v>50</v>
      </c>
      <c r="F2" s="44" t="s">
        <v>629</v>
      </c>
    </row>
    <row r="3" spans="2:6">
      <c r="B3" s="41" t="s">
        <v>119</v>
      </c>
      <c r="C3" s="43" t="str">
        <f>CONCATENATE(B3," parking garage fixture")</f>
        <v>HPS parking garage fixture</v>
      </c>
      <c r="D3" s="55">
        <v>10000</v>
      </c>
      <c r="E3" s="55">
        <f>'Base and EE Specs'!J42*1000</f>
        <v>18000</v>
      </c>
      <c r="F3" s="284">
        <f>E3/8760</f>
        <v>2.0547945205479454</v>
      </c>
    </row>
    <row r="4" spans="2:6">
      <c r="B4" s="41" t="s">
        <v>120</v>
      </c>
      <c r="C4" s="43" t="str">
        <f t="shared" ref="C4:C5" si="0">CONCATENATE(B4," parking garage fixture")</f>
        <v>MH parking garage fixture</v>
      </c>
      <c r="D4" s="55">
        <v>7000</v>
      </c>
      <c r="E4" s="55">
        <f>'Base and EE Specs'!J43*1000</f>
        <v>28000</v>
      </c>
      <c r="F4" s="284">
        <f t="shared" ref="F4:F5" si="1">E4/8760</f>
        <v>3.1963470319634704</v>
      </c>
    </row>
    <row r="5" spans="2:6">
      <c r="B5" s="41" t="s">
        <v>124</v>
      </c>
      <c r="C5" s="43" t="str">
        <f t="shared" si="0"/>
        <v>HID parking garage fixture</v>
      </c>
      <c r="D5" s="55">
        <v>8500</v>
      </c>
      <c r="E5" s="55">
        <f>'Base and EE Specs'!J44*1000</f>
        <v>23000</v>
      </c>
      <c r="F5" s="284">
        <f t="shared" si="1"/>
        <v>2.6255707762557079</v>
      </c>
    </row>
    <row r="6" spans="2:6">
      <c r="B6" s="53"/>
      <c r="C6" s="54"/>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dimension ref="B2:Z99"/>
  <sheetViews>
    <sheetView topLeftCell="A16" workbookViewId="0">
      <selection activeCell="D31" sqref="D31"/>
    </sheetView>
  </sheetViews>
  <sheetFormatPr defaultRowHeight="12.75"/>
  <cols>
    <col min="1" max="1" width="9.140625" style="187"/>
    <col min="2" max="2" width="31.140625" style="187" customWidth="1"/>
    <col min="3" max="3" width="14.42578125" style="187" customWidth="1"/>
    <col min="4" max="4" width="13.5703125" style="187" customWidth="1"/>
    <col min="5" max="5" width="16.28515625" style="187" customWidth="1"/>
    <col min="6" max="7" width="9.140625" style="187"/>
    <col min="8" max="8" width="18.7109375" style="187" customWidth="1"/>
    <col min="9" max="9" width="17.85546875" style="187" customWidth="1"/>
    <col min="10" max="11" width="11.140625" style="187" customWidth="1"/>
    <col min="12" max="12" width="9.140625" style="187"/>
    <col min="13" max="13" width="15" style="187" customWidth="1"/>
    <col min="14" max="19" width="14" style="187" customWidth="1"/>
    <col min="20" max="24" width="9.140625" style="187"/>
    <col min="25" max="25" width="25" style="187" customWidth="1"/>
    <col min="26" max="16384" width="9.140625" style="187"/>
  </cols>
  <sheetData>
    <row r="2" spans="2:26">
      <c r="B2" s="186" t="s">
        <v>463</v>
      </c>
    </row>
    <row r="4" spans="2:26">
      <c r="H4" s="186" t="s">
        <v>464</v>
      </c>
      <c r="I4" s="186"/>
      <c r="J4" s="186"/>
      <c r="K4" s="186"/>
    </row>
    <row r="5" spans="2:26">
      <c r="B5" s="186" t="s">
        <v>465</v>
      </c>
    </row>
    <row r="6" spans="2:26">
      <c r="H6" s="188" t="s">
        <v>466</v>
      </c>
      <c r="I6" s="188" t="s">
        <v>467</v>
      </c>
      <c r="J6" s="189"/>
      <c r="K6" s="189"/>
    </row>
    <row r="7" spans="2:26">
      <c r="B7" s="189" t="s">
        <v>468</v>
      </c>
      <c r="C7" s="189" t="s">
        <v>469</v>
      </c>
      <c r="D7" s="189"/>
      <c r="E7" s="189"/>
      <c r="H7" s="188" t="s">
        <v>470</v>
      </c>
      <c r="I7" s="188" t="s">
        <v>471</v>
      </c>
      <c r="J7" s="189"/>
      <c r="K7" s="189"/>
      <c r="Z7" s="187" t="s">
        <v>652</v>
      </c>
    </row>
    <row r="8" spans="2:26">
      <c r="B8" s="189"/>
      <c r="C8" s="189"/>
      <c r="D8" s="189"/>
      <c r="E8" s="189"/>
      <c r="H8" s="188"/>
      <c r="I8" s="188"/>
      <c r="J8" s="189"/>
      <c r="K8" s="189"/>
    </row>
    <row r="9" spans="2:26" ht="15">
      <c r="B9" s="190"/>
      <c r="C9" s="190" t="s">
        <v>472</v>
      </c>
      <c r="D9" s="190"/>
      <c r="E9" s="190"/>
      <c r="H9" s="188"/>
      <c r="I9" s="188" t="s">
        <v>472</v>
      </c>
      <c r="J9" s="188"/>
      <c r="K9" s="188"/>
    </row>
    <row r="10" spans="2:26" ht="60">
      <c r="B10" s="191" t="s">
        <v>473</v>
      </c>
      <c r="C10" s="191" t="s">
        <v>474</v>
      </c>
      <c r="D10" s="192" t="s">
        <v>475</v>
      </c>
      <c r="E10" s="192" t="s">
        <v>476</v>
      </c>
      <c r="H10" s="193" t="s">
        <v>473</v>
      </c>
      <c r="I10" s="193" t="s">
        <v>477</v>
      </c>
      <c r="J10" s="193" t="s">
        <v>478</v>
      </c>
      <c r="K10" s="193" t="s">
        <v>479</v>
      </c>
      <c r="X10" s="357" t="s">
        <v>650</v>
      </c>
      <c r="Y10" s="357"/>
    </row>
    <row r="11" spans="2:26" ht="15">
      <c r="B11" s="194" t="s">
        <v>480</v>
      </c>
      <c r="C11" s="195">
        <v>25155129.51659622</v>
      </c>
      <c r="D11" s="195">
        <v>4</v>
      </c>
      <c r="E11" s="196">
        <v>0.16536809428136576</v>
      </c>
      <c r="F11" s="197"/>
      <c r="G11" s="198"/>
      <c r="H11" s="199" t="s">
        <v>124</v>
      </c>
      <c r="I11" s="200">
        <v>10182917.555055788</v>
      </c>
      <c r="J11" s="201">
        <v>1.3523701644122073</v>
      </c>
      <c r="K11" s="200">
        <v>13</v>
      </c>
      <c r="X11" s="187">
        <v>0.18</v>
      </c>
      <c r="Y11" s="187" t="s">
        <v>644</v>
      </c>
    </row>
    <row r="12" spans="2:26">
      <c r="B12" s="194" t="s">
        <v>481</v>
      </c>
      <c r="C12" s="195">
        <v>29345742.724924482</v>
      </c>
      <c r="D12" s="195">
        <v>8</v>
      </c>
      <c r="E12" s="196">
        <v>0.14277875296137163</v>
      </c>
      <c r="F12" s="195"/>
      <c r="H12" s="202" t="s">
        <v>482</v>
      </c>
      <c r="I12" s="195">
        <v>305335.64518264122</v>
      </c>
      <c r="J12" s="203">
        <v>1.3802083333333333</v>
      </c>
      <c r="K12" s="195">
        <v>1</v>
      </c>
      <c r="X12" s="302">
        <f>X11*8760/1000</f>
        <v>1.5768</v>
      </c>
      <c r="Y12" s="187" t="s">
        <v>645</v>
      </c>
    </row>
    <row r="13" spans="2:26">
      <c r="B13" s="194" t="s">
        <v>483</v>
      </c>
      <c r="C13" s="195">
        <v>242733796.89466032</v>
      </c>
      <c r="D13" s="195">
        <v>25</v>
      </c>
      <c r="E13" s="196">
        <v>0.18726927025688755</v>
      </c>
      <c r="F13" s="196"/>
      <c r="H13" s="202" t="s">
        <v>119</v>
      </c>
      <c r="I13" s="195">
        <v>236856.7158009836</v>
      </c>
      <c r="J13" s="203">
        <v>0.9954652639216397</v>
      </c>
      <c r="K13" s="195">
        <v>2</v>
      </c>
      <c r="X13" s="187">
        <v>170</v>
      </c>
      <c r="Y13" s="187" t="s">
        <v>646</v>
      </c>
    </row>
    <row r="14" spans="2:26">
      <c r="B14" s="194" t="s">
        <v>484</v>
      </c>
      <c r="C14" s="195">
        <v>58194973.868893862</v>
      </c>
      <c r="D14" s="195">
        <v>5</v>
      </c>
      <c r="E14" s="196">
        <v>0.17647116981321231</v>
      </c>
      <c r="F14" s="196"/>
      <c r="H14" s="202" t="s">
        <v>485</v>
      </c>
      <c r="I14" s="195">
        <v>4389855.4850850264</v>
      </c>
      <c r="J14" s="203">
        <v>3</v>
      </c>
      <c r="K14" s="195">
        <v>1</v>
      </c>
      <c r="L14" s="204" t="s">
        <v>486</v>
      </c>
      <c r="X14" s="215">
        <v>0.55000000000000004</v>
      </c>
      <c r="Y14" s="187" t="s">
        <v>647</v>
      </c>
    </row>
    <row r="15" spans="2:26">
      <c r="B15" s="194" t="s">
        <v>487</v>
      </c>
      <c r="C15" s="195">
        <v>18723797.739736546</v>
      </c>
      <c r="D15" s="195">
        <v>7</v>
      </c>
      <c r="E15" s="196">
        <v>0.1756136693572726</v>
      </c>
      <c r="F15" s="196"/>
      <c r="H15" s="202" t="s">
        <v>120</v>
      </c>
      <c r="I15" s="195">
        <v>4424558.5739207808</v>
      </c>
      <c r="J15" s="205">
        <v>0.98668133127146362</v>
      </c>
      <c r="K15" s="195">
        <v>7</v>
      </c>
      <c r="L15" s="204" t="s">
        <v>488</v>
      </c>
      <c r="M15" s="204"/>
      <c r="N15" s="204"/>
      <c r="O15" s="204"/>
      <c r="P15" s="204"/>
      <c r="Q15" s="204"/>
      <c r="R15" s="204"/>
      <c r="X15" s="302">
        <f>X12*X13*X14/8760*1000</f>
        <v>16.830000000000002</v>
      </c>
      <c r="Y15" s="187" t="s">
        <v>648</v>
      </c>
    </row>
    <row r="16" spans="2:26">
      <c r="B16" s="194" t="s">
        <v>489</v>
      </c>
      <c r="C16" s="195">
        <v>9343284.7981600203</v>
      </c>
      <c r="D16" s="195">
        <v>1</v>
      </c>
      <c r="E16" s="196">
        <v>0.72916666666666696</v>
      </c>
      <c r="F16" s="206" t="s">
        <v>490</v>
      </c>
      <c r="H16" s="202" t="s">
        <v>491</v>
      </c>
      <c r="I16" s="195">
        <v>27209.748733750046</v>
      </c>
      <c r="J16" s="203">
        <v>3.225806451612903</v>
      </c>
      <c r="K16" s="195">
        <v>1</v>
      </c>
      <c r="X16" s="215">
        <v>0.2</v>
      </c>
      <c r="Y16" s="187" t="s">
        <v>651</v>
      </c>
    </row>
    <row r="17" spans="2:25">
      <c r="B17" s="194" t="s">
        <v>492</v>
      </c>
      <c r="C17" s="195">
        <v>12036551.75336658</v>
      </c>
      <c r="D17" s="195">
        <v>2</v>
      </c>
      <c r="E17" s="196">
        <v>0.13496928424042265</v>
      </c>
      <c r="F17" s="196"/>
      <c r="H17" s="202" t="s">
        <v>493</v>
      </c>
      <c r="I17" s="195">
        <v>799101.38633260771</v>
      </c>
      <c r="J17" s="203">
        <v>1.0770975056689343</v>
      </c>
      <c r="K17" s="195">
        <v>1</v>
      </c>
      <c r="X17" s="215">
        <v>0.7</v>
      </c>
      <c r="Y17" s="187" t="s">
        <v>535</v>
      </c>
    </row>
    <row r="18" spans="2:25" ht="15">
      <c r="B18" s="207" t="s">
        <v>494</v>
      </c>
      <c r="C18" s="208">
        <v>395533277.29633802</v>
      </c>
      <c r="D18" s="208">
        <v>52</v>
      </c>
      <c r="E18" s="209">
        <v>0.1845421332106367</v>
      </c>
      <c r="F18" s="196"/>
      <c r="H18" s="210" t="s">
        <v>494</v>
      </c>
      <c r="I18" s="208">
        <v>10182917.555055788</v>
      </c>
      <c r="J18" s="211">
        <v>1.3523701644122073</v>
      </c>
      <c r="K18" s="208">
        <v>13</v>
      </c>
      <c r="X18" s="302">
        <f>X16*X15*X17</f>
        <v>2.3562000000000003</v>
      </c>
      <c r="Y18" s="187" t="s">
        <v>649</v>
      </c>
    </row>
    <row r="19" spans="2:25">
      <c r="E19" s="196"/>
      <c r="F19" s="196"/>
    </row>
    <row r="22" spans="2:25" ht="15">
      <c r="B22" s="188" t="s">
        <v>466</v>
      </c>
      <c r="C22" s="188" t="s">
        <v>467</v>
      </c>
      <c r="D22" s="189"/>
      <c r="H22" s="188" t="s">
        <v>466</v>
      </c>
      <c r="I22" s="188" t="s">
        <v>467</v>
      </c>
      <c r="J22" s="189"/>
      <c r="M22" s="286" t="s">
        <v>466</v>
      </c>
      <c r="N22" s="286" t="s">
        <v>467</v>
      </c>
      <c r="O22" s="287"/>
    </row>
    <row r="23" spans="2:25" ht="15">
      <c r="B23" s="188" t="s">
        <v>470</v>
      </c>
      <c r="C23" s="188" t="s">
        <v>471</v>
      </c>
      <c r="D23" s="189"/>
      <c r="H23" s="188" t="s">
        <v>470</v>
      </c>
      <c r="I23" s="188" t="s">
        <v>471</v>
      </c>
      <c r="J23" s="189"/>
      <c r="M23" s="286" t="s">
        <v>470</v>
      </c>
      <c r="N23" s="286" t="s">
        <v>471</v>
      </c>
      <c r="O23" s="287"/>
    </row>
    <row r="24" spans="2:25" ht="15">
      <c r="B24" s="188"/>
      <c r="C24" s="188"/>
      <c r="D24" s="189"/>
      <c r="H24" s="188"/>
      <c r="I24" s="188"/>
      <c r="J24" s="189"/>
      <c r="M24" s="286"/>
      <c r="N24" s="286"/>
      <c r="O24" s="287"/>
    </row>
    <row r="25" spans="2:25" ht="15">
      <c r="B25" s="212"/>
      <c r="C25" s="213" t="s">
        <v>472</v>
      </c>
      <c r="D25" s="212"/>
      <c r="H25" s="188"/>
      <c r="I25" s="188" t="s">
        <v>472</v>
      </c>
      <c r="J25" s="188"/>
      <c r="M25" s="286"/>
      <c r="N25" s="286" t="s">
        <v>472</v>
      </c>
      <c r="O25" s="286"/>
    </row>
    <row r="26" spans="2:25" ht="60">
      <c r="B26" s="193" t="s">
        <v>473</v>
      </c>
      <c r="C26" s="193" t="s">
        <v>495</v>
      </c>
      <c r="D26" s="193" t="s">
        <v>477</v>
      </c>
      <c r="H26" s="193" t="s">
        <v>473</v>
      </c>
      <c r="I26" s="193" t="s">
        <v>477</v>
      </c>
      <c r="J26" s="193" t="s">
        <v>478</v>
      </c>
      <c r="M26" s="288" t="s">
        <v>473</v>
      </c>
      <c r="N26" s="288" t="s">
        <v>477</v>
      </c>
      <c r="O26" s="288" t="s">
        <v>643</v>
      </c>
    </row>
    <row r="27" spans="2:25" ht="15">
      <c r="B27" s="214" t="s">
        <v>496</v>
      </c>
      <c r="C27" s="195">
        <v>144473.11032390429</v>
      </c>
      <c r="D27" s="215">
        <v>6.1817900724962412E-3</v>
      </c>
      <c r="H27" s="214" t="s">
        <v>496</v>
      </c>
      <c r="I27" s="195">
        <v>144473.11032390429</v>
      </c>
      <c r="J27" s="196">
        <v>1.5175635272829342</v>
      </c>
      <c r="M27" s="290" t="s">
        <v>496</v>
      </c>
      <c r="N27" s="4">
        <v>144473.11032390429</v>
      </c>
      <c r="O27" s="263">
        <v>34.201672380510331</v>
      </c>
    </row>
    <row r="28" spans="2:25" ht="15">
      <c r="B28" s="214" t="s">
        <v>497</v>
      </c>
      <c r="C28" s="195">
        <v>173724.69072569022</v>
      </c>
      <c r="D28" s="215">
        <v>7.433421804707011E-3</v>
      </c>
      <c r="H28" s="214" t="s">
        <v>497</v>
      </c>
      <c r="I28" s="195">
        <v>173724.69072569022</v>
      </c>
      <c r="J28" s="196">
        <v>0.23851713553574247</v>
      </c>
      <c r="M28" s="290" t="s">
        <v>497</v>
      </c>
      <c r="N28" s="4">
        <v>173724.69072569022</v>
      </c>
      <c r="O28" s="263">
        <v>106</v>
      </c>
      <c r="Q28" s="301"/>
    </row>
    <row r="29" spans="2:25" ht="15">
      <c r="B29" s="214" t="s">
        <v>498</v>
      </c>
      <c r="C29" s="195">
        <v>2418769.5100498917</v>
      </c>
      <c r="D29" s="215">
        <v>0.10349555921763132</v>
      </c>
      <c r="H29" s="214" t="s">
        <v>498</v>
      </c>
      <c r="I29" s="195">
        <v>2418769.5100498917</v>
      </c>
      <c r="J29" s="196">
        <v>0.96850158189543534</v>
      </c>
      <c r="M29" s="290" t="s">
        <v>498</v>
      </c>
      <c r="N29" s="4">
        <v>2418769.5100498917</v>
      </c>
      <c r="O29" s="263">
        <v>116.25761217948717</v>
      </c>
      <c r="Q29" s="301">
        <f t="shared" ref="Q29" si="0">O29*J29/1000</f>
        <v>0.11259568130321936</v>
      </c>
      <c r="R29" s="187" t="s">
        <v>644</v>
      </c>
    </row>
    <row r="30" spans="2:25" ht="15">
      <c r="B30" s="214" t="s">
        <v>499</v>
      </c>
      <c r="C30" s="195">
        <v>9683449.4689141661</v>
      </c>
      <c r="D30" s="215">
        <v>0.41434043788664859</v>
      </c>
      <c r="H30" s="214" t="s">
        <v>499</v>
      </c>
      <c r="I30" s="195">
        <v>9683449.4689141661</v>
      </c>
      <c r="J30" s="299">
        <v>1.8122710585463915</v>
      </c>
      <c r="M30" s="290" t="s">
        <v>499</v>
      </c>
      <c r="N30" s="4">
        <v>9683449.4689141661</v>
      </c>
      <c r="O30" s="300">
        <v>61.815728114478105</v>
      </c>
      <c r="Q30" s="301">
        <f>O30*J30/1000</f>
        <v>0.11202685502484117</v>
      </c>
      <c r="R30" s="187" t="s">
        <v>644</v>
      </c>
    </row>
    <row r="31" spans="2:25" ht="15">
      <c r="B31" s="214" t="s">
        <v>124</v>
      </c>
      <c r="C31" s="195">
        <v>10182917.55505579</v>
      </c>
      <c r="D31" s="215">
        <v>0.43571193635800198</v>
      </c>
      <c r="E31" s="204" t="s">
        <v>500</v>
      </c>
      <c r="H31" s="214" t="s">
        <v>124</v>
      </c>
      <c r="I31" s="195">
        <v>10182917.55505579</v>
      </c>
      <c r="J31" s="196">
        <v>1.352370164412207</v>
      </c>
      <c r="M31" s="290" t="s">
        <v>124</v>
      </c>
      <c r="N31" s="4">
        <v>10182917.55505579</v>
      </c>
      <c r="O31" s="263">
        <v>196.88952757962105</v>
      </c>
      <c r="Q31" s="301">
        <f>O31*J31/1000</f>
        <v>0.26626752278389387</v>
      </c>
      <c r="R31" s="187" t="s">
        <v>644</v>
      </c>
    </row>
    <row r="32" spans="2:25" ht="15">
      <c r="B32" s="214" t="s">
        <v>501</v>
      </c>
      <c r="C32" s="195">
        <v>764140.89949290454</v>
      </c>
      <c r="D32" s="215">
        <v>3.2696455526451E-2</v>
      </c>
      <c r="H32" s="214" t="s">
        <v>501</v>
      </c>
      <c r="I32" s="195">
        <v>764140.89949290454</v>
      </c>
      <c r="J32" s="196">
        <v>0.61955649093817422</v>
      </c>
      <c r="M32" s="290" t="s">
        <v>501</v>
      </c>
      <c r="N32" s="4">
        <v>764140.89949290454</v>
      </c>
      <c r="O32" s="263">
        <v>45</v>
      </c>
    </row>
    <row r="33" spans="2:15" ht="15">
      <c r="B33" s="214" t="s">
        <v>502</v>
      </c>
      <c r="C33" s="195">
        <v>3281.2339706025841</v>
      </c>
      <c r="D33" s="215">
        <v>1.4039913406399708E-4</v>
      </c>
      <c r="H33" s="214" t="s">
        <v>502</v>
      </c>
      <c r="I33" s="195">
        <v>3281.2339706025841</v>
      </c>
      <c r="J33" s="196">
        <v>0.10227272727272727</v>
      </c>
      <c r="M33" s="290" t="s">
        <v>502</v>
      </c>
      <c r="N33" s="4">
        <v>3281.2339706025841</v>
      </c>
      <c r="O33" s="263">
        <v>16</v>
      </c>
    </row>
    <row r="34" spans="2:15" ht="15">
      <c r="B34" s="210" t="s">
        <v>494</v>
      </c>
      <c r="C34" s="208">
        <v>23370756.468532946</v>
      </c>
      <c r="D34" s="216">
        <v>1</v>
      </c>
      <c r="H34" s="210" t="s">
        <v>494</v>
      </c>
      <c r="I34" s="208">
        <v>23370756.468532942</v>
      </c>
      <c r="J34" s="209">
        <v>1.4354556068779631</v>
      </c>
      <c r="M34" s="292" t="s">
        <v>494</v>
      </c>
      <c r="N34" s="296">
        <v>23370756.468532942</v>
      </c>
      <c r="O34" s="298">
        <v>85.745643743264608</v>
      </c>
    </row>
    <row r="39" spans="2:15">
      <c r="B39" s="187" t="s">
        <v>503</v>
      </c>
    </row>
    <row r="40" spans="2:15">
      <c r="B40" s="189"/>
      <c r="C40" s="189" t="s">
        <v>472</v>
      </c>
      <c r="D40" s="189"/>
      <c r="E40" s="189"/>
    </row>
    <row r="41" spans="2:15" ht="45">
      <c r="B41" s="192" t="s">
        <v>473</v>
      </c>
      <c r="C41" s="192" t="s">
        <v>474</v>
      </c>
      <c r="D41" s="192" t="s">
        <v>504</v>
      </c>
      <c r="E41" s="192" t="s">
        <v>505</v>
      </c>
      <c r="F41" s="217"/>
    </row>
    <row r="42" spans="2:15" ht="15">
      <c r="B42" s="194" t="s">
        <v>480</v>
      </c>
      <c r="C42" s="195">
        <v>368872051.99999982</v>
      </c>
      <c r="D42" s="195">
        <v>21261.890321718613</v>
      </c>
      <c r="E42" s="195">
        <v>7818735.4927399363</v>
      </c>
      <c r="F42" s="218"/>
      <c r="K42" s="219">
        <f>E42/C42</f>
        <v>2.1196334746281999E-2</v>
      </c>
    </row>
    <row r="43" spans="2:15" ht="15">
      <c r="B43" s="194" t="s">
        <v>506</v>
      </c>
      <c r="C43" s="195">
        <v>77120838</v>
      </c>
      <c r="D43" s="195">
        <v>6846.5638243699595</v>
      </c>
      <c r="E43" s="195">
        <v>0</v>
      </c>
      <c r="F43" s="220"/>
      <c r="K43" s="219">
        <f t="shared" ref="K43:K51" si="1">E43/C43</f>
        <v>0</v>
      </c>
    </row>
    <row r="44" spans="2:15" ht="15">
      <c r="B44" s="194" t="s">
        <v>481</v>
      </c>
      <c r="C44" s="195">
        <v>171040928</v>
      </c>
      <c r="D44" s="195">
        <v>3557.2085496545365</v>
      </c>
      <c r="E44" s="195">
        <v>8585515.6889841314</v>
      </c>
      <c r="F44" s="220"/>
      <c r="K44" s="219">
        <f t="shared" si="1"/>
        <v>5.0195680001128923E-2</v>
      </c>
    </row>
    <row r="45" spans="2:15" ht="15">
      <c r="B45" s="194" t="s">
        <v>483</v>
      </c>
      <c r="C45" s="195">
        <v>734358126.00000012</v>
      </c>
      <c r="D45" s="195">
        <v>61592.887731516486</v>
      </c>
      <c r="E45" s="195">
        <v>83818114.62202011</v>
      </c>
      <c r="F45" s="220"/>
      <c r="K45" s="219">
        <f t="shared" si="1"/>
        <v>0.11413792760566538</v>
      </c>
    </row>
    <row r="46" spans="2:15" ht="15">
      <c r="B46" s="194" t="s">
        <v>484</v>
      </c>
      <c r="C46" s="195">
        <v>333434465.00000012</v>
      </c>
      <c r="D46" s="195">
        <v>16636.014205819505</v>
      </c>
      <c r="E46" s="195">
        <v>34463583.605003528</v>
      </c>
      <c r="F46" s="220"/>
      <c r="K46" s="219">
        <f t="shared" si="1"/>
        <v>0.10335939209224672</v>
      </c>
    </row>
    <row r="47" spans="2:15" ht="15">
      <c r="B47" s="194" t="s">
        <v>487</v>
      </c>
      <c r="C47" s="195">
        <v>125160635.99999996</v>
      </c>
      <c r="D47" s="195">
        <v>4242.1114292761285</v>
      </c>
      <c r="E47" s="195">
        <v>3528925.5724625313</v>
      </c>
      <c r="F47" s="220"/>
      <c r="K47" s="219">
        <f t="shared" si="1"/>
        <v>2.8195171303400317E-2</v>
      </c>
    </row>
    <row r="48" spans="2:15" ht="15">
      <c r="B48" s="194" t="s">
        <v>507</v>
      </c>
      <c r="C48" s="195">
        <v>53036739.000000015</v>
      </c>
      <c r="D48" s="195">
        <v>12537.995644585459</v>
      </c>
      <c r="E48" s="195">
        <v>0</v>
      </c>
      <c r="F48" s="220"/>
      <c r="K48" s="219">
        <f t="shared" si="1"/>
        <v>0</v>
      </c>
    </row>
    <row r="49" spans="2:19" ht="15">
      <c r="B49" s="194" t="s">
        <v>489</v>
      </c>
      <c r="C49" s="195">
        <v>570929487.99999964</v>
      </c>
      <c r="D49" s="195">
        <v>48814.493307123834</v>
      </c>
      <c r="E49" s="195">
        <v>6020373.2366880355</v>
      </c>
      <c r="F49" s="221" t="s">
        <v>508</v>
      </c>
      <c r="K49" s="219">
        <f t="shared" si="1"/>
        <v>1.054486300537351E-2</v>
      </c>
    </row>
    <row r="50" spans="2:19" ht="15">
      <c r="B50" s="194" t="s">
        <v>492</v>
      </c>
      <c r="C50" s="195">
        <v>245353160.99999994</v>
      </c>
      <c r="D50" s="195">
        <v>5777.1979254897406</v>
      </c>
      <c r="E50" s="195">
        <v>3152378.9260917157</v>
      </c>
      <c r="F50" s="220"/>
      <c r="K50" s="219">
        <f t="shared" si="1"/>
        <v>1.284833222952329E-2</v>
      </c>
    </row>
    <row r="51" spans="2:19" ht="15">
      <c r="B51" s="194" t="s">
        <v>509</v>
      </c>
      <c r="C51" s="195">
        <v>442224054.00000012</v>
      </c>
      <c r="D51" s="195">
        <v>21938.961988768642</v>
      </c>
      <c r="E51" s="195">
        <v>0</v>
      </c>
      <c r="F51" s="218"/>
      <c r="K51" s="219">
        <f t="shared" si="1"/>
        <v>0</v>
      </c>
    </row>
    <row r="52" spans="2:19" ht="15">
      <c r="B52" s="207" t="s">
        <v>494</v>
      </c>
      <c r="C52" s="208">
        <v>3121530486.9999995</v>
      </c>
      <c r="D52" s="208">
        <v>203205.32492832292</v>
      </c>
      <c r="E52" s="208">
        <v>147387627.14398998</v>
      </c>
      <c r="F52" s="222"/>
      <c r="G52" s="219">
        <f>E52/C52</f>
        <v>4.7216462487809752E-2</v>
      </c>
    </row>
    <row r="54" spans="2:19">
      <c r="B54" s="223" t="s">
        <v>510</v>
      </c>
      <c r="C54" s="189"/>
      <c r="D54" s="189"/>
      <c r="E54" s="189"/>
    </row>
    <row r="55" spans="2:19" ht="15">
      <c r="B55" s="187" t="s">
        <v>511</v>
      </c>
      <c r="C55" s="195">
        <v>104000000</v>
      </c>
      <c r="E55" s="195">
        <f>$G$55*C55</f>
        <v>10650495.038199563</v>
      </c>
      <c r="G55" s="219">
        <f>SUMPRODUCT(K44:K46,C44:C46)/SUM(C44:C46)</f>
        <v>0.10240860613653426</v>
      </c>
    </row>
    <row r="56" spans="2:19">
      <c r="B56" s="187" t="s">
        <v>512</v>
      </c>
      <c r="C56" s="195">
        <v>121000000</v>
      </c>
      <c r="E56" s="195">
        <f>$G$55*C56</f>
        <v>12391441.342520645</v>
      </c>
    </row>
    <row r="58" spans="2:19" ht="30">
      <c r="B58" s="192" t="s">
        <v>513</v>
      </c>
      <c r="C58" s="192"/>
      <c r="D58" s="192"/>
      <c r="E58" s="224">
        <f>ROUND(SUM(E52:E56),-6)</f>
        <v>170000000</v>
      </c>
    </row>
    <row r="62" spans="2:19">
      <c r="B62" s="187" t="s">
        <v>635</v>
      </c>
    </row>
    <row r="63" spans="2:19" ht="15">
      <c r="B63" s="286" t="s">
        <v>466</v>
      </c>
      <c r="C63" s="286" t="s">
        <v>467</v>
      </c>
      <c r="D63" s="287"/>
      <c r="E63" s="287"/>
      <c r="F63" s="287"/>
      <c r="G63" s="287"/>
      <c r="H63" s="287"/>
      <c r="M63" s="286" t="s">
        <v>466</v>
      </c>
      <c r="N63" s="286" t="s">
        <v>467</v>
      </c>
      <c r="O63" s="287"/>
      <c r="P63" s="287"/>
      <c r="Q63" s="287"/>
      <c r="R63" s="287"/>
      <c r="S63" s="287"/>
    </row>
    <row r="64" spans="2:19" ht="15">
      <c r="B64" s="286" t="s">
        <v>470</v>
      </c>
      <c r="C64" s="286" t="s">
        <v>471</v>
      </c>
      <c r="D64" s="287"/>
      <c r="E64" s="287"/>
      <c r="F64" s="287"/>
      <c r="G64" s="287"/>
      <c r="H64" s="287"/>
      <c r="M64" s="286" t="s">
        <v>470</v>
      </c>
      <c r="N64" s="286" t="s">
        <v>471</v>
      </c>
      <c r="O64" s="287"/>
      <c r="P64" s="287"/>
      <c r="Q64" s="287"/>
      <c r="R64" s="287"/>
      <c r="S64" s="287"/>
    </row>
    <row r="65" spans="2:19" ht="15">
      <c r="B65" s="286"/>
      <c r="C65" s="286"/>
      <c r="D65" s="287"/>
      <c r="E65" s="287"/>
      <c r="F65" s="287"/>
      <c r="G65" s="287"/>
      <c r="H65" s="287"/>
      <c r="M65" s="286"/>
      <c r="N65" s="286"/>
      <c r="O65" s="287"/>
      <c r="P65" s="287"/>
      <c r="Q65" s="287"/>
      <c r="R65" s="287"/>
      <c r="S65" s="287"/>
    </row>
    <row r="66" spans="2:19" ht="15">
      <c r="B66" s="286" t="s">
        <v>477</v>
      </c>
      <c r="C66" s="286" t="s">
        <v>630</v>
      </c>
      <c r="D66" s="286"/>
      <c r="E66" s="286"/>
      <c r="F66" s="286"/>
      <c r="G66" s="286"/>
      <c r="H66" s="286"/>
      <c r="M66" s="286" t="s">
        <v>477</v>
      </c>
      <c r="N66" s="286" t="s">
        <v>630</v>
      </c>
      <c r="O66" s="286"/>
      <c r="P66" s="286"/>
      <c r="Q66" s="286"/>
      <c r="R66" s="286"/>
      <c r="S66" s="286"/>
    </row>
    <row r="67" spans="2:19" ht="15">
      <c r="B67" s="288" t="s">
        <v>473</v>
      </c>
      <c r="C67" s="289" t="s">
        <v>631</v>
      </c>
      <c r="D67" s="289" t="s">
        <v>632</v>
      </c>
      <c r="E67" s="289" t="s">
        <v>633</v>
      </c>
      <c r="F67" s="289" t="s">
        <v>484</v>
      </c>
      <c r="G67" s="289" t="s">
        <v>634</v>
      </c>
      <c r="H67" s="289" t="s">
        <v>494</v>
      </c>
      <c r="M67" s="288" t="s">
        <v>473</v>
      </c>
      <c r="N67" s="289" t="s">
        <v>631</v>
      </c>
      <c r="O67" s="289" t="s">
        <v>632</v>
      </c>
      <c r="P67" s="289" t="s">
        <v>633</v>
      </c>
      <c r="Q67" s="289" t="s">
        <v>484</v>
      </c>
      <c r="R67" s="289" t="s">
        <v>634</v>
      </c>
      <c r="S67" s="289" t="s">
        <v>494</v>
      </c>
    </row>
    <row r="68" spans="2:19" ht="15">
      <c r="B68" s="290" t="s">
        <v>496</v>
      </c>
      <c r="C68" s="291">
        <v>0.11745622793331266</v>
      </c>
      <c r="D68" s="291">
        <v>0.54912867402790655</v>
      </c>
      <c r="E68" s="291">
        <v>0.27380720845284989</v>
      </c>
      <c r="F68" s="291">
        <v>5.9607889585930843E-2</v>
      </c>
      <c r="G68" s="291">
        <v>0</v>
      </c>
      <c r="H68" s="291">
        <v>1</v>
      </c>
      <c r="M68" s="290" t="s">
        <v>497</v>
      </c>
      <c r="N68" s="4">
        <v>14583.26209156704</v>
      </c>
      <c r="O68" s="4"/>
      <c r="P68" s="4">
        <v>159141.42863412318</v>
      </c>
      <c r="Q68" s="4"/>
      <c r="R68" s="4"/>
      <c r="S68" s="4">
        <v>173724.69072569022</v>
      </c>
    </row>
    <row r="69" spans="2:19" ht="15">
      <c r="B69" s="290" t="s">
        <v>497</v>
      </c>
      <c r="C69" s="291">
        <v>8.3944671483651589E-2</v>
      </c>
      <c r="D69" s="291">
        <v>0</v>
      </c>
      <c r="E69" s="291">
        <v>0.91605532851634841</v>
      </c>
      <c r="F69" s="291">
        <v>0</v>
      </c>
      <c r="G69" s="291">
        <v>0</v>
      </c>
      <c r="H69" s="291">
        <v>1</v>
      </c>
      <c r="M69" s="290" t="s">
        <v>498</v>
      </c>
      <c r="N69" s="4">
        <v>139412.57309314259</v>
      </c>
      <c r="O69" s="4">
        <v>897269.12844624871</v>
      </c>
      <c r="P69" s="4">
        <v>33418.354856622573</v>
      </c>
      <c r="Q69" s="4">
        <v>1168234.5324561233</v>
      </c>
      <c r="R69" s="4">
        <v>180434.9211977543</v>
      </c>
      <c r="S69" s="4">
        <v>2418769.5100498917</v>
      </c>
    </row>
    <row r="70" spans="2:19" ht="15">
      <c r="B70" s="290" t="s">
        <v>498</v>
      </c>
      <c r="C70" s="291">
        <v>5.7637808197055926E-2</v>
      </c>
      <c r="D70" s="291">
        <v>0.3709609885183896</v>
      </c>
      <c r="E70" s="291">
        <v>1.3816262656598998E-2</v>
      </c>
      <c r="F70" s="291">
        <v>0.48298712531398919</v>
      </c>
      <c r="G70" s="291">
        <v>7.4597815313966184E-2</v>
      </c>
      <c r="H70" s="291">
        <v>1</v>
      </c>
      <c r="M70" s="290" t="s">
        <v>499</v>
      </c>
      <c r="N70" s="4">
        <v>873802.96877394151</v>
      </c>
      <c r="O70" s="4">
        <v>967006.95013435348</v>
      </c>
      <c r="P70" s="4">
        <v>1902545.3670459231</v>
      </c>
      <c r="Q70" s="4">
        <v>2715096.2008670447</v>
      </c>
      <c r="R70" s="4">
        <v>227377.64457482001</v>
      </c>
      <c r="S70" s="4">
        <v>6685829.1313960832</v>
      </c>
    </row>
    <row r="71" spans="2:19" ht="15">
      <c r="B71" s="290" t="s">
        <v>499</v>
      </c>
      <c r="C71" s="291">
        <v>0.13069478019870973</v>
      </c>
      <c r="D71" s="291">
        <v>0.14463530717429965</v>
      </c>
      <c r="E71" s="291">
        <v>0.28456386330780314</v>
      </c>
      <c r="F71" s="291">
        <v>0.40609715676357694</v>
      </c>
      <c r="G71" s="291">
        <v>3.4008892555610494E-2</v>
      </c>
      <c r="H71" s="291">
        <v>1</v>
      </c>
      <c r="M71" s="292" t="s">
        <v>494</v>
      </c>
      <c r="N71" s="296">
        <v>1027798.8039586511</v>
      </c>
      <c r="O71" s="296">
        <v>1864276.0785806021</v>
      </c>
      <c r="P71" s="296">
        <v>2095105.150536669</v>
      </c>
      <c r="Q71" s="296">
        <v>3883330.733323168</v>
      </c>
      <c r="R71" s="296">
        <v>407812.56577257428</v>
      </c>
      <c r="S71" s="296">
        <v>9278323.3321716655</v>
      </c>
    </row>
    <row r="72" spans="2:19" ht="15">
      <c r="B72" s="290" t="s">
        <v>124</v>
      </c>
      <c r="C72" s="291">
        <v>7.729645013390489E-2</v>
      </c>
      <c r="D72" s="291">
        <v>0.69849023790655229</v>
      </c>
      <c r="E72" s="291">
        <v>0</v>
      </c>
      <c r="F72" s="291">
        <v>6.3259661528924205E-2</v>
      </c>
      <c r="G72" s="291">
        <v>0.16095365043061871</v>
      </c>
      <c r="H72" s="291">
        <v>1</v>
      </c>
    </row>
    <row r="73" spans="2:19" ht="15">
      <c r="B73" s="290" t="s">
        <v>501</v>
      </c>
      <c r="C73" s="291">
        <v>1.0493582248849154E-2</v>
      </c>
      <c r="D73" s="291">
        <v>0.518541434215397</v>
      </c>
      <c r="E73" s="291">
        <v>0.47096498353575389</v>
      </c>
      <c r="F73" s="291">
        <v>0</v>
      </c>
      <c r="G73" s="291">
        <v>0</v>
      </c>
      <c r="H73" s="291">
        <v>1</v>
      </c>
    </row>
    <row r="74" spans="2:19" ht="15">
      <c r="B74" s="290" t="s">
        <v>502</v>
      </c>
      <c r="C74" s="291">
        <v>0</v>
      </c>
      <c r="D74" s="291">
        <v>0</v>
      </c>
      <c r="E74" s="291">
        <v>0</v>
      </c>
      <c r="F74" s="291">
        <v>1</v>
      </c>
      <c r="G74" s="291">
        <v>0</v>
      </c>
      <c r="H74" s="291">
        <v>1</v>
      </c>
    </row>
    <row r="75" spans="2:19" ht="15">
      <c r="B75" s="292" t="s">
        <v>494</v>
      </c>
      <c r="C75" s="293">
        <v>9.1734784335651479E-2</v>
      </c>
      <c r="D75" s="293">
        <v>0.45285096143675874</v>
      </c>
      <c r="E75" s="293">
        <v>0.1239730577606197</v>
      </c>
      <c r="F75" s="293">
        <v>0.2324902514071458</v>
      </c>
      <c r="G75" s="293">
        <v>9.89509450598242E-2</v>
      </c>
      <c r="H75" s="293">
        <v>1</v>
      </c>
    </row>
    <row r="78" spans="2:19" ht="15">
      <c r="M78" s="286" t="s">
        <v>466</v>
      </c>
      <c r="N78" s="286" t="s">
        <v>467</v>
      </c>
      <c r="O78" s="287"/>
      <c r="P78" s="287"/>
      <c r="Q78" s="287"/>
      <c r="R78" s="287"/>
      <c r="S78" s="287"/>
    </row>
    <row r="79" spans="2:19" ht="15">
      <c r="B79" s="187" t="s">
        <v>636</v>
      </c>
      <c r="C79" s="294">
        <f>SUM(C72:D72)</f>
        <v>0.77578668804045714</v>
      </c>
      <c r="M79" s="286" t="s">
        <v>470</v>
      </c>
      <c r="N79" s="286" t="s">
        <v>471</v>
      </c>
      <c r="O79" s="287"/>
      <c r="P79" s="287"/>
      <c r="Q79" s="287"/>
      <c r="R79" s="287"/>
      <c r="S79" s="287"/>
    </row>
    <row r="80" spans="2:19" ht="15">
      <c r="B80" s="187" t="s">
        <v>642</v>
      </c>
      <c r="C80" s="297">
        <f>SUM(N71:O71,P91:Q91)/S71</f>
        <v>0.38443526315239812</v>
      </c>
      <c r="M80" s="286"/>
      <c r="N80" s="286"/>
      <c r="O80" s="287"/>
      <c r="P80" s="287"/>
      <c r="Q80" s="287"/>
      <c r="R80" s="287"/>
      <c r="S80" s="287"/>
    </row>
    <row r="81" spans="13:19" ht="15">
      <c r="M81" s="286" t="s">
        <v>477</v>
      </c>
      <c r="N81" s="286" t="s">
        <v>630</v>
      </c>
      <c r="O81" s="286"/>
      <c r="P81" s="286"/>
      <c r="Q81" s="286"/>
      <c r="R81" s="286"/>
      <c r="S81" s="286"/>
    </row>
    <row r="82" spans="13:19" ht="15">
      <c r="M82" s="288" t="s">
        <v>473</v>
      </c>
      <c r="N82" s="289" t="s">
        <v>631</v>
      </c>
      <c r="O82" s="289" t="s">
        <v>632</v>
      </c>
      <c r="P82" s="289" t="s">
        <v>633</v>
      </c>
      <c r="Q82" s="289" t="s">
        <v>484</v>
      </c>
      <c r="R82" s="289" t="s">
        <v>634</v>
      </c>
      <c r="S82" s="289" t="s">
        <v>494</v>
      </c>
    </row>
    <row r="83" spans="13:19" ht="15">
      <c r="M83" s="303" t="s">
        <v>496</v>
      </c>
      <c r="N83" s="304">
        <v>14996.623123155689</v>
      </c>
      <c r="O83" s="304">
        <v>70111.869889013469</v>
      </c>
      <c r="P83" s="304">
        <v>34959.265982064899</v>
      </c>
      <c r="Q83" s="304">
        <v>7610.6399040365486</v>
      </c>
      <c r="R83" s="304"/>
      <c r="S83" s="304">
        <v>127678.39889827061</v>
      </c>
    </row>
    <row r="84" spans="13:19" ht="15">
      <c r="M84" s="305" t="s">
        <v>653</v>
      </c>
      <c r="N84" s="4"/>
      <c r="O84" s="4"/>
      <c r="P84" s="4">
        <v>34959.265982064899</v>
      </c>
      <c r="Q84" s="4"/>
      <c r="R84" s="4"/>
      <c r="S84" s="4">
        <v>34959.265982064899</v>
      </c>
    </row>
    <row r="85" spans="13:19" ht="15">
      <c r="M85" s="305" t="s">
        <v>654</v>
      </c>
      <c r="N85" s="4">
        <v>14996.623123155689</v>
      </c>
      <c r="O85" s="4">
        <v>70111.869889013469</v>
      </c>
      <c r="P85" s="4"/>
      <c r="Q85" s="4">
        <v>7610.6399040365486</v>
      </c>
      <c r="R85" s="4"/>
      <c r="S85" s="4">
        <v>92719.132916205708</v>
      </c>
    </row>
    <row r="86" spans="13:19" ht="15">
      <c r="M86" s="303" t="s">
        <v>497</v>
      </c>
      <c r="N86" s="304">
        <v>14583.26209156704</v>
      </c>
      <c r="O86" s="304"/>
      <c r="P86" s="304">
        <v>159141.42863412318</v>
      </c>
      <c r="Q86" s="304"/>
      <c r="R86" s="304"/>
      <c r="S86" s="304">
        <v>173724.69072569022</v>
      </c>
    </row>
    <row r="87" spans="13:19" ht="15">
      <c r="M87" s="305" t="s">
        <v>654</v>
      </c>
      <c r="N87" s="4">
        <v>14583.26209156704</v>
      </c>
      <c r="O87" s="4"/>
      <c r="P87" s="4">
        <v>159141.42863412318</v>
      </c>
      <c r="Q87" s="4"/>
      <c r="R87" s="4"/>
      <c r="S87" s="4">
        <v>173724.69072569022</v>
      </c>
    </row>
    <row r="88" spans="13:19" ht="15">
      <c r="M88" s="303" t="s">
        <v>498</v>
      </c>
      <c r="N88" s="304">
        <v>139412.57309314259</v>
      </c>
      <c r="O88" s="304">
        <v>897269.12844624871</v>
      </c>
      <c r="P88" s="304">
        <v>33418.354856622573</v>
      </c>
      <c r="Q88" s="304">
        <v>1168234.5324561233</v>
      </c>
      <c r="R88" s="304">
        <v>180434.9211977543</v>
      </c>
      <c r="S88" s="304">
        <v>2418769.5100498917</v>
      </c>
    </row>
    <row r="89" spans="13:19" ht="15">
      <c r="M89" s="305" t="s">
        <v>654</v>
      </c>
      <c r="N89" s="4">
        <v>139412.57309314259</v>
      </c>
      <c r="O89" s="4">
        <v>897269.12844624871</v>
      </c>
      <c r="P89" s="4">
        <v>33418.354856622573</v>
      </c>
      <c r="Q89" s="4">
        <v>1168234.5324561233</v>
      </c>
      <c r="R89" s="4">
        <v>180434.9211977543</v>
      </c>
      <c r="S89" s="4">
        <v>2418769.5100498917</v>
      </c>
    </row>
    <row r="90" spans="13:19" ht="15">
      <c r="M90" s="303" t="s">
        <v>499</v>
      </c>
      <c r="N90" s="304">
        <v>873802.96877394151</v>
      </c>
      <c r="O90" s="304">
        <v>967006.95013435348</v>
      </c>
      <c r="P90" s="304">
        <v>1902545.3670459231</v>
      </c>
      <c r="Q90" s="304">
        <v>2715096.2008670447</v>
      </c>
      <c r="R90" s="304">
        <v>227377.64457482001</v>
      </c>
      <c r="S90" s="304">
        <v>6685829.1313960822</v>
      </c>
    </row>
    <row r="91" spans="13:19" ht="15">
      <c r="M91" s="305" t="s">
        <v>653</v>
      </c>
      <c r="N91" s="4"/>
      <c r="O91" s="4"/>
      <c r="P91" s="4">
        <v>473892.27220132417</v>
      </c>
      <c r="Q91" s="4">
        <v>200947.51707587199</v>
      </c>
      <c r="R91" s="4"/>
      <c r="S91" s="4">
        <v>674839.78927719616</v>
      </c>
    </row>
    <row r="92" spans="13:19" ht="15">
      <c r="M92" s="305" t="s">
        <v>654</v>
      </c>
      <c r="N92" s="4">
        <v>873802.96877394151</v>
      </c>
      <c r="O92" s="4">
        <v>967006.95013435348</v>
      </c>
      <c r="P92" s="4">
        <v>1428653.094844599</v>
      </c>
      <c r="Q92" s="4">
        <v>2514148.6837911727</v>
      </c>
      <c r="R92" s="4">
        <v>227377.64457482001</v>
      </c>
      <c r="S92" s="4">
        <v>6010989.3421188863</v>
      </c>
    </row>
    <row r="93" spans="13:19" ht="15">
      <c r="M93" s="303" t="s">
        <v>124</v>
      </c>
      <c r="N93" s="304">
        <v>720671.37086019199</v>
      </c>
      <c r="O93" s="304">
        <v>6512354.9194373153</v>
      </c>
      <c r="P93" s="304"/>
      <c r="Q93" s="304">
        <v>589799.75037953851</v>
      </c>
      <c r="R93" s="304">
        <v>1500647.0245378944</v>
      </c>
      <c r="S93" s="304">
        <v>9323473.0652149394</v>
      </c>
    </row>
    <row r="94" spans="13:19" ht="15">
      <c r="M94" s="305" t="s">
        <v>654</v>
      </c>
      <c r="N94" s="4">
        <v>720671.37086019199</v>
      </c>
      <c r="O94" s="4">
        <v>6512354.9194373153</v>
      </c>
      <c r="P94" s="4"/>
      <c r="Q94" s="4">
        <v>589799.75037953851</v>
      </c>
      <c r="R94" s="4">
        <v>1500647.0245378944</v>
      </c>
      <c r="S94" s="4">
        <v>9323473.0652149394</v>
      </c>
    </row>
    <row r="95" spans="13:19" ht="15">
      <c r="M95" s="303" t="s">
        <v>501</v>
      </c>
      <c r="N95" s="304">
        <v>5815.2319020897294</v>
      </c>
      <c r="O95" s="304">
        <v>287360.27595680649</v>
      </c>
      <c r="P95" s="304">
        <v>260994.81874501385</v>
      </c>
      <c r="Q95" s="304"/>
      <c r="R95" s="304"/>
      <c r="S95" s="304">
        <v>554170.32660391007</v>
      </c>
    </row>
    <row r="96" spans="13:19" ht="15">
      <c r="M96" s="305" t="s">
        <v>654</v>
      </c>
      <c r="N96" s="4">
        <v>5815.2319020897294</v>
      </c>
      <c r="O96" s="4">
        <v>287360.27595680649</v>
      </c>
      <c r="P96" s="4">
        <v>260994.81874501385</v>
      </c>
      <c r="Q96" s="4"/>
      <c r="R96" s="4"/>
      <c r="S96" s="4">
        <v>554170.32660391007</v>
      </c>
    </row>
    <row r="97" spans="13:19" ht="15">
      <c r="M97" s="303" t="s">
        <v>502</v>
      </c>
      <c r="N97" s="304"/>
      <c r="O97" s="304"/>
      <c r="P97" s="304"/>
      <c r="Q97" s="304">
        <v>3281.2339706025841</v>
      </c>
      <c r="R97" s="304"/>
      <c r="S97" s="304">
        <v>3281.2339706025841</v>
      </c>
    </row>
    <row r="98" spans="13:19" ht="15">
      <c r="M98" s="305" t="s">
        <v>654</v>
      </c>
      <c r="N98" s="4"/>
      <c r="O98" s="4"/>
      <c r="P98" s="4"/>
      <c r="Q98" s="4">
        <v>3281.2339706025841</v>
      </c>
      <c r="R98" s="4"/>
      <c r="S98" s="4">
        <v>3281.2339706025841</v>
      </c>
    </row>
    <row r="99" spans="13:19" ht="15">
      <c r="M99" s="292" t="s">
        <v>494</v>
      </c>
      <c r="N99" s="296">
        <v>1769282.0298440885</v>
      </c>
      <c r="O99" s="296">
        <v>8734103.1438637376</v>
      </c>
      <c r="P99" s="296">
        <v>2391059.2352637476</v>
      </c>
      <c r="Q99" s="296">
        <v>4484022.3575773463</v>
      </c>
      <c r="R99" s="296">
        <v>1908459.5903104688</v>
      </c>
      <c r="S99" s="296">
        <v>19286926.356859386</v>
      </c>
    </row>
  </sheetData>
  <mergeCells count="1">
    <mergeCell ref="X10:Y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dimension ref="B3:F11"/>
  <sheetViews>
    <sheetView workbookViewId="0">
      <selection activeCell="F21" sqref="F21"/>
    </sheetView>
  </sheetViews>
  <sheetFormatPr defaultRowHeight="15"/>
  <cols>
    <col min="2" max="2" width="9.140625" customWidth="1"/>
    <col min="3" max="3" width="85.28515625" customWidth="1"/>
    <col min="5" max="5" width="11.28515625" bestFit="1" customWidth="1"/>
    <col min="6" max="6" width="100.85546875" customWidth="1"/>
  </cols>
  <sheetData>
    <row r="3" spans="2:6">
      <c r="B3" s="333" t="s">
        <v>667</v>
      </c>
      <c r="C3" s="333" t="s">
        <v>697</v>
      </c>
      <c r="D3" s="333" t="s">
        <v>698</v>
      </c>
      <c r="E3" s="333" t="s">
        <v>699</v>
      </c>
      <c r="F3" s="333" t="s">
        <v>669</v>
      </c>
    </row>
    <row r="4" spans="2:6">
      <c r="B4" s="65">
        <f>ROW()-3</f>
        <v>1</v>
      </c>
      <c r="C4" s="334" t="s">
        <v>702</v>
      </c>
      <c r="D4" s="334" t="s">
        <v>700</v>
      </c>
      <c r="E4" s="335">
        <v>42070</v>
      </c>
    </row>
    <row r="5" spans="2:6">
      <c r="B5" s="65">
        <f t="shared" ref="B5:B11" si="0">ROW()-3</f>
        <v>2</v>
      </c>
      <c r="C5" s="334" t="s">
        <v>703</v>
      </c>
      <c r="D5" s="334" t="s">
        <v>700</v>
      </c>
      <c r="E5" s="335">
        <v>42070</v>
      </c>
    </row>
    <row r="6" spans="2:6">
      <c r="B6" s="65">
        <f t="shared" si="0"/>
        <v>3</v>
      </c>
      <c r="C6" s="334" t="s">
        <v>704</v>
      </c>
      <c r="D6" s="334" t="s">
        <v>700</v>
      </c>
      <c r="E6" s="335">
        <v>42070</v>
      </c>
    </row>
    <row r="7" spans="2:6">
      <c r="B7" s="65">
        <f t="shared" si="0"/>
        <v>4</v>
      </c>
      <c r="C7" s="337" t="s">
        <v>706</v>
      </c>
      <c r="D7" s="337" t="s">
        <v>700</v>
      </c>
      <c r="F7" t="s">
        <v>707</v>
      </c>
    </row>
    <row r="8" spans="2:6">
      <c r="B8" s="65">
        <f t="shared" si="0"/>
        <v>5</v>
      </c>
      <c r="C8" s="334" t="s">
        <v>705</v>
      </c>
      <c r="D8" s="334" t="s">
        <v>700</v>
      </c>
      <c r="E8" s="335">
        <v>42081</v>
      </c>
    </row>
    <row r="9" spans="2:6">
      <c r="B9" s="65">
        <f t="shared" si="0"/>
        <v>6</v>
      </c>
      <c r="C9" s="334" t="s">
        <v>701</v>
      </c>
      <c r="D9" s="334" t="s">
        <v>700</v>
      </c>
      <c r="E9" s="335">
        <v>42081</v>
      </c>
    </row>
    <row r="10" spans="2:6">
      <c r="B10" s="65">
        <f t="shared" si="0"/>
        <v>7</v>
      </c>
      <c r="C10" s="334" t="s">
        <v>708</v>
      </c>
      <c r="D10" s="334" t="s">
        <v>700</v>
      </c>
      <c r="E10" s="335">
        <v>42081</v>
      </c>
      <c r="F10" s="45" t="s">
        <v>709</v>
      </c>
    </row>
    <row r="11" spans="2:6">
      <c r="B11" s="65">
        <f t="shared" si="0"/>
        <v>8</v>
      </c>
      <c r="C11" s="334"/>
      <c r="D11" s="334"/>
      <c r="E11" s="33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Z148"/>
  <sheetViews>
    <sheetView tabSelected="1" workbookViewId="0">
      <selection activeCell="A38" sqref="A38"/>
    </sheetView>
  </sheetViews>
  <sheetFormatPr defaultRowHeight="15"/>
  <cols>
    <col min="1" max="1" width="33.140625" customWidth="1"/>
    <col min="2" max="2" width="23.7109375" customWidth="1"/>
    <col min="3" max="3" width="20.5703125" customWidth="1"/>
    <col min="4" max="4" width="41.42578125" customWidth="1"/>
    <col min="5" max="5" width="11" customWidth="1"/>
    <col min="6" max="24" width="10.42578125" bestFit="1" customWidth="1"/>
    <col min="25" max="25" width="11.140625" customWidth="1"/>
  </cols>
  <sheetData>
    <row r="1" spans="1:26">
      <c r="A1" s="225" t="s">
        <v>514</v>
      </c>
      <c r="B1" s="339" t="s">
        <v>640</v>
      </c>
      <c r="C1" s="340"/>
      <c r="D1" s="340"/>
      <c r="E1" s="340"/>
      <c r="F1" s="340"/>
      <c r="G1" s="340"/>
      <c r="H1" s="340"/>
      <c r="I1" s="340"/>
      <c r="J1" s="340"/>
      <c r="K1" s="340"/>
      <c r="L1" s="340"/>
      <c r="M1" s="340"/>
      <c r="N1" s="340"/>
      <c r="O1" s="340"/>
      <c r="P1" s="340"/>
      <c r="Q1" s="340"/>
      <c r="R1" s="340"/>
      <c r="S1" s="341"/>
      <c r="T1" s="226"/>
      <c r="U1" s="226"/>
      <c r="V1" s="226"/>
      <c r="W1" s="226"/>
      <c r="X1" s="79"/>
    </row>
    <row r="2" spans="1:26">
      <c r="A2" s="227"/>
      <c r="B2" s="342"/>
      <c r="C2" s="343"/>
      <c r="D2" s="343"/>
      <c r="E2" s="343"/>
      <c r="F2" s="343"/>
      <c r="G2" s="343"/>
      <c r="H2" s="343"/>
      <c r="I2" s="343"/>
      <c r="J2" s="343"/>
      <c r="K2" s="343"/>
      <c r="L2" s="343"/>
      <c r="M2" s="343"/>
      <c r="N2" s="343"/>
      <c r="O2" s="343"/>
      <c r="P2" s="343"/>
      <c r="Q2" s="343"/>
      <c r="R2" s="343"/>
      <c r="S2" s="344"/>
      <c r="T2" s="228"/>
      <c r="U2" s="228"/>
      <c r="V2" s="228"/>
      <c r="W2" s="228"/>
      <c r="X2" s="79"/>
    </row>
    <row r="3" spans="1:26">
      <c r="A3" s="227"/>
      <c r="B3" s="342"/>
      <c r="C3" s="343"/>
      <c r="D3" s="343"/>
      <c r="E3" s="343"/>
      <c r="F3" s="343"/>
      <c r="G3" s="343"/>
      <c r="H3" s="343"/>
      <c r="I3" s="343"/>
      <c r="J3" s="343"/>
      <c r="K3" s="343"/>
      <c r="L3" s="343"/>
      <c r="M3" s="343"/>
      <c r="N3" s="343"/>
      <c r="O3" s="343"/>
      <c r="P3" s="343"/>
      <c r="Q3" s="343"/>
      <c r="R3" s="343"/>
      <c r="S3" s="344"/>
      <c r="T3" s="228"/>
      <c r="U3" s="228"/>
      <c r="V3" s="228"/>
      <c r="W3" s="228"/>
      <c r="X3" s="79"/>
    </row>
    <row r="4" spans="1:26">
      <c r="A4" s="227"/>
      <c r="B4" s="342"/>
      <c r="C4" s="343"/>
      <c r="D4" s="343"/>
      <c r="E4" s="343"/>
      <c r="F4" s="343"/>
      <c r="G4" s="343"/>
      <c r="H4" s="343"/>
      <c r="I4" s="343"/>
      <c r="J4" s="343"/>
      <c r="K4" s="343"/>
      <c r="L4" s="343"/>
      <c r="M4" s="343"/>
      <c r="N4" s="343"/>
      <c r="O4" s="343"/>
      <c r="P4" s="343"/>
      <c r="Q4" s="343"/>
      <c r="R4" s="343"/>
      <c r="S4" s="344"/>
      <c r="T4" s="228"/>
      <c r="U4" s="228"/>
      <c r="V4" s="228"/>
      <c r="W4" s="228"/>
      <c r="X4" s="79"/>
    </row>
    <row r="5" spans="1:26">
      <c r="A5" s="229" t="s">
        <v>515</v>
      </c>
      <c r="B5" s="342"/>
      <c r="C5" s="343"/>
      <c r="D5" s="345"/>
      <c r="E5" s="345"/>
      <c r="F5" s="345"/>
      <c r="G5" s="345"/>
      <c r="H5" s="345"/>
      <c r="I5" s="345"/>
      <c r="J5" s="345"/>
      <c r="K5" s="345"/>
      <c r="L5" s="345"/>
      <c r="M5" s="345"/>
      <c r="N5" s="345"/>
      <c r="O5" s="345"/>
      <c r="P5" s="345"/>
      <c r="Q5" s="345"/>
      <c r="R5" s="345"/>
      <c r="S5" s="346"/>
      <c r="T5" s="228"/>
      <c r="U5" s="228"/>
      <c r="V5" s="228"/>
      <c r="W5" s="228"/>
      <c r="X5" s="79"/>
    </row>
    <row r="6" spans="1:26">
      <c r="A6" s="230"/>
      <c r="B6" s="231"/>
      <c r="C6" s="231"/>
      <c r="D6" s="232"/>
      <c r="E6" s="233"/>
      <c r="F6" s="233"/>
      <c r="G6" s="233"/>
      <c r="H6" s="233"/>
      <c r="I6" s="233"/>
      <c r="J6" s="233"/>
      <c r="K6" s="233"/>
      <c r="L6" s="233"/>
      <c r="M6" s="233"/>
      <c r="N6" s="233"/>
      <c r="O6" s="233"/>
      <c r="P6" s="233"/>
      <c r="Q6" s="233"/>
      <c r="R6" s="233"/>
      <c r="S6" s="234"/>
      <c r="T6" s="228"/>
      <c r="U6" s="228"/>
      <c r="V6" s="228"/>
      <c r="W6" s="228"/>
      <c r="X6" s="79"/>
    </row>
    <row r="7" spans="1:26">
      <c r="A7" s="235"/>
      <c r="B7" s="236" t="s">
        <v>516</v>
      </c>
      <c r="C7" s="237" t="s">
        <v>116</v>
      </c>
      <c r="D7" s="329" t="s">
        <v>696</v>
      </c>
      <c r="E7" s="79"/>
      <c r="F7" s="79"/>
      <c r="G7" s="79"/>
      <c r="H7" s="79"/>
      <c r="I7" s="79"/>
      <c r="J7" s="79"/>
      <c r="K7" s="79"/>
      <c r="L7" s="79"/>
      <c r="M7" s="79"/>
      <c r="N7" s="79"/>
      <c r="O7" s="79"/>
      <c r="P7" s="79"/>
      <c r="Q7" s="79"/>
      <c r="R7" s="79"/>
      <c r="S7" s="79"/>
      <c r="T7" s="79"/>
      <c r="U7" s="79"/>
      <c r="V7" s="79"/>
      <c r="W7" s="79"/>
      <c r="X7" s="79"/>
    </row>
    <row r="8" spans="1:26">
      <c r="A8" s="238" t="s">
        <v>517</v>
      </c>
      <c r="B8" s="236" t="s">
        <v>518</v>
      </c>
      <c r="C8" s="237" t="str">
        <f>[3]MLIST!$D$71</f>
        <v>Parking Lighting-NR</v>
      </c>
      <c r="D8" s="330" t="str">
        <f>[4]!switch_ForecastState</f>
        <v>Region</v>
      </c>
      <c r="E8" s="239"/>
      <c r="F8" s="240"/>
      <c r="G8" s="79"/>
      <c r="H8" s="79"/>
      <c r="I8" s="79"/>
      <c r="J8" s="79"/>
      <c r="K8" s="79"/>
      <c r="L8" s="79"/>
      <c r="M8" s="79"/>
      <c r="N8" s="79"/>
      <c r="O8" s="79"/>
      <c r="P8" s="79"/>
      <c r="Q8" s="79"/>
      <c r="R8" s="79"/>
      <c r="S8" s="79"/>
      <c r="T8" s="79"/>
      <c r="U8" s="79"/>
      <c r="V8" s="79"/>
      <c r="W8" s="79"/>
      <c r="X8" s="79"/>
    </row>
    <row r="9" spans="1:26">
      <c r="A9" s="238" t="str">
        <f>INDEX([3]ACHIEV!$A$19:$B$100,MATCH(C8,[3]ACHIEV!$B$19:$B$100,0),1)</f>
        <v>Lighting</v>
      </c>
      <c r="B9" s="241" t="s">
        <v>520</v>
      </c>
      <c r="C9" s="237">
        <f>[3]FILES!$H$4</f>
        <v>2035</v>
      </c>
      <c r="D9" s="330" t="str">
        <f>[4]!switch_ForecastScenario</f>
        <v>Base</v>
      </c>
      <c r="E9" s="242"/>
      <c r="F9" s="79"/>
      <c r="G9" s="79"/>
      <c r="H9" s="79"/>
      <c r="I9" s="79"/>
      <c r="J9" s="79"/>
      <c r="K9" s="79"/>
      <c r="L9" s="79"/>
      <c r="M9" s="79"/>
      <c r="N9" s="79"/>
      <c r="O9" s="79"/>
      <c r="P9" s="79"/>
      <c r="Q9" s="79"/>
      <c r="R9" s="79"/>
      <c r="S9" s="79"/>
      <c r="T9" s="79"/>
      <c r="U9" s="79"/>
      <c r="V9" s="79"/>
      <c r="W9" s="79"/>
      <c r="X9" s="79"/>
    </row>
    <row r="10" spans="1:26">
      <c r="A10" s="243"/>
      <c r="B10" s="338" t="s">
        <v>521</v>
      </c>
      <c r="C10" s="332">
        <f ca="1">MIN(SUM(E68:X68),SUM(Y68))</f>
        <v>8.4133728390346398</v>
      </c>
      <c r="D10" s="79"/>
      <c r="E10" s="79">
        <v>1</v>
      </c>
      <c r="F10" s="79">
        <f>E10+1</f>
        <v>2</v>
      </c>
      <c r="G10" s="79">
        <f t="shared" ref="G10:V11" si="0">F10+1</f>
        <v>3</v>
      </c>
      <c r="H10" s="79">
        <f t="shared" si="0"/>
        <v>4</v>
      </c>
      <c r="I10" s="79">
        <f t="shared" si="0"/>
        <v>5</v>
      </c>
      <c r="J10" s="79">
        <f t="shared" si="0"/>
        <v>6</v>
      </c>
      <c r="K10" s="79">
        <f t="shared" si="0"/>
        <v>7</v>
      </c>
      <c r="L10" s="79">
        <f t="shared" si="0"/>
        <v>8</v>
      </c>
      <c r="M10" s="79">
        <f t="shared" si="0"/>
        <v>9</v>
      </c>
      <c r="N10" s="79">
        <f t="shared" si="0"/>
        <v>10</v>
      </c>
      <c r="O10" s="79">
        <f t="shared" si="0"/>
        <v>11</v>
      </c>
      <c r="P10" s="79">
        <f t="shared" si="0"/>
        <v>12</v>
      </c>
      <c r="Q10" s="79">
        <f t="shared" si="0"/>
        <v>13</v>
      </c>
      <c r="R10" s="79">
        <f t="shared" si="0"/>
        <v>14</v>
      </c>
      <c r="S10" s="79">
        <f t="shared" si="0"/>
        <v>15</v>
      </c>
      <c r="T10" s="79">
        <f t="shared" si="0"/>
        <v>16</v>
      </c>
      <c r="U10" s="79">
        <f t="shared" si="0"/>
        <v>17</v>
      </c>
      <c r="V10" s="79">
        <f t="shared" si="0"/>
        <v>18</v>
      </c>
      <c r="W10" s="79">
        <f>V10+1</f>
        <v>19</v>
      </c>
      <c r="X10" s="79">
        <f>W10+1</f>
        <v>20</v>
      </c>
    </row>
    <row r="11" spans="1:26">
      <c r="A11" s="236"/>
      <c r="B11" s="236"/>
      <c r="C11" s="236"/>
      <c r="D11" s="236"/>
      <c r="E11" s="236">
        <f>C9-20+1</f>
        <v>2016</v>
      </c>
      <c r="F11" s="236">
        <f>E11+1</f>
        <v>2017</v>
      </c>
      <c r="G11" s="236">
        <f t="shared" si="0"/>
        <v>2018</v>
      </c>
      <c r="H11" s="236">
        <f t="shared" si="0"/>
        <v>2019</v>
      </c>
      <c r="I11" s="236">
        <f t="shared" si="0"/>
        <v>2020</v>
      </c>
      <c r="J11" s="236">
        <f t="shared" si="0"/>
        <v>2021</v>
      </c>
      <c r="K11" s="236">
        <f t="shared" si="0"/>
        <v>2022</v>
      </c>
      <c r="L11" s="236">
        <f t="shared" si="0"/>
        <v>2023</v>
      </c>
      <c r="M11" s="236">
        <f t="shared" si="0"/>
        <v>2024</v>
      </c>
      <c r="N11" s="236">
        <f t="shared" si="0"/>
        <v>2025</v>
      </c>
      <c r="O11" s="236">
        <f t="shared" si="0"/>
        <v>2026</v>
      </c>
      <c r="P11" s="236">
        <f t="shared" si="0"/>
        <v>2027</v>
      </c>
      <c r="Q11" s="236">
        <f t="shared" si="0"/>
        <v>2028</v>
      </c>
      <c r="R11" s="236">
        <f t="shared" si="0"/>
        <v>2029</v>
      </c>
      <c r="S11" s="236">
        <f t="shared" si="0"/>
        <v>2030</v>
      </c>
      <c r="T11" s="236">
        <f t="shared" si="0"/>
        <v>2031</v>
      </c>
      <c r="U11" s="236">
        <f t="shared" si="0"/>
        <v>2032</v>
      </c>
      <c r="V11" s="236">
        <f t="shared" si="0"/>
        <v>2033</v>
      </c>
      <c r="W11" s="236">
        <f>V11+1</f>
        <v>2034</v>
      </c>
      <c r="X11" s="236">
        <f>W11+1</f>
        <v>2035</v>
      </c>
      <c r="Y11" s="244" t="s">
        <v>522</v>
      </c>
      <c r="Z11" s="245" t="s">
        <v>523</v>
      </c>
    </row>
    <row r="12" spans="1:26">
      <c r="A12" s="236"/>
      <c r="B12" s="236"/>
      <c r="C12" s="236"/>
      <c r="D12" s="236"/>
      <c r="E12" s="236" t="str">
        <f>CONCATENATE("FLOOR_",E11)</f>
        <v>FLOOR_2016</v>
      </c>
      <c r="F12" s="236" t="str">
        <f t="shared" ref="F12:X12" si="1">CONCATENATE("FLOOR_",F11)</f>
        <v>FLOOR_2017</v>
      </c>
      <c r="G12" s="236" t="str">
        <f t="shared" si="1"/>
        <v>FLOOR_2018</v>
      </c>
      <c r="H12" s="236" t="str">
        <f t="shared" si="1"/>
        <v>FLOOR_2019</v>
      </c>
      <c r="I12" s="236" t="str">
        <f t="shared" si="1"/>
        <v>FLOOR_2020</v>
      </c>
      <c r="J12" s="236" t="str">
        <f t="shared" si="1"/>
        <v>FLOOR_2021</v>
      </c>
      <c r="K12" s="236" t="str">
        <f t="shared" si="1"/>
        <v>FLOOR_2022</v>
      </c>
      <c r="L12" s="236" t="str">
        <f t="shared" si="1"/>
        <v>FLOOR_2023</v>
      </c>
      <c r="M12" s="236" t="str">
        <f t="shared" si="1"/>
        <v>FLOOR_2024</v>
      </c>
      <c r="N12" s="236" t="str">
        <f t="shared" si="1"/>
        <v>FLOOR_2025</v>
      </c>
      <c r="O12" s="236" t="str">
        <f t="shared" si="1"/>
        <v>FLOOR_2026</v>
      </c>
      <c r="P12" s="236" t="str">
        <f t="shared" si="1"/>
        <v>FLOOR_2027</v>
      </c>
      <c r="Q12" s="236" t="str">
        <f t="shared" si="1"/>
        <v>FLOOR_2028</v>
      </c>
      <c r="R12" s="236" t="str">
        <f t="shared" si="1"/>
        <v>FLOOR_2029</v>
      </c>
      <c r="S12" s="236" t="str">
        <f t="shared" si="1"/>
        <v>FLOOR_2030</v>
      </c>
      <c r="T12" s="236" t="str">
        <f t="shared" si="1"/>
        <v>FLOOR_2031</v>
      </c>
      <c r="U12" s="236" t="str">
        <f t="shared" si="1"/>
        <v>FLOOR_2032</v>
      </c>
      <c r="V12" s="236" t="str">
        <f t="shared" si="1"/>
        <v>FLOOR_2033</v>
      </c>
      <c r="W12" s="236" t="str">
        <f t="shared" si="1"/>
        <v>FLOOR_2034</v>
      </c>
      <c r="X12" s="236" t="str">
        <f t="shared" si="1"/>
        <v>FLOOR_2035</v>
      </c>
      <c r="Y12" s="246">
        <v>0.85</v>
      </c>
      <c r="Z12" s="245" t="s">
        <v>523</v>
      </c>
    </row>
    <row r="13" spans="1:26">
      <c r="A13" s="79"/>
      <c r="B13" s="79"/>
      <c r="D13" s="331" t="s">
        <v>524</v>
      </c>
      <c r="E13" s="239">
        <f ca="1">INDEX([4]!tbl_Forecast,MATCH($D$8&amp;$D13&amp;$D$7,[4]!rng_ForecastRowLookup,0),MATCH(E$11,[4]!rng_ForecastColumnLookup,0))</f>
        <v>380.08828477966154</v>
      </c>
      <c r="F13" s="239">
        <f ca="1">INDEX([4]!tbl_Forecast,MATCH($D$8&amp;$D13&amp;$D$7,[4]!rng_ForecastRowLookup,0),MATCH(F$11,[4]!rng_ForecastColumnLookup,0))</f>
        <v>378.94801992532251</v>
      </c>
      <c r="G13" s="239">
        <f ca="1">INDEX([4]!tbl_Forecast,MATCH($D$8&amp;$D13&amp;$D$7,[4]!rng_ForecastRowLookup,0),MATCH(G$11,[4]!rng_ForecastColumnLookup,0))</f>
        <v>377.81117586554655</v>
      </c>
      <c r="H13" s="239">
        <f ca="1">INDEX([4]!tbl_Forecast,MATCH($D$8&amp;$D13&amp;$D$7,[4]!rng_ForecastRowLookup,0),MATCH(H$11,[4]!rng_ForecastColumnLookup,0))</f>
        <v>376.67774233794995</v>
      </c>
      <c r="I13" s="239">
        <f ca="1">INDEX([4]!tbl_Forecast,MATCH($D$8&amp;$D13&amp;$D$7,[4]!rng_ForecastRowLookup,0),MATCH(I$11,[4]!rng_ForecastColumnLookup,0))</f>
        <v>375.54770911093607</v>
      </c>
      <c r="J13" s="239">
        <f ca="1">INDEX([4]!tbl_Forecast,MATCH($D$8&amp;$D13&amp;$D$7,[4]!rng_ForecastRowLookup,0),MATCH(J$11,[4]!rng_ForecastColumnLookup,0))</f>
        <v>374.42106598360328</v>
      </c>
      <c r="K13" s="239">
        <f ca="1">INDEX([4]!tbl_Forecast,MATCH($D$8&amp;$D13&amp;$D$7,[4]!rng_ForecastRowLookup,0),MATCH(K$11,[4]!rng_ForecastColumnLookup,0))</f>
        <v>373.29780278565244</v>
      </c>
      <c r="L13" s="239">
        <f ca="1">INDEX([4]!tbl_Forecast,MATCH($D$8&amp;$D13&amp;$D$7,[4]!rng_ForecastRowLookup,0),MATCH(L$11,[4]!rng_ForecastColumnLookup,0))</f>
        <v>372.17790937729552</v>
      </c>
      <c r="M13" s="239">
        <f ca="1">INDEX([4]!tbl_Forecast,MATCH($D$8&amp;$D13&amp;$D$7,[4]!rng_ForecastRowLookup,0),MATCH(M$11,[4]!rng_ForecastColumnLookup,0))</f>
        <v>371.06137564916361</v>
      </c>
      <c r="N13" s="239">
        <f ca="1">INDEX([4]!tbl_Forecast,MATCH($D$8&amp;$D13&amp;$D$7,[4]!rng_ForecastRowLookup,0),MATCH(N$11,[4]!rng_ForecastColumnLookup,0))</f>
        <v>369.94819152221612</v>
      </c>
      <c r="O13" s="239">
        <f ca="1">INDEX([4]!tbl_Forecast,MATCH($D$8&amp;$D13&amp;$D$7,[4]!rng_ForecastRowLookup,0),MATCH(O$11,[4]!rng_ForecastColumnLookup,0))</f>
        <v>368.83834694764948</v>
      </c>
      <c r="P13" s="239">
        <f ca="1">INDEX([4]!tbl_Forecast,MATCH($D$8&amp;$D13&amp;$D$7,[4]!rng_ForecastRowLookup,0),MATCH(P$11,[4]!rng_ForecastColumnLookup,0))</f>
        <v>367.73183190680658</v>
      </c>
      <c r="Q13" s="239">
        <f ca="1">INDEX([4]!tbl_Forecast,MATCH($D$8&amp;$D13&amp;$D$7,[4]!rng_ForecastRowLookup,0),MATCH(Q$11,[4]!rng_ForecastColumnLookup,0))</f>
        <v>366.62863641108612</v>
      </c>
      <c r="R13" s="239">
        <f ca="1">INDEX([4]!tbl_Forecast,MATCH($D$8&amp;$D13&amp;$D$7,[4]!rng_ForecastRowLookup,0),MATCH(R$11,[4]!rng_ForecastColumnLookup,0))</f>
        <v>365.52875050185287</v>
      </c>
      <c r="S13" s="239">
        <f ca="1">INDEX([4]!tbl_Forecast,MATCH($D$8&amp;$D13&amp;$D$7,[4]!rng_ForecastRowLookup,0),MATCH(S$11,[4]!rng_ForecastColumnLookup,0))</f>
        <v>364.43216425034728</v>
      </c>
      <c r="T13" s="239">
        <f ca="1">INDEX([4]!tbl_Forecast,MATCH($D$8&amp;$D13&amp;$D$7,[4]!rng_ForecastRowLookup,0),MATCH(T$11,[4]!rng_ForecastColumnLookup,0))</f>
        <v>363.33886775759629</v>
      </c>
      <c r="U13" s="239">
        <f ca="1">INDEX([4]!tbl_Forecast,MATCH($D$8&amp;$D13&amp;$D$7,[4]!rng_ForecastRowLookup,0),MATCH(U$11,[4]!rng_ForecastColumnLookup,0))</f>
        <v>362.24885115432346</v>
      </c>
      <c r="V13" s="239">
        <f ca="1">INDEX([4]!tbl_Forecast,MATCH($D$8&amp;$D13&amp;$D$7,[4]!rng_ForecastRowLookup,0),MATCH(V$11,[4]!rng_ForecastColumnLookup,0))</f>
        <v>361.16210460086046</v>
      </c>
      <c r="W13" s="239">
        <f ca="1">INDEX([4]!tbl_Forecast,MATCH($D$8&amp;$D13&amp;$D$7,[4]!rng_ForecastRowLookup,0),MATCH(W$11,[4]!rng_ForecastColumnLookup,0))</f>
        <v>360.07861828705791</v>
      </c>
      <c r="X13" s="239">
        <f ca="1">INDEX([4]!tbl_Forecast,MATCH($D$8&amp;$D13&amp;$D$7,[4]!rng_ForecastRowLookup,0),MATCH(X$11,[4]!rng_ForecastColumnLookup,0))</f>
        <v>358.99838243219671</v>
      </c>
      <c r="Z13" s="4">
        <f t="shared" ref="Z13:Z30" ca="1" si="2">X13</f>
        <v>358.99838243219671</v>
      </c>
    </row>
    <row r="14" spans="1:26">
      <c r="A14" s="79"/>
      <c r="B14" s="79"/>
      <c r="D14" s="331" t="s">
        <v>525</v>
      </c>
      <c r="E14" s="239">
        <f ca="1">INDEX([4]!tbl_Forecast,MATCH($D$8&amp;$D14&amp;$D$7,[4]!rng_ForecastRowLookup,0),MATCH(E$11,[4]!rng_ForecastColumnLookup,0))</f>
        <v>190.73687138333023</v>
      </c>
      <c r="F14" s="239">
        <f ca="1">INDEX([4]!tbl_Forecast,MATCH($D$8&amp;$D14&amp;$D$7,[4]!rng_ForecastRowLookup,0),MATCH(F$11,[4]!rng_ForecastColumnLookup,0))</f>
        <v>190.16466076918024</v>
      </c>
      <c r="G14" s="239">
        <f ca="1">INDEX([4]!tbl_Forecast,MATCH($D$8&amp;$D14&amp;$D$7,[4]!rng_ForecastRowLookup,0),MATCH(G$11,[4]!rng_ForecastColumnLookup,0))</f>
        <v>189.59416678687271</v>
      </c>
      <c r="H14" s="239">
        <f ca="1">INDEX([4]!tbl_Forecast,MATCH($D$8&amp;$D14&amp;$D$7,[4]!rng_ForecastRowLookup,0),MATCH(H$11,[4]!rng_ForecastColumnLookup,0))</f>
        <v>189.02538428651209</v>
      </c>
      <c r="I14" s="239">
        <f ca="1">INDEX([4]!tbl_Forecast,MATCH($D$8&amp;$D14&amp;$D$7,[4]!rng_ForecastRowLookup,0),MATCH(I$11,[4]!rng_ForecastColumnLookup,0))</f>
        <v>188.45830813365254</v>
      </c>
      <c r="J14" s="239">
        <f ca="1">INDEX([4]!tbl_Forecast,MATCH($D$8&amp;$D14&amp;$D$7,[4]!rng_ForecastRowLookup,0),MATCH(J$11,[4]!rng_ForecastColumnLookup,0))</f>
        <v>187.89293320925157</v>
      </c>
      <c r="K14" s="239">
        <f ca="1">INDEX([4]!tbl_Forecast,MATCH($D$8&amp;$D14&amp;$D$7,[4]!rng_ForecastRowLookup,0),MATCH(K$11,[4]!rng_ForecastColumnLookup,0))</f>
        <v>187.32925440962381</v>
      </c>
      <c r="L14" s="239">
        <f ca="1">INDEX([4]!tbl_Forecast,MATCH($D$8&amp;$D14&amp;$D$7,[4]!rng_ForecastRowLookup,0),MATCH(L$11,[4]!rng_ForecastColumnLookup,0))</f>
        <v>186.76726664639497</v>
      </c>
      <c r="M14" s="239">
        <f ca="1">INDEX([4]!tbl_Forecast,MATCH($D$8&amp;$D14&amp;$D$7,[4]!rng_ForecastRowLookup,0),MATCH(M$11,[4]!rng_ForecastColumnLookup,0))</f>
        <v>186.20696484645578</v>
      </c>
      <c r="N14" s="239">
        <f ca="1">INDEX([4]!tbl_Forecast,MATCH($D$8&amp;$D14&amp;$D$7,[4]!rng_ForecastRowLookup,0),MATCH(N$11,[4]!rng_ForecastColumnLookup,0))</f>
        <v>185.64834395191642</v>
      </c>
      <c r="O14" s="239">
        <f ca="1">INDEX([4]!tbl_Forecast,MATCH($D$8&amp;$D14&amp;$D$7,[4]!rng_ForecastRowLookup,0),MATCH(O$11,[4]!rng_ForecastColumnLookup,0))</f>
        <v>185.09139892006067</v>
      </c>
      <c r="P14" s="239">
        <f ca="1">INDEX([4]!tbl_Forecast,MATCH($D$8&amp;$D14&amp;$D$7,[4]!rng_ForecastRowLookup,0),MATCH(P$11,[4]!rng_ForecastColumnLookup,0))</f>
        <v>184.5361247233005</v>
      </c>
      <c r="Q14" s="239">
        <f ca="1">INDEX([4]!tbl_Forecast,MATCH($D$8&amp;$D14&amp;$D$7,[4]!rng_ForecastRowLookup,0),MATCH(Q$11,[4]!rng_ForecastColumnLookup,0))</f>
        <v>183.98251634913058</v>
      </c>
      <c r="R14" s="239">
        <f ca="1">INDEX([4]!tbl_Forecast,MATCH($D$8&amp;$D14&amp;$D$7,[4]!rng_ForecastRowLookup,0),MATCH(R$11,[4]!rng_ForecastColumnLookup,0))</f>
        <v>183.43056880008319</v>
      </c>
      <c r="S14" s="239">
        <f ca="1">INDEX([4]!tbl_Forecast,MATCH($D$8&amp;$D14&amp;$D$7,[4]!rng_ForecastRowLookup,0),MATCH(S$11,[4]!rng_ForecastColumnLookup,0))</f>
        <v>182.88027709368296</v>
      </c>
      <c r="T14" s="239">
        <f ca="1">INDEX([4]!tbl_Forecast,MATCH($D$8&amp;$D14&amp;$D$7,[4]!rng_ForecastRowLookup,0),MATCH(T$11,[4]!rng_ForecastColumnLookup,0))</f>
        <v>182.33163626240187</v>
      </c>
      <c r="U14" s="239">
        <f ca="1">INDEX([4]!tbl_Forecast,MATCH($D$8&amp;$D14&amp;$D$7,[4]!rng_ForecastRowLookup,0),MATCH(U$11,[4]!rng_ForecastColumnLookup,0))</f>
        <v>181.78464135361469</v>
      </c>
      <c r="V14" s="239">
        <f ca="1">INDEX([4]!tbl_Forecast,MATCH($D$8&amp;$D14&amp;$D$7,[4]!rng_ForecastRowLookup,0),MATCH(V$11,[4]!rng_ForecastColumnLookup,0))</f>
        <v>181.23928742955383</v>
      </c>
      <c r="W14" s="239">
        <f ca="1">INDEX([4]!tbl_Forecast,MATCH($D$8&amp;$D14&amp;$D$7,[4]!rng_ForecastRowLookup,0),MATCH(W$11,[4]!rng_ForecastColumnLookup,0))</f>
        <v>180.69556956726515</v>
      </c>
      <c r="X14" s="239">
        <f ca="1">INDEX([4]!tbl_Forecast,MATCH($D$8&amp;$D14&amp;$D$7,[4]!rng_ForecastRowLookup,0),MATCH(X$11,[4]!rng_ForecastColumnLookup,0))</f>
        <v>180.15348285856339</v>
      </c>
      <c r="Z14" s="4">
        <f t="shared" ca="1" si="2"/>
        <v>180.15348285856339</v>
      </c>
    </row>
    <row r="15" spans="1:26">
      <c r="A15" s="79"/>
      <c r="B15" s="79"/>
      <c r="D15" s="331" t="s">
        <v>526</v>
      </c>
      <c r="E15" s="239">
        <f ca="1">INDEX([4]!tbl_Forecast,MATCH($D$8&amp;$D15&amp;$D$7,[4]!rng_ForecastRowLookup,0),MATCH(E$11,[4]!rng_ForecastColumnLookup,0))</f>
        <v>184.0913556049378</v>
      </c>
      <c r="F15" s="239">
        <f ca="1">INDEX([4]!tbl_Forecast,MATCH($D$8&amp;$D15&amp;$D$7,[4]!rng_ForecastRowLookup,0),MATCH(F$11,[4]!rng_ForecastColumnLookup,0))</f>
        <v>183.53908153812301</v>
      </c>
      <c r="G15" s="239">
        <f ca="1">INDEX([4]!tbl_Forecast,MATCH($D$8&amp;$D15&amp;$D$7,[4]!rng_ForecastRowLookup,0),MATCH(G$11,[4]!rng_ForecastColumnLookup,0))</f>
        <v>182.98846429350866</v>
      </c>
      <c r="H15" s="239">
        <f ca="1">INDEX([4]!tbl_Forecast,MATCH($D$8&amp;$D15&amp;$D$7,[4]!rng_ForecastRowLookup,0),MATCH(H$11,[4]!rng_ForecastColumnLookup,0))</f>
        <v>182.43949890062811</v>
      </c>
      <c r="I15" s="239">
        <f ca="1">INDEX([4]!tbl_Forecast,MATCH($D$8&amp;$D15&amp;$D$7,[4]!rng_ForecastRowLookup,0),MATCH(I$11,[4]!rng_ForecastColumnLookup,0))</f>
        <v>181.89218040392623</v>
      </c>
      <c r="J15" s="239">
        <f ca="1">INDEX([4]!tbl_Forecast,MATCH($D$8&amp;$D15&amp;$D$7,[4]!rng_ForecastRowLookup,0),MATCH(J$11,[4]!rng_ForecastColumnLookup,0))</f>
        <v>181.34650386271446</v>
      </c>
      <c r="K15" s="239">
        <f ca="1">INDEX([4]!tbl_Forecast,MATCH($D$8&amp;$D15&amp;$D$7,[4]!rng_ForecastRowLookup,0),MATCH(K$11,[4]!rng_ForecastColumnLookup,0))</f>
        <v>180.80246435112633</v>
      </c>
      <c r="L15" s="239">
        <f ca="1">INDEX([4]!tbl_Forecast,MATCH($D$8&amp;$D15&amp;$D$7,[4]!rng_ForecastRowLookup,0),MATCH(L$11,[4]!rng_ForecastColumnLookup,0))</f>
        <v>180.26005695807294</v>
      </c>
      <c r="M15" s="239">
        <f ca="1">INDEX([4]!tbl_Forecast,MATCH($D$8&amp;$D15&amp;$D$7,[4]!rng_ForecastRowLookup,0),MATCH(M$11,[4]!rng_ForecastColumnLookup,0))</f>
        <v>179.71927678719871</v>
      </c>
      <c r="N15" s="239">
        <f ca="1">INDEX([4]!tbl_Forecast,MATCH($D$8&amp;$D15&amp;$D$7,[4]!rng_ForecastRowLookup,0),MATCH(N$11,[4]!rng_ForecastColumnLookup,0))</f>
        <v>179.18011895683713</v>
      </c>
      <c r="O15" s="239">
        <f ca="1">INDEX([4]!tbl_Forecast,MATCH($D$8&amp;$D15&amp;$D$7,[4]!rng_ForecastRowLookup,0),MATCH(O$11,[4]!rng_ForecastColumnLookup,0))</f>
        <v>178.64257859996661</v>
      </c>
      <c r="P15" s="239">
        <f ca="1">INDEX([4]!tbl_Forecast,MATCH($D$8&amp;$D15&amp;$D$7,[4]!rng_ForecastRowLookup,0),MATCH(P$11,[4]!rng_ForecastColumnLookup,0))</f>
        <v>178.10665086416668</v>
      </c>
      <c r="Q15" s="239">
        <f ca="1">INDEX([4]!tbl_Forecast,MATCH($D$8&amp;$D15&amp;$D$7,[4]!rng_ForecastRowLookup,0),MATCH(Q$11,[4]!rng_ForecastColumnLookup,0))</f>
        <v>177.57233091157423</v>
      </c>
      <c r="R15" s="239">
        <f ca="1">INDEX([4]!tbl_Forecast,MATCH($D$8&amp;$D15&amp;$D$7,[4]!rng_ForecastRowLookup,0),MATCH(R$11,[4]!rng_ForecastColumnLookup,0))</f>
        <v>177.03961391883951</v>
      </c>
      <c r="S15" s="239">
        <f ca="1">INDEX([4]!tbl_Forecast,MATCH($D$8&amp;$D15&amp;$D$7,[4]!rng_ForecastRowLookup,0),MATCH(S$11,[4]!rng_ForecastColumnLookup,0))</f>
        <v>176.50849507708296</v>
      </c>
      <c r="T15" s="239">
        <f ca="1">INDEX([4]!tbl_Forecast,MATCH($D$8&amp;$D15&amp;$D$7,[4]!rng_ForecastRowLookup,0),MATCH(T$11,[4]!rng_ForecastColumnLookup,0))</f>
        <v>175.97896959185172</v>
      </c>
      <c r="U15" s="239">
        <f ca="1">INDEX([4]!tbl_Forecast,MATCH($D$8&amp;$D15&amp;$D$7,[4]!rng_ForecastRowLookup,0),MATCH(U$11,[4]!rng_ForecastColumnLookup,0))</f>
        <v>175.45103268307616</v>
      </c>
      <c r="V15" s="239">
        <f ca="1">INDEX([4]!tbl_Forecast,MATCH($D$8&amp;$D15&amp;$D$7,[4]!rng_ForecastRowLookup,0),MATCH(V$11,[4]!rng_ForecastColumnLookup,0))</f>
        <v>174.92467958502692</v>
      </c>
      <c r="W15" s="239">
        <f ca="1">INDEX([4]!tbl_Forecast,MATCH($D$8&amp;$D15&amp;$D$7,[4]!rng_ForecastRowLookup,0),MATCH(W$11,[4]!rng_ForecastColumnLookup,0))</f>
        <v>174.39990554627184</v>
      </c>
      <c r="X15" s="239">
        <f ca="1">INDEX([4]!tbl_Forecast,MATCH($D$8&amp;$D15&amp;$D$7,[4]!rng_ForecastRowLookup,0),MATCH(X$11,[4]!rng_ForecastColumnLookup,0))</f>
        <v>173.87670582963304</v>
      </c>
      <c r="Z15" s="4">
        <f t="shared" ca="1" si="2"/>
        <v>173.87670582963304</v>
      </c>
    </row>
    <row r="16" spans="1:26">
      <c r="A16" s="79"/>
      <c r="B16" s="79"/>
      <c r="D16" s="82" t="s">
        <v>527</v>
      </c>
      <c r="E16" s="239">
        <f ca="1">INDEX([4]!tbl_Forecast,MATCH($D$8&amp;$D16&amp;$D$7,[4]!rng_ForecastRowLookup,0),MATCH(E$11,[4]!rng_ForecastColumnLookup,0))</f>
        <v>138.35734062238015</v>
      </c>
      <c r="F16" s="239">
        <f ca="1">INDEX([4]!tbl_Forecast,MATCH($D$8&amp;$D16&amp;$D$7,[4]!rng_ForecastRowLookup,0),MATCH(F$11,[4]!rng_ForecastColumnLookup,0))</f>
        <v>137.7208968555172</v>
      </c>
      <c r="G16" s="239">
        <f ca="1">INDEX([4]!tbl_Forecast,MATCH($D$8&amp;$D16&amp;$D$7,[4]!rng_ForecastRowLookup,0),MATCH(G$11,[4]!rng_ForecastColumnLookup,0))</f>
        <v>137.08738072998179</v>
      </c>
      <c r="H16" s="239">
        <f ca="1">INDEX([4]!tbl_Forecast,MATCH($D$8&amp;$D16&amp;$D$7,[4]!rng_ForecastRowLookup,0),MATCH(H$11,[4]!rng_ForecastColumnLookup,0))</f>
        <v>136.45677877862389</v>
      </c>
      <c r="I16" s="239">
        <f ca="1">INDEX([4]!tbl_Forecast,MATCH($D$8&amp;$D16&amp;$D$7,[4]!rng_ForecastRowLookup,0),MATCH(I$11,[4]!rng_ForecastColumnLookup,0))</f>
        <v>135.8290775962422</v>
      </c>
      <c r="J16" s="239">
        <f ca="1">INDEX([4]!tbl_Forecast,MATCH($D$8&amp;$D16&amp;$D$7,[4]!rng_ForecastRowLookup,0),MATCH(J$11,[4]!rng_ForecastColumnLookup,0))</f>
        <v>135.20426383929947</v>
      </c>
      <c r="K16" s="239">
        <f ca="1">INDEX([4]!tbl_Forecast,MATCH($D$8&amp;$D16&amp;$D$7,[4]!rng_ForecastRowLookup,0),MATCH(K$11,[4]!rng_ForecastColumnLookup,0))</f>
        <v>134.5823242256387</v>
      </c>
      <c r="L16" s="239">
        <f ca="1">INDEX([4]!tbl_Forecast,MATCH($D$8&amp;$D16&amp;$D$7,[4]!rng_ForecastRowLookup,0),MATCH(L$11,[4]!rng_ForecastColumnLookup,0))</f>
        <v>133.96324553420075</v>
      </c>
      <c r="M16" s="239">
        <f ca="1">INDEX([4]!tbl_Forecast,MATCH($D$8&amp;$D16&amp;$D$7,[4]!rng_ForecastRowLookup,0),MATCH(M$11,[4]!rng_ForecastColumnLookup,0))</f>
        <v>133.34701460474344</v>
      </c>
      <c r="N16" s="239">
        <f ca="1">INDEX([4]!tbl_Forecast,MATCH($D$8&amp;$D16&amp;$D$7,[4]!rng_ForecastRowLookup,0),MATCH(N$11,[4]!rng_ForecastColumnLookup,0))</f>
        <v>132.73361833756161</v>
      </c>
      <c r="O16" s="239">
        <f ca="1">INDEX([4]!tbl_Forecast,MATCH($D$8&amp;$D16&amp;$D$7,[4]!rng_ForecastRowLookup,0),MATCH(O$11,[4]!rng_ForecastColumnLookup,0))</f>
        <v>132.12304369320884</v>
      </c>
      <c r="P16" s="239">
        <f ca="1">INDEX([4]!tbl_Forecast,MATCH($D$8&amp;$D16&amp;$D$7,[4]!rng_ForecastRowLookup,0),MATCH(P$11,[4]!rng_ForecastColumnLookup,0))</f>
        <v>131.51527769222005</v>
      </c>
      <c r="Q16" s="239">
        <f ca="1">INDEX([4]!tbl_Forecast,MATCH($D$8&amp;$D16&amp;$D$7,[4]!rng_ForecastRowLookup,0),MATCH(Q$11,[4]!rng_ForecastColumnLookup,0))</f>
        <v>130.91030741483584</v>
      </c>
      <c r="R16" s="239">
        <f ca="1">INDEX([4]!tbl_Forecast,MATCH($D$8&amp;$D16&amp;$D$7,[4]!rng_ForecastRowLookup,0),MATCH(R$11,[4]!rng_ForecastColumnLookup,0))</f>
        <v>130.3081200007276</v>
      </c>
      <c r="S16" s="239">
        <f ca="1">INDEX([4]!tbl_Forecast,MATCH($D$8&amp;$D16&amp;$D$7,[4]!rng_ForecastRowLookup,0),MATCH(S$11,[4]!rng_ForecastColumnLookup,0))</f>
        <v>129.70870264872423</v>
      </c>
      <c r="T16" s="239">
        <f ca="1">INDEX([4]!tbl_Forecast,MATCH($D$8&amp;$D16&amp;$D$7,[4]!rng_ForecastRowLookup,0),MATCH(T$11,[4]!rng_ForecastColumnLookup,0))</f>
        <v>129.11204261654012</v>
      </c>
      <c r="U16" s="239">
        <f ca="1">INDEX([4]!tbl_Forecast,MATCH($D$8&amp;$D16&amp;$D$7,[4]!rng_ForecastRowLookup,0),MATCH(U$11,[4]!rng_ForecastColumnLookup,0))</f>
        <v>128.51812722050403</v>
      </c>
      <c r="V16" s="239">
        <f ca="1">INDEX([4]!tbl_Forecast,MATCH($D$8&amp;$D16&amp;$D$7,[4]!rng_ForecastRowLookup,0),MATCH(V$11,[4]!rng_ForecastColumnLookup,0))</f>
        <v>127.92694383528971</v>
      </c>
      <c r="W16" s="239">
        <f ca="1">INDEX([4]!tbl_Forecast,MATCH($D$8&amp;$D16&amp;$D$7,[4]!rng_ForecastRowLookup,0),MATCH(W$11,[4]!rng_ForecastColumnLookup,0))</f>
        <v>127.33847989364737</v>
      </c>
      <c r="X16" s="239">
        <f ca="1">INDEX([4]!tbl_Forecast,MATCH($D$8&amp;$D16&amp;$D$7,[4]!rng_ForecastRowLookup,0),MATCH(X$11,[4]!rng_ForecastColumnLookup,0))</f>
        <v>126.75272288613657</v>
      </c>
      <c r="Z16" s="4">
        <f t="shared" ca="1" si="2"/>
        <v>126.75272288613657</v>
      </c>
    </row>
    <row r="17" spans="1:26">
      <c r="A17" s="79"/>
      <c r="B17" s="79"/>
      <c r="D17" s="82" t="s">
        <v>528</v>
      </c>
      <c r="E17" s="239">
        <f ca="1">INDEX([4]!tbl_Forecast,MATCH($D$8&amp;$D17&amp;$D$7,[4]!rng_ForecastRowLookup,0),MATCH(E$11,[4]!rng_ForecastColumnLookup,0))</f>
        <v>208.9574509880029</v>
      </c>
      <c r="F17" s="239">
        <f ca="1">INDEX([4]!tbl_Forecast,MATCH($D$8&amp;$D17&amp;$D$7,[4]!rng_ForecastRowLookup,0),MATCH(F$11,[4]!rng_ForecastColumnLookup,0))</f>
        <v>207.99624671345808</v>
      </c>
      <c r="G17" s="239">
        <f ca="1">INDEX([4]!tbl_Forecast,MATCH($D$8&amp;$D17&amp;$D$7,[4]!rng_ForecastRowLookup,0),MATCH(G$11,[4]!rng_ForecastColumnLookup,0))</f>
        <v>207.03946397857615</v>
      </c>
      <c r="H17" s="239">
        <f ca="1">INDEX([4]!tbl_Forecast,MATCH($D$8&amp;$D17&amp;$D$7,[4]!rng_ForecastRowLookup,0),MATCH(H$11,[4]!rng_ForecastColumnLookup,0))</f>
        <v>206.0870824442747</v>
      </c>
      <c r="I17" s="239">
        <f ca="1">INDEX([4]!tbl_Forecast,MATCH($D$8&amp;$D17&amp;$D$7,[4]!rng_ForecastRowLookup,0),MATCH(I$11,[4]!rng_ForecastColumnLookup,0))</f>
        <v>205.13908186503102</v>
      </c>
      <c r="J17" s="239">
        <f ca="1">INDEX([4]!tbl_Forecast,MATCH($D$8&amp;$D17&amp;$D$7,[4]!rng_ForecastRowLookup,0),MATCH(J$11,[4]!rng_ForecastColumnLookup,0))</f>
        <v>204.1954420884519</v>
      </c>
      <c r="K17" s="239">
        <f ca="1">INDEX([4]!tbl_Forecast,MATCH($D$8&amp;$D17&amp;$D$7,[4]!rng_ForecastRowLookup,0),MATCH(K$11,[4]!rng_ForecastColumnLookup,0))</f>
        <v>203.25614305484498</v>
      </c>
      <c r="L17" s="239">
        <f ca="1">INDEX([4]!tbl_Forecast,MATCH($D$8&amp;$D17&amp;$D$7,[4]!rng_ForecastRowLookup,0),MATCH(L$11,[4]!rng_ForecastColumnLookup,0))</f>
        <v>202.32116479679266</v>
      </c>
      <c r="M17" s="239">
        <f ca="1">INDEX([4]!tbl_Forecast,MATCH($D$8&amp;$D17&amp;$D$7,[4]!rng_ForecastRowLookup,0),MATCH(M$11,[4]!rng_ForecastColumnLookup,0))</f>
        <v>201.3904874387274</v>
      </c>
      <c r="N17" s="239">
        <f ca="1">INDEX([4]!tbl_Forecast,MATCH($D$8&amp;$D17&amp;$D$7,[4]!rng_ForecastRowLookup,0),MATCH(N$11,[4]!rng_ForecastColumnLookup,0))</f>
        <v>200.46409119650929</v>
      </c>
      <c r="O17" s="239">
        <f ca="1">INDEX([4]!tbl_Forecast,MATCH($D$8&amp;$D17&amp;$D$7,[4]!rng_ForecastRowLookup,0),MATCH(O$11,[4]!rng_ForecastColumnLookup,0))</f>
        <v>199.54195637700533</v>
      </c>
      <c r="P17" s="239">
        <f ca="1">INDEX([4]!tbl_Forecast,MATCH($D$8&amp;$D17&amp;$D$7,[4]!rng_ForecastRowLookup,0),MATCH(P$11,[4]!rng_ForecastColumnLookup,0))</f>
        <v>198.62406337767112</v>
      </c>
      <c r="Q17" s="239">
        <f ca="1">INDEX([4]!tbl_Forecast,MATCH($D$8&amp;$D17&amp;$D$7,[4]!rng_ForecastRowLookup,0),MATCH(Q$11,[4]!rng_ForecastColumnLookup,0))</f>
        <v>197.71039268613379</v>
      </c>
      <c r="R17" s="239">
        <f ca="1">INDEX([4]!tbl_Forecast,MATCH($D$8&amp;$D17&amp;$D$7,[4]!rng_ForecastRowLookup,0),MATCH(R$11,[4]!rng_ForecastColumnLookup,0))</f>
        <v>196.8009248797776</v>
      </c>
      <c r="S17" s="239">
        <f ca="1">INDEX([4]!tbl_Forecast,MATCH($D$8&amp;$D17&amp;$D$7,[4]!rng_ForecastRowLookup,0),MATCH(S$11,[4]!rng_ForecastColumnLookup,0))</f>
        <v>195.8956406253306</v>
      </c>
      <c r="T17" s="239">
        <f ca="1">INDEX([4]!tbl_Forecast,MATCH($D$8&amp;$D17&amp;$D$7,[4]!rng_ForecastRowLookup,0),MATCH(T$11,[4]!rng_ForecastColumnLookup,0))</f>
        <v>194.99452067845405</v>
      </c>
      <c r="U17" s="239">
        <f ca="1">INDEX([4]!tbl_Forecast,MATCH($D$8&amp;$D17&amp;$D$7,[4]!rng_ForecastRowLookup,0),MATCH(U$11,[4]!rng_ForecastColumnLookup,0))</f>
        <v>194.09754588333314</v>
      </c>
      <c r="V17" s="239">
        <f ca="1">INDEX([4]!tbl_Forecast,MATCH($D$8&amp;$D17&amp;$D$7,[4]!rng_ForecastRowLookup,0),MATCH(V$11,[4]!rng_ForecastColumnLookup,0))</f>
        <v>193.20469717226982</v>
      </c>
      <c r="W17" s="239">
        <f ca="1">INDEX([4]!tbl_Forecast,MATCH($D$8&amp;$D17&amp;$D$7,[4]!rng_ForecastRowLookup,0),MATCH(W$11,[4]!rng_ForecastColumnLookup,0))</f>
        <v>192.31595556527733</v>
      </c>
      <c r="X17" s="239">
        <f ca="1">INDEX([4]!tbl_Forecast,MATCH($D$8&amp;$D17&amp;$D$7,[4]!rng_ForecastRowLookup,0),MATCH(X$11,[4]!rng_ForecastColumnLookup,0))</f>
        <v>191.43130216967708</v>
      </c>
      <c r="Z17" s="4">
        <f t="shared" ca="1" si="2"/>
        <v>191.43130216967708</v>
      </c>
    </row>
    <row r="18" spans="1:26">
      <c r="A18" s="79"/>
      <c r="B18" s="79"/>
      <c r="D18" s="82" t="s">
        <v>529</v>
      </c>
      <c r="E18" s="239">
        <f ca="1">INDEX([4]!tbl_Forecast,MATCH($D$8&amp;$D18&amp;$D$7,[4]!rng_ForecastRowLookup,0),MATCH(E$11,[4]!rng_ForecastColumnLookup,0))</f>
        <v>97.115689913224898</v>
      </c>
      <c r="F18" s="239">
        <f ca="1">INDEX([4]!tbl_Forecast,MATCH($D$8&amp;$D18&amp;$D$7,[4]!rng_ForecastRowLookup,0),MATCH(F$11,[4]!rng_ForecastColumnLookup,0))</f>
        <v>96.668957739624062</v>
      </c>
      <c r="G18" s="239">
        <f ca="1">INDEX([4]!tbl_Forecast,MATCH($D$8&amp;$D18&amp;$D$7,[4]!rng_ForecastRowLookup,0),MATCH(G$11,[4]!rng_ForecastColumnLookup,0))</f>
        <v>96.224280534021787</v>
      </c>
      <c r="H18" s="239">
        <f ca="1">INDEX([4]!tbl_Forecast,MATCH($D$8&amp;$D18&amp;$D$7,[4]!rng_ForecastRowLookup,0),MATCH(H$11,[4]!rng_ForecastColumnLookup,0))</f>
        <v>95.781648843565293</v>
      </c>
      <c r="I18" s="239">
        <f ca="1">INDEX([4]!tbl_Forecast,MATCH($D$8&amp;$D18&amp;$D$7,[4]!rng_ForecastRowLookup,0),MATCH(I$11,[4]!rng_ForecastColumnLookup,0))</f>
        <v>95.34105325888487</v>
      </c>
      <c r="J18" s="239">
        <f ca="1">INDEX([4]!tbl_Forecast,MATCH($D$8&amp;$D18&amp;$D$7,[4]!rng_ForecastRowLookup,0),MATCH(J$11,[4]!rng_ForecastColumnLookup,0))</f>
        <v>94.902484413894001</v>
      </c>
      <c r="K18" s="239">
        <f ca="1">INDEX([4]!tbl_Forecast,MATCH($D$8&amp;$D18&amp;$D$7,[4]!rng_ForecastRowLookup,0),MATCH(K$11,[4]!rng_ForecastColumnLookup,0))</f>
        <v>94.465932985590086</v>
      </c>
      <c r="L18" s="239">
        <f ca="1">INDEX([4]!tbl_Forecast,MATCH($D$8&amp;$D18&amp;$D$7,[4]!rng_ForecastRowLookup,0),MATCH(L$11,[4]!rng_ForecastColumnLookup,0))</f>
        <v>94.031389693856369</v>
      </c>
      <c r="M18" s="239">
        <f ca="1">INDEX([4]!tbl_Forecast,MATCH($D$8&amp;$D18&amp;$D$7,[4]!rng_ForecastRowLookup,0),MATCH(M$11,[4]!rng_ForecastColumnLookup,0))</f>
        <v>93.598845301264618</v>
      </c>
      <c r="N18" s="239">
        <f ca="1">INDEX([4]!tbl_Forecast,MATCH($D$8&amp;$D18&amp;$D$7,[4]!rng_ForecastRowLookup,0),MATCH(N$11,[4]!rng_ForecastColumnLookup,0))</f>
        <v>93.168290612878806</v>
      </c>
      <c r="O18" s="239">
        <f ca="1">INDEX([4]!tbl_Forecast,MATCH($D$8&amp;$D18&amp;$D$7,[4]!rng_ForecastRowLookup,0),MATCH(O$11,[4]!rng_ForecastColumnLookup,0))</f>
        <v>92.739716476059556</v>
      </c>
      <c r="P18" s="239">
        <f ca="1">INDEX([4]!tbl_Forecast,MATCH($D$8&amp;$D18&amp;$D$7,[4]!rng_ForecastRowLookup,0),MATCH(P$11,[4]!rng_ForecastColumnLookup,0))</f>
        <v>92.313113780269674</v>
      </c>
      <c r="Q18" s="239">
        <f ca="1">INDEX([4]!tbl_Forecast,MATCH($D$8&amp;$D18&amp;$D$7,[4]!rng_ForecastRowLookup,0),MATCH(Q$11,[4]!rng_ForecastColumnLookup,0))</f>
        <v>91.888473456880433</v>
      </c>
      <c r="R18" s="239">
        <f ca="1">INDEX([4]!tbl_Forecast,MATCH($D$8&amp;$D18&amp;$D$7,[4]!rng_ForecastRowLookup,0),MATCH(R$11,[4]!rng_ForecastColumnLookup,0))</f>
        <v>91.465786478978771</v>
      </c>
      <c r="S18" s="239">
        <f ca="1">INDEX([4]!tbl_Forecast,MATCH($D$8&amp;$D18&amp;$D$7,[4]!rng_ForecastRowLookup,0),MATCH(S$11,[4]!rng_ForecastColumnLookup,0))</f>
        <v>91.045043861175472</v>
      </c>
      <c r="T18" s="239">
        <f ca="1">INDEX([4]!tbl_Forecast,MATCH($D$8&amp;$D18&amp;$D$7,[4]!rng_ForecastRowLookup,0),MATCH(T$11,[4]!rng_ForecastColumnLookup,0))</f>
        <v>90.626236659414062</v>
      </c>
      <c r="U18" s="239">
        <f ca="1">INDEX([4]!tbl_Forecast,MATCH($D$8&amp;$D18&amp;$D$7,[4]!rng_ForecastRowLookup,0),MATCH(U$11,[4]!rng_ForecastColumnLookup,0))</f>
        <v>90.209355970780734</v>
      </c>
      <c r="V18" s="239">
        <f ca="1">INDEX([4]!tbl_Forecast,MATCH($D$8&amp;$D18&amp;$D$7,[4]!rng_ForecastRowLookup,0),MATCH(V$11,[4]!rng_ForecastColumnLookup,0))</f>
        <v>89.794392933315152</v>
      </c>
      <c r="W18" s="239">
        <f ca="1">INDEX([4]!tbl_Forecast,MATCH($D$8&amp;$D18&amp;$D$7,[4]!rng_ForecastRowLookup,0),MATCH(W$11,[4]!rng_ForecastColumnLookup,0))</f>
        <v>89.381338725821905</v>
      </c>
      <c r="X18" s="239">
        <f ca="1">INDEX([4]!tbl_Forecast,MATCH($D$8&amp;$D18&amp;$D$7,[4]!rng_ForecastRowLookup,0),MATCH(X$11,[4]!rng_ForecastColumnLookup,0))</f>
        <v>88.97018456768312</v>
      </c>
      <c r="Z18" s="4">
        <f t="shared" ca="1" si="2"/>
        <v>88.97018456768312</v>
      </c>
    </row>
    <row r="19" spans="1:26">
      <c r="A19" s="79"/>
      <c r="B19" s="79"/>
      <c r="D19" s="82" t="s">
        <v>530</v>
      </c>
      <c r="E19" s="239">
        <f ca="1">INDEX([4]!tbl_Forecast,MATCH($D$8&amp;$D19&amp;$D$7,[4]!rng_ForecastRowLookup,0),MATCH(E$11,[4]!rng_ForecastColumnLookup,0))</f>
        <v>109.47966092768364</v>
      </c>
      <c r="F19" s="239">
        <f ca="1">INDEX([4]!tbl_Forecast,MATCH($D$8&amp;$D19&amp;$D$7,[4]!rng_ForecastRowLookup,0),MATCH(F$11,[4]!rng_ForecastColumnLookup,0))</f>
        <v>108.97605448741629</v>
      </c>
      <c r="G19" s="239">
        <f ca="1">INDEX([4]!tbl_Forecast,MATCH($D$8&amp;$D19&amp;$D$7,[4]!rng_ForecastRowLookup,0),MATCH(G$11,[4]!rng_ForecastColumnLookup,0))</f>
        <v>108.47476463677417</v>
      </c>
      <c r="H19" s="239">
        <f ca="1">INDEX([4]!tbl_Forecast,MATCH($D$8&amp;$D19&amp;$D$7,[4]!rng_ForecastRowLookup,0),MATCH(H$11,[4]!rng_ForecastColumnLookup,0))</f>
        <v>107.975780719445</v>
      </c>
      <c r="I19" s="239">
        <f ca="1">INDEX([4]!tbl_Forecast,MATCH($D$8&amp;$D19&amp;$D$7,[4]!rng_ForecastRowLookup,0),MATCH(I$11,[4]!rng_ForecastColumnLookup,0))</f>
        <v>107.47909212813555</v>
      </c>
      <c r="J19" s="239">
        <f ca="1">INDEX([4]!tbl_Forecast,MATCH($D$8&amp;$D19&amp;$D$7,[4]!rng_ForecastRowLookup,0),MATCH(J$11,[4]!rng_ForecastColumnLookup,0))</f>
        <v>106.98468830434612</v>
      </c>
      <c r="K19" s="239">
        <f ca="1">INDEX([4]!tbl_Forecast,MATCH($D$8&amp;$D19&amp;$D$7,[4]!rng_ForecastRowLookup,0),MATCH(K$11,[4]!rng_ForecastColumnLookup,0))</f>
        <v>106.49255873814613</v>
      </c>
      <c r="L19" s="239">
        <f ca="1">INDEX([4]!tbl_Forecast,MATCH($D$8&amp;$D19&amp;$D$7,[4]!rng_ForecastRowLookup,0),MATCH(L$11,[4]!rng_ForecastColumnLookup,0))</f>
        <v>106.00269296795065</v>
      </c>
      <c r="M19" s="239">
        <f ca="1">INDEX([4]!tbl_Forecast,MATCH($D$8&amp;$D19&amp;$D$7,[4]!rng_ForecastRowLookup,0),MATCH(M$11,[4]!rng_ForecastColumnLookup,0))</f>
        <v>105.51508058029808</v>
      </c>
      <c r="N19" s="239">
        <f ca="1">INDEX([4]!tbl_Forecast,MATCH($D$8&amp;$D19&amp;$D$7,[4]!rng_ForecastRowLookup,0),MATCH(N$11,[4]!rng_ForecastColumnLookup,0))</f>
        <v>105.0297112096287</v>
      </c>
      <c r="O19" s="239">
        <f ca="1">INDEX([4]!tbl_Forecast,MATCH($D$8&amp;$D19&amp;$D$7,[4]!rng_ForecastRowLookup,0),MATCH(O$11,[4]!rng_ForecastColumnLookup,0))</f>
        <v>104.54657453806439</v>
      </c>
      <c r="P19" s="239">
        <f ca="1">INDEX([4]!tbl_Forecast,MATCH($D$8&amp;$D19&amp;$D$7,[4]!rng_ForecastRowLookup,0),MATCH(P$11,[4]!rng_ForecastColumnLookup,0))</f>
        <v>104.0656602951893</v>
      </c>
      <c r="Q19" s="239">
        <f ca="1">INDEX([4]!tbl_Forecast,MATCH($D$8&amp;$D19&amp;$D$7,[4]!rng_ForecastRowLookup,0),MATCH(Q$11,[4]!rng_ForecastColumnLookup,0))</f>
        <v>103.58695825783141</v>
      </c>
      <c r="R19" s="239">
        <f ca="1">INDEX([4]!tbl_Forecast,MATCH($D$8&amp;$D19&amp;$D$7,[4]!rng_ForecastRowLookup,0),MATCH(R$11,[4]!rng_ForecastColumnLookup,0))</f>
        <v>103.11045824984539</v>
      </c>
      <c r="S19" s="239">
        <f ca="1">INDEX([4]!tbl_Forecast,MATCH($D$8&amp;$D19&amp;$D$7,[4]!rng_ForecastRowLookup,0),MATCH(S$11,[4]!rng_ForecastColumnLookup,0))</f>
        <v>102.6361501418961</v>
      </c>
      <c r="T19" s="239">
        <f ca="1">INDEX([4]!tbl_Forecast,MATCH($D$8&amp;$D19&amp;$D$7,[4]!rng_ForecastRowLookup,0),MATCH(T$11,[4]!rng_ForecastColumnLookup,0))</f>
        <v>102.16402385124337</v>
      </c>
      <c r="U19" s="239">
        <f ca="1">INDEX([4]!tbl_Forecast,MATCH($D$8&amp;$D19&amp;$D$7,[4]!rng_ForecastRowLookup,0),MATCH(U$11,[4]!rng_ForecastColumnLookup,0))</f>
        <v>101.69406934152764</v>
      </c>
      <c r="V19" s="239">
        <f ca="1">INDEX([4]!tbl_Forecast,MATCH($D$8&amp;$D19&amp;$D$7,[4]!rng_ForecastRowLookup,0),MATCH(V$11,[4]!rng_ForecastColumnLookup,0))</f>
        <v>101.2262766225566</v>
      </c>
      <c r="W19" s="239">
        <f ca="1">INDEX([4]!tbl_Forecast,MATCH($D$8&amp;$D19&amp;$D$7,[4]!rng_ForecastRowLookup,0),MATCH(W$11,[4]!rng_ForecastColumnLookup,0))</f>
        <v>100.76063575009285</v>
      </c>
      <c r="X19" s="239">
        <f ca="1">INDEX([4]!tbl_Forecast,MATCH($D$8&amp;$D19&amp;$D$7,[4]!rng_ForecastRowLookup,0),MATCH(X$11,[4]!rng_ForecastColumnLookup,0))</f>
        <v>100.29713682564241</v>
      </c>
      <c r="Z19" s="4">
        <f t="shared" ca="1" si="2"/>
        <v>100.29713682564241</v>
      </c>
    </row>
    <row r="20" spans="1:26">
      <c r="A20" s="79"/>
      <c r="B20" s="79"/>
      <c r="D20" s="331" t="s">
        <v>492</v>
      </c>
      <c r="E20" s="239">
        <f ca="1">INDEX([4]!tbl_Forecast,MATCH($D$8&amp;$D20&amp;$D$7,[4]!rng_ForecastRowLookup,0),MATCH(E$11,[4]!rng_ForecastColumnLookup,0))</f>
        <v>241.11763975818661</v>
      </c>
      <c r="F20" s="239">
        <f ca="1">INDEX([4]!tbl_Forecast,MATCH($D$8&amp;$D20&amp;$D$7,[4]!rng_ForecastRowLookup,0),MATCH(F$11,[4]!rng_ForecastColumnLookup,0))</f>
        <v>240.12905743517803</v>
      </c>
      <c r="G20" s="239">
        <f ca="1">INDEX([4]!tbl_Forecast,MATCH($D$8&amp;$D20&amp;$D$7,[4]!rng_ForecastRowLookup,0),MATCH(G$11,[4]!rng_ForecastColumnLookup,0))</f>
        <v>239.14452829969383</v>
      </c>
      <c r="H20" s="239">
        <f ca="1">INDEX([4]!tbl_Forecast,MATCH($D$8&amp;$D20&amp;$D$7,[4]!rng_ForecastRowLookup,0),MATCH(H$11,[4]!rng_ForecastColumnLookup,0))</f>
        <v>238.16403573366509</v>
      </c>
      <c r="I20" s="239">
        <f ca="1">INDEX([4]!tbl_Forecast,MATCH($D$8&amp;$D20&amp;$D$7,[4]!rng_ForecastRowLookup,0),MATCH(I$11,[4]!rng_ForecastColumnLookup,0))</f>
        <v>237.18756318715711</v>
      </c>
      <c r="J20" s="239">
        <f ca="1">INDEX([4]!tbl_Forecast,MATCH($D$8&amp;$D20&amp;$D$7,[4]!rng_ForecastRowLookup,0),MATCH(J$11,[4]!rng_ForecastColumnLookup,0))</f>
        <v>236.21509417808971</v>
      </c>
      <c r="K20" s="239">
        <f ca="1">INDEX([4]!tbl_Forecast,MATCH($D$8&amp;$D20&amp;$D$7,[4]!rng_ForecastRowLookup,0),MATCH(K$11,[4]!rng_ForecastColumnLookup,0))</f>
        <v>235.24661229195956</v>
      </c>
      <c r="L20" s="239">
        <f ca="1">INDEX([4]!tbl_Forecast,MATCH($D$8&amp;$D20&amp;$D$7,[4]!rng_ForecastRowLookup,0),MATCH(L$11,[4]!rng_ForecastColumnLookup,0))</f>
        <v>234.28210118156252</v>
      </c>
      <c r="M20" s="239">
        <f ca="1">INDEX([4]!tbl_Forecast,MATCH($D$8&amp;$D20&amp;$D$7,[4]!rng_ForecastRowLookup,0),MATCH(M$11,[4]!rng_ForecastColumnLookup,0))</f>
        <v>233.32154456671807</v>
      </c>
      <c r="N20" s="239">
        <f ca="1">INDEX([4]!tbl_Forecast,MATCH($D$8&amp;$D20&amp;$D$7,[4]!rng_ForecastRowLookup,0),MATCH(N$11,[4]!rng_ForecastColumnLookup,0))</f>
        <v>232.36492623399457</v>
      </c>
      <c r="O20" s="239">
        <f ca="1">INDEX([4]!tbl_Forecast,MATCH($D$8&amp;$D20&amp;$D$7,[4]!rng_ForecastRowLookup,0),MATCH(O$11,[4]!rng_ForecastColumnLookup,0))</f>
        <v>231.41223003643518</v>
      </c>
      <c r="P20" s="239">
        <f ca="1">INDEX([4]!tbl_Forecast,MATCH($D$8&amp;$D20&amp;$D$7,[4]!rng_ForecastRowLookup,0),MATCH(P$11,[4]!rng_ForecastColumnLookup,0))</f>
        <v>230.46343989328579</v>
      </c>
      <c r="Q20" s="239">
        <f ca="1">INDEX([4]!tbl_Forecast,MATCH($D$8&amp;$D20&amp;$D$7,[4]!rng_ForecastRowLookup,0),MATCH(Q$11,[4]!rng_ForecastColumnLookup,0))</f>
        <v>229.51853978972335</v>
      </c>
      <c r="R20" s="239">
        <f ca="1">INDEX([4]!tbl_Forecast,MATCH($D$8&amp;$D20&amp;$D$7,[4]!rng_ForecastRowLookup,0),MATCH(R$11,[4]!rng_ForecastColumnLookup,0))</f>
        <v>228.57751377658545</v>
      </c>
      <c r="S20" s="239">
        <f ca="1">INDEX([4]!tbl_Forecast,MATCH($D$8&amp;$D20&amp;$D$7,[4]!rng_ForecastRowLookup,0),MATCH(S$11,[4]!rng_ForecastColumnLookup,0))</f>
        <v>227.64034597010144</v>
      </c>
      <c r="T20" s="239">
        <f ca="1">INDEX([4]!tbl_Forecast,MATCH($D$8&amp;$D20&amp;$D$7,[4]!rng_ForecastRowLookup,0),MATCH(T$11,[4]!rng_ForecastColumnLookup,0))</f>
        <v>226.70702055162403</v>
      </c>
      <c r="U20" s="239">
        <f ca="1">INDEX([4]!tbl_Forecast,MATCH($D$8&amp;$D20&amp;$D$7,[4]!rng_ForecastRowLookup,0),MATCH(U$11,[4]!rng_ForecastColumnLookup,0))</f>
        <v>225.77752176736234</v>
      </c>
      <c r="V20" s="239">
        <f ca="1">INDEX([4]!tbl_Forecast,MATCH($D$8&amp;$D20&amp;$D$7,[4]!rng_ForecastRowLookup,0),MATCH(V$11,[4]!rng_ForecastColumnLookup,0))</f>
        <v>224.85183392811618</v>
      </c>
      <c r="W20" s="239">
        <f ca="1">INDEX([4]!tbl_Forecast,MATCH($D$8&amp;$D20&amp;$D$7,[4]!rng_ForecastRowLookup,0),MATCH(W$11,[4]!rng_ForecastColumnLookup,0))</f>
        <v>223.92994140901092</v>
      </c>
      <c r="X20" s="239">
        <f ca="1">INDEX([4]!tbl_Forecast,MATCH($D$8&amp;$D20&amp;$D$7,[4]!rng_ForecastRowLookup,0),MATCH(X$11,[4]!rng_ForecastColumnLookup,0))</f>
        <v>223.01182864923393</v>
      </c>
      <c r="Z20" s="4">
        <f t="shared" ca="1" si="2"/>
        <v>223.01182864923393</v>
      </c>
    </row>
    <row r="21" spans="1:26">
      <c r="A21" s="79"/>
      <c r="B21" s="79"/>
      <c r="D21" s="331" t="s">
        <v>512</v>
      </c>
      <c r="E21" s="239">
        <f ca="1">INDEX([4]!tbl_Forecast,MATCH($D$8&amp;$D21&amp;$D$7,[4]!rng_ForecastRowLookup,0),MATCH(E$11,[4]!rng_ForecastColumnLookup,0))</f>
        <v>122.15340627232256</v>
      </c>
      <c r="F21" s="239">
        <f ca="1">INDEX([4]!tbl_Forecast,MATCH($D$8&amp;$D21&amp;$D$7,[4]!rng_ForecastRowLookup,0),MATCH(F$11,[4]!rng_ForecastColumnLookup,0))</f>
        <v>121.65257730660603</v>
      </c>
      <c r="G21" s="239">
        <f ca="1">INDEX([4]!tbl_Forecast,MATCH($D$8&amp;$D21&amp;$D$7,[4]!rng_ForecastRowLookup,0),MATCH(G$11,[4]!rng_ForecastColumnLookup,0))</f>
        <v>121.15380173964894</v>
      </c>
      <c r="H21" s="239">
        <f ca="1">INDEX([4]!tbl_Forecast,MATCH($D$8&amp;$D21&amp;$D$7,[4]!rng_ForecastRowLookup,0),MATCH(H$11,[4]!rng_ForecastColumnLookup,0))</f>
        <v>120.65707115251638</v>
      </c>
      <c r="I21" s="239">
        <f ca="1">INDEX([4]!tbl_Forecast,MATCH($D$8&amp;$D21&amp;$D$7,[4]!rng_ForecastRowLookup,0),MATCH(I$11,[4]!rng_ForecastColumnLookup,0))</f>
        <v>120.16237716079107</v>
      </c>
      <c r="J21" s="239">
        <f ca="1">INDEX([4]!tbl_Forecast,MATCH($D$8&amp;$D21&amp;$D$7,[4]!rng_ForecastRowLookup,0),MATCH(J$11,[4]!rng_ForecastColumnLookup,0))</f>
        <v>119.66971141443182</v>
      </c>
      <c r="K21" s="239">
        <f ca="1">INDEX([4]!tbl_Forecast,MATCH($D$8&amp;$D21&amp;$D$7,[4]!rng_ForecastRowLookup,0),MATCH(K$11,[4]!rng_ForecastColumnLookup,0))</f>
        <v>119.17906559763266</v>
      </c>
      <c r="L21" s="239">
        <f ca="1">INDEX([4]!tbl_Forecast,MATCH($D$8&amp;$D21&amp;$D$7,[4]!rng_ForecastRowLookup,0),MATCH(L$11,[4]!rng_ForecastColumnLookup,0))</f>
        <v>118.69043142868237</v>
      </c>
      <c r="M21" s="239">
        <f ca="1">INDEX([4]!tbl_Forecast,MATCH($D$8&amp;$D21&amp;$D$7,[4]!rng_ForecastRowLookup,0),MATCH(M$11,[4]!rng_ForecastColumnLookup,0))</f>
        <v>118.20380065982476</v>
      </c>
      <c r="N21" s="239">
        <f ca="1">INDEX([4]!tbl_Forecast,MATCH($D$8&amp;$D21&amp;$D$7,[4]!rng_ForecastRowLookup,0),MATCH(N$11,[4]!rng_ForecastColumnLookup,0))</f>
        <v>117.71916507711948</v>
      </c>
      <c r="O21" s="239">
        <f ca="1">INDEX([4]!tbl_Forecast,MATCH($D$8&amp;$D21&amp;$D$7,[4]!rng_ForecastRowLookup,0),MATCH(O$11,[4]!rng_ForecastColumnLookup,0))</f>
        <v>117.23651650030328</v>
      </c>
      <c r="P21" s="239">
        <f ca="1">INDEX([4]!tbl_Forecast,MATCH($D$8&amp;$D21&amp;$D$7,[4]!rng_ForecastRowLookup,0),MATCH(P$11,[4]!rng_ForecastColumnLookup,0))</f>
        <v>116.75584678265207</v>
      </c>
      <c r="Q21" s="239">
        <f ca="1">INDEX([4]!tbl_Forecast,MATCH($D$8&amp;$D21&amp;$D$7,[4]!rng_ForecastRowLookup,0),MATCH(Q$11,[4]!rng_ForecastColumnLookup,0))</f>
        <v>116.27714781084319</v>
      </c>
      <c r="R21" s="239">
        <f ca="1">INDEX([4]!tbl_Forecast,MATCH($D$8&amp;$D21&amp;$D$7,[4]!rng_ForecastRowLookup,0),MATCH(R$11,[4]!rng_ForecastColumnLookup,0))</f>
        <v>115.80041150481873</v>
      </c>
      <c r="S21" s="239">
        <f ca="1">INDEX([4]!tbl_Forecast,MATCH($D$8&amp;$D21&amp;$D$7,[4]!rng_ForecastRowLookup,0),MATCH(S$11,[4]!rng_ForecastColumnLookup,0))</f>
        <v>115.32562981764897</v>
      </c>
      <c r="T21" s="239">
        <f ca="1">INDEX([4]!tbl_Forecast,MATCH($D$8&amp;$D21&amp;$D$7,[4]!rng_ForecastRowLookup,0),MATCH(T$11,[4]!rng_ForecastColumnLookup,0))</f>
        <v>114.8527947353966</v>
      </c>
      <c r="U21" s="239">
        <f ca="1">INDEX([4]!tbl_Forecast,MATCH($D$8&amp;$D21&amp;$D$7,[4]!rng_ForecastRowLookup,0),MATCH(U$11,[4]!rng_ForecastColumnLookup,0))</f>
        <v>114.38189827698147</v>
      </c>
      <c r="V21" s="239">
        <f ca="1">INDEX([4]!tbl_Forecast,MATCH($D$8&amp;$D21&amp;$D$7,[4]!rng_ForecastRowLookup,0),MATCH(V$11,[4]!rng_ForecastColumnLookup,0))</f>
        <v>113.91293249404585</v>
      </c>
      <c r="W21" s="239">
        <f ca="1">INDEX([4]!tbl_Forecast,MATCH($D$8&amp;$D21&amp;$D$7,[4]!rng_ForecastRowLookup,0),MATCH(W$11,[4]!rng_ForecastColumnLookup,0))</f>
        <v>113.44588947082025</v>
      </c>
      <c r="X21" s="239">
        <f ca="1">INDEX([4]!tbl_Forecast,MATCH($D$8&amp;$D21&amp;$D$7,[4]!rng_ForecastRowLookup,0),MATCH(X$11,[4]!rng_ForecastColumnLookup,0))</f>
        <v>112.98076132398991</v>
      </c>
      <c r="Z21" s="4">
        <f t="shared" ca="1" si="2"/>
        <v>112.98076132398991</v>
      </c>
    </row>
    <row r="22" spans="1:26">
      <c r="A22" s="79"/>
      <c r="B22" s="79"/>
      <c r="D22" s="331" t="s">
        <v>509</v>
      </c>
      <c r="E22" s="239">
        <f ca="1">INDEX([4]!tbl_Forecast,MATCH($D$8&amp;$D22&amp;$D$7,[4]!rng_ForecastRowLookup,0),MATCH(E$11,[4]!rng_ForecastColumnLookup,0))</f>
        <v>448.69829599576161</v>
      </c>
      <c r="F22" s="239">
        <f ca="1">INDEX([4]!tbl_Forecast,MATCH($D$8&amp;$D22&amp;$D$7,[4]!rng_ForecastRowLookup,0),MATCH(F$11,[4]!rng_ForecastColumnLookup,0))</f>
        <v>447.03811230057732</v>
      </c>
      <c r="G22" s="239">
        <f ca="1">INDEX([4]!tbl_Forecast,MATCH($D$8&amp;$D22&amp;$D$7,[4]!rng_ForecastRowLookup,0),MATCH(G$11,[4]!rng_ForecastColumnLookup,0))</f>
        <v>445.3840712850652</v>
      </c>
      <c r="H22" s="239">
        <f ca="1">INDEX([4]!tbl_Forecast,MATCH($D$8&amp;$D22&amp;$D$7,[4]!rng_ForecastRowLookup,0),MATCH(H$11,[4]!rng_ForecastColumnLookup,0))</f>
        <v>443.73615022131042</v>
      </c>
      <c r="I22" s="239">
        <f ca="1">INDEX([4]!tbl_Forecast,MATCH($D$8&amp;$D22&amp;$D$7,[4]!rng_ForecastRowLookup,0),MATCH(I$11,[4]!rng_ForecastColumnLookup,0))</f>
        <v>442.09432646549152</v>
      </c>
      <c r="J22" s="239">
        <f ca="1">INDEX([4]!tbl_Forecast,MATCH($D$8&amp;$D22&amp;$D$7,[4]!rng_ForecastRowLookup,0),MATCH(J$11,[4]!rng_ForecastColumnLookup,0))</f>
        <v>440.45857745756916</v>
      </c>
      <c r="K22" s="239">
        <f ca="1">INDEX([4]!tbl_Forecast,MATCH($D$8&amp;$D22&amp;$D$7,[4]!rng_ForecastRowLookup,0),MATCH(K$11,[4]!rng_ForecastColumnLookup,0))</f>
        <v>438.82888072097626</v>
      </c>
      <c r="L22" s="239">
        <f ca="1">INDEX([4]!tbl_Forecast,MATCH($D$8&amp;$D22&amp;$D$7,[4]!rng_ForecastRowLookup,0),MATCH(L$11,[4]!rng_ForecastColumnLookup,0))</f>
        <v>437.2052138623086</v>
      </c>
      <c r="M22" s="239">
        <f ca="1">INDEX([4]!tbl_Forecast,MATCH($D$8&amp;$D22&amp;$D$7,[4]!rng_ForecastRowLookup,0),MATCH(M$11,[4]!rng_ForecastColumnLookup,0))</f>
        <v>435.58755457101802</v>
      </c>
      <c r="N22" s="239">
        <f ca="1">INDEX([4]!tbl_Forecast,MATCH($D$8&amp;$D22&amp;$D$7,[4]!rng_ForecastRowLookup,0),MATCH(N$11,[4]!rng_ForecastColumnLookup,0))</f>
        <v>433.97588061910528</v>
      </c>
      <c r="O22" s="239">
        <f ca="1">INDEX([4]!tbl_Forecast,MATCH($D$8&amp;$D22&amp;$D$7,[4]!rng_ForecastRowLookup,0),MATCH(O$11,[4]!rng_ForecastColumnLookup,0))</f>
        <v>432.37016986081449</v>
      </c>
      <c r="P22" s="239">
        <f ca="1">INDEX([4]!tbl_Forecast,MATCH($D$8&amp;$D22&amp;$D$7,[4]!rng_ForecastRowLookup,0),MATCH(P$11,[4]!rng_ForecastColumnLookup,0))</f>
        <v>430.77040023232951</v>
      </c>
      <c r="Q22" s="239">
        <f ca="1">INDEX([4]!tbl_Forecast,MATCH($D$8&amp;$D22&amp;$D$7,[4]!rng_ForecastRowLookup,0),MATCH(Q$11,[4]!rng_ForecastColumnLookup,0))</f>
        <v>429.17654975146979</v>
      </c>
      <c r="R22" s="239">
        <f ca="1">INDEX([4]!tbl_Forecast,MATCH($D$8&amp;$D22&amp;$D$7,[4]!rng_ForecastRowLookup,0),MATCH(R$11,[4]!rng_ForecastColumnLookup,0))</f>
        <v>427.58859651738936</v>
      </c>
      <c r="S22" s="239">
        <f ca="1">INDEX([4]!tbl_Forecast,MATCH($D$8&amp;$D22&amp;$D$7,[4]!rng_ForecastRowLookup,0),MATCH(S$11,[4]!rng_ForecastColumnLookup,0))</f>
        <v>426.00651871027503</v>
      </c>
      <c r="T22" s="239">
        <f ca="1">INDEX([4]!tbl_Forecast,MATCH($D$8&amp;$D22&amp;$D$7,[4]!rng_ForecastRowLookup,0),MATCH(T$11,[4]!rng_ForecastColumnLookup,0))</f>
        <v>424.43029459104702</v>
      </c>
      <c r="U22" s="239">
        <f ca="1">INDEX([4]!tbl_Forecast,MATCH($D$8&amp;$D22&amp;$D$7,[4]!rng_ForecastRowLookup,0),MATCH(U$11,[4]!rng_ForecastColumnLookup,0))</f>
        <v>422.85990250106011</v>
      </c>
      <c r="V22" s="239">
        <f ca="1">INDEX([4]!tbl_Forecast,MATCH($D$8&amp;$D22&amp;$D$7,[4]!rng_ForecastRowLookup,0),MATCH(V$11,[4]!rng_ForecastColumnLookup,0))</f>
        <v>421.2953208618062</v>
      </c>
      <c r="W22" s="239">
        <f ca="1">INDEX([4]!tbl_Forecast,MATCH($D$8&amp;$D22&amp;$D$7,[4]!rng_ForecastRowLookup,0),MATCH(W$11,[4]!rng_ForecastColumnLookup,0))</f>
        <v>419.73652817461749</v>
      </c>
      <c r="X22" s="239">
        <f ca="1">INDEX([4]!tbl_Forecast,MATCH($D$8&amp;$D22&amp;$D$7,[4]!rng_ForecastRowLookup,0),MATCH(X$11,[4]!rng_ForecastColumnLookup,0))</f>
        <v>418.18350302037135</v>
      </c>
      <c r="Z22" s="4">
        <f t="shared" ca="1" si="2"/>
        <v>418.18350302037135</v>
      </c>
    </row>
    <row r="23" spans="1:26">
      <c r="A23" s="79"/>
      <c r="B23" s="79"/>
      <c r="D23" s="331" t="s">
        <v>531</v>
      </c>
      <c r="E23" s="239">
        <f ca="1">INDEX([4]!tbl_Forecast,MATCH($D$8&amp;$D23&amp;$D$7,[4]!rng_ForecastRowLookup,0),MATCH(E$11,[4]!rng_ForecastColumnLookup,0))</f>
        <v>53.720939527021244</v>
      </c>
      <c r="F23" s="239">
        <f ca="1">INDEX([4]!tbl_Forecast,MATCH($D$8&amp;$D23&amp;$D$7,[4]!rng_ForecastRowLookup,0),MATCH(F$11,[4]!rng_ForecastColumnLookup,0))</f>
        <v>53.237451071278059</v>
      </c>
      <c r="G23" s="239">
        <f ca="1">INDEX([4]!tbl_Forecast,MATCH($D$8&amp;$D23&amp;$D$7,[4]!rng_ForecastRowLookup,0),MATCH(G$11,[4]!rng_ForecastColumnLookup,0))</f>
        <v>52.758314011636557</v>
      </c>
      <c r="H23" s="239">
        <f ca="1">INDEX([4]!tbl_Forecast,MATCH($D$8&amp;$D23&amp;$D$7,[4]!rng_ForecastRowLookup,0),MATCH(H$11,[4]!rng_ForecastColumnLookup,0))</f>
        <v>52.283489185531828</v>
      </c>
      <c r="I23" s="239">
        <f ca="1">INDEX([4]!tbl_Forecast,MATCH($D$8&amp;$D23&amp;$D$7,[4]!rng_ForecastRowLookup,0),MATCH(I$11,[4]!rng_ForecastColumnLookup,0))</f>
        <v>51.812937782862043</v>
      </c>
      <c r="J23" s="239">
        <f ca="1">INDEX([4]!tbl_Forecast,MATCH($D$8&amp;$D23&amp;$D$7,[4]!rng_ForecastRowLookup,0),MATCH(J$11,[4]!rng_ForecastColumnLookup,0))</f>
        <v>51.346621342816277</v>
      </c>
      <c r="K23" s="239">
        <f ca="1">INDEX([4]!tbl_Forecast,MATCH($D$8&amp;$D23&amp;$D$7,[4]!rng_ForecastRowLookup,0),MATCH(K$11,[4]!rng_ForecastColumnLookup,0))</f>
        <v>50.884501750730934</v>
      </c>
      <c r="L23" s="239">
        <f ca="1">INDEX([4]!tbl_Forecast,MATCH($D$8&amp;$D23&amp;$D$7,[4]!rng_ForecastRowLookup,0),MATCH(L$11,[4]!rng_ForecastColumnLookup,0))</f>
        <v>50.426541234974358</v>
      </c>
      <c r="M23" s="239">
        <f ca="1">INDEX([4]!tbl_Forecast,MATCH($D$8&amp;$D23&amp;$D$7,[4]!rng_ForecastRowLookup,0),MATCH(M$11,[4]!rng_ForecastColumnLookup,0))</f>
        <v>49.97270236385959</v>
      </c>
      <c r="N23" s="239">
        <f ca="1">INDEX([4]!tbl_Forecast,MATCH($D$8&amp;$D23&amp;$D$7,[4]!rng_ForecastRowLookup,0),MATCH(N$11,[4]!rng_ForecastColumnLookup,0))</f>
        <v>49.522948042584851</v>
      </c>
      <c r="O23" s="239">
        <f ca="1">INDEX([4]!tbl_Forecast,MATCH($D$8&amp;$D23&amp;$D$7,[4]!rng_ForecastRowLookup,0),MATCH(O$11,[4]!rng_ForecastColumnLookup,0))</f>
        <v>49.077241510201581</v>
      </c>
      <c r="P23" s="239">
        <f ca="1">INDEX([4]!tbl_Forecast,MATCH($D$8&amp;$D23&amp;$D$7,[4]!rng_ForecastRowLookup,0),MATCH(P$11,[4]!rng_ForecastColumnLookup,0))</f>
        <v>48.635546336609778</v>
      </c>
      <c r="Q23" s="239">
        <f ca="1">INDEX([4]!tbl_Forecast,MATCH($D$8&amp;$D23&amp;$D$7,[4]!rng_ForecastRowLookup,0),MATCH(Q$11,[4]!rng_ForecastColumnLookup,0))</f>
        <v>48.197826419580288</v>
      </c>
      <c r="R23" s="239">
        <f ca="1">INDEX([4]!tbl_Forecast,MATCH($D$8&amp;$D23&amp;$D$7,[4]!rng_ForecastRowLookup,0),MATCH(R$11,[4]!rng_ForecastColumnLookup,0))</f>
        <v>47.76404598180406</v>
      </c>
      <c r="S23" s="239">
        <f ca="1">INDEX([4]!tbl_Forecast,MATCH($D$8&amp;$D23&amp;$D$7,[4]!rng_ForecastRowLookup,0),MATCH(S$11,[4]!rng_ForecastColumnLookup,0))</f>
        <v>47.33416956796782</v>
      </c>
      <c r="T23" s="239">
        <f ca="1">INDEX([4]!tbl_Forecast,MATCH($D$8&amp;$D23&amp;$D$7,[4]!rng_ForecastRowLookup,0),MATCH(T$11,[4]!rng_ForecastColumnLookup,0))</f>
        <v>46.908162041856116</v>
      </c>
      <c r="U23" s="239">
        <f ca="1">INDEX([4]!tbl_Forecast,MATCH($D$8&amp;$D23&amp;$D$7,[4]!rng_ForecastRowLookup,0),MATCH(U$11,[4]!rng_ForecastColumnLookup,0))</f>
        <v>46.485988583479411</v>
      </c>
      <c r="V23" s="239">
        <f ca="1">INDEX([4]!tbl_Forecast,MATCH($D$8&amp;$D23&amp;$D$7,[4]!rng_ForecastRowLookup,0),MATCH(V$11,[4]!rng_ForecastColumnLookup,0))</f>
        <v>46.067614686228097</v>
      </c>
      <c r="W23" s="239">
        <f ca="1">INDEX([4]!tbl_Forecast,MATCH($D$8&amp;$D23&amp;$D$7,[4]!rng_ForecastRowLookup,0),MATCH(W$11,[4]!rng_ForecastColumnLookup,0))</f>
        <v>45.653006154052044</v>
      </c>
      <c r="X23" s="239">
        <f ca="1">INDEX([4]!tbl_Forecast,MATCH($D$8&amp;$D23&amp;$D$7,[4]!rng_ForecastRowLookup,0),MATCH(X$11,[4]!rng_ForecastColumnLookup,0))</f>
        <v>45.242129098665572</v>
      </c>
      <c r="Z23" s="4">
        <f t="shared" ca="1" si="2"/>
        <v>45.242129098665572</v>
      </c>
    </row>
    <row r="24" spans="1:26">
      <c r="A24" s="79"/>
      <c r="B24" s="79"/>
      <c r="D24" s="331" t="s">
        <v>532</v>
      </c>
      <c r="E24" s="239">
        <f ca="1">INDEX([4]!tbl_Forecast,MATCH($D$8&amp;$D24&amp;$D$7,[4]!rng_ForecastRowLookup,0),MATCH(E$11,[4]!rng_ForecastColumnLookup,0))</f>
        <v>22.491017060912501</v>
      </c>
      <c r="F24" s="239">
        <f ca="1">INDEX([4]!tbl_Forecast,MATCH($D$8&amp;$D24&amp;$D$7,[4]!rng_ForecastRowLookup,0),MATCH(F$11,[4]!rng_ForecastColumnLookup,0))</f>
        <v>22.384859460384995</v>
      </c>
      <c r="G24" s="239">
        <f ca="1">INDEX([4]!tbl_Forecast,MATCH($D$8&amp;$D24&amp;$D$7,[4]!rng_ForecastRowLookup,0),MATCH(G$11,[4]!rng_ForecastColumnLookup,0))</f>
        <v>22.279202923731983</v>
      </c>
      <c r="H24" s="239">
        <f ca="1">INDEX([4]!tbl_Forecast,MATCH($D$8&amp;$D24&amp;$D$7,[4]!rng_ForecastRowLookup,0),MATCH(H$11,[4]!rng_ForecastColumnLookup,0))</f>
        <v>22.174045085931969</v>
      </c>
      <c r="I24" s="239">
        <f ca="1">INDEX([4]!tbl_Forecast,MATCH($D$8&amp;$D24&amp;$D$7,[4]!rng_ForecastRowLookup,0),MATCH(I$11,[4]!rng_ForecastColumnLookup,0))</f>
        <v>22.069383593126368</v>
      </c>
      <c r="J24" s="239">
        <f ca="1">INDEX([4]!tbl_Forecast,MATCH($D$8&amp;$D24&amp;$D$7,[4]!rng_ForecastRowLookup,0),MATCH(J$11,[4]!rng_ForecastColumnLookup,0))</f>
        <v>21.965216102566814</v>
      </c>
      <c r="K24" s="239">
        <f ca="1">INDEX([4]!tbl_Forecast,MATCH($D$8&amp;$D24&amp;$D$7,[4]!rng_ForecastRowLookup,0),MATCH(K$11,[4]!rng_ForecastColumnLookup,0))</f>
        <v>21.8615402825627</v>
      </c>
      <c r="L24" s="239">
        <f ca="1">INDEX([4]!tbl_Forecast,MATCH($D$8&amp;$D24&amp;$D$7,[4]!rng_ForecastRowLookup,0),MATCH(L$11,[4]!rng_ForecastColumnLookup,0))</f>
        <v>21.758353812429004</v>
      </c>
      <c r="M24" s="239">
        <f ca="1">INDEX([4]!tbl_Forecast,MATCH($D$8&amp;$D24&amp;$D$7,[4]!rng_ForecastRowLookup,0),MATCH(M$11,[4]!rng_ForecastColumnLookup,0))</f>
        <v>21.655654382434342</v>
      </c>
      <c r="N24" s="239">
        <f ca="1">INDEX([4]!tbl_Forecast,MATCH($D$8&amp;$D24&amp;$D$7,[4]!rng_ForecastRowLookup,0),MATCH(N$11,[4]!rng_ForecastColumnLookup,0))</f>
        <v>21.553439693749251</v>
      </c>
      <c r="O24" s="239">
        <f ca="1">INDEX([4]!tbl_Forecast,MATCH($D$8&amp;$D24&amp;$D$7,[4]!rng_ForecastRowLookup,0),MATCH(O$11,[4]!rng_ForecastColumnLookup,0))</f>
        <v>21.451707458394754</v>
      </c>
      <c r="P24" s="239">
        <f ca="1">INDEX([4]!tbl_Forecast,MATCH($D$8&amp;$D24&amp;$D$7,[4]!rng_ForecastRowLookup,0),MATCH(P$11,[4]!rng_ForecastColumnLookup,0))</f>
        <v>21.350455399191134</v>
      </c>
      <c r="Q24" s="239">
        <f ca="1">INDEX([4]!tbl_Forecast,MATCH($D$8&amp;$D24&amp;$D$7,[4]!rng_ForecastRowLookup,0),MATCH(Q$11,[4]!rng_ForecastColumnLookup,0))</f>
        <v>21.249681249706953</v>
      </c>
      <c r="R24" s="239">
        <f ca="1">INDEX([4]!tbl_Forecast,MATCH($D$8&amp;$D24&amp;$D$7,[4]!rng_ForecastRowLookup,0),MATCH(R$11,[4]!rng_ForecastColumnLookup,0))</f>
        <v>21.149382754208336</v>
      </c>
      <c r="S24" s="239">
        <f ca="1">INDEX([4]!tbl_Forecast,MATCH($D$8&amp;$D24&amp;$D$7,[4]!rng_ForecastRowLookup,0),MATCH(S$11,[4]!rng_ForecastColumnLookup,0))</f>
        <v>21.049557667608472</v>
      </c>
      <c r="T24" s="239">
        <f ca="1">INDEX([4]!tbl_Forecast,MATCH($D$8&amp;$D24&amp;$D$7,[4]!rng_ForecastRowLookup,0),MATCH(T$11,[4]!rng_ForecastColumnLookup,0))</f>
        <v>20.950203755417366</v>
      </c>
      <c r="U24" s="239">
        <f ca="1">INDEX([4]!tbl_Forecast,MATCH($D$8&amp;$D24&amp;$D$7,[4]!rng_ForecastRowLookup,0),MATCH(U$11,[4]!rng_ForecastColumnLookup,0))</f>
        <v>20.851318793691796</v>
      </c>
      <c r="V24" s="239">
        <f ca="1">INDEX([4]!tbl_Forecast,MATCH($D$8&amp;$D24&amp;$D$7,[4]!rng_ForecastRowLookup,0),MATCH(V$11,[4]!rng_ForecastColumnLookup,0))</f>
        <v>20.75290056898557</v>
      </c>
      <c r="W24" s="239">
        <f ca="1">INDEX([4]!tbl_Forecast,MATCH($D$8&amp;$D24&amp;$D$7,[4]!rng_ForecastRowLookup,0),MATCH(W$11,[4]!rng_ForecastColumnLookup,0))</f>
        <v>20.654946878299963</v>
      </c>
      <c r="X24" s="239">
        <f ca="1">INDEX([4]!tbl_Forecast,MATCH($D$8&amp;$D24&amp;$D$7,[4]!rng_ForecastRowLookup,0),MATCH(X$11,[4]!rng_ForecastColumnLookup,0))</f>
        <v>20.557455529034385</v>
      </c>
      <c r="Z24" s="4">
        <f t="shared" ca="1" si="2"/>
        <v>20.557455529034385</v>
      </c>
    </row>
    <row r="25" spans="1:26">
      <c r="A25" s="79"/>
      <c r="B25" s="79"/>
      <c r="D25" s="331" t="s">
        <v>507</v>
      </c>
      <c r="E25" s="239">
        <f ca="1">INDEX([4]!tbl_Forecast,MATCH($D$8&amp;$D25&amp;$D$7,[4]!rng_ForecastRowLookup,0),MATCH(E$11,[4]!rng_ForecastColumnLookup,0))</f>
        <v>51.550857208753726</v>
      </c>
      <c r="F25" s="239">
        <f ca="1">INDEX([4]!tbl_Forecast,MATCH($D$8&amp;$D25&amp;$D$7,[4]!rng_ForecastRowLookup,0),MATCH(F$11,[4]!rng_ForecastColumnLookup,0))</f>
        <v>51.307537162728408</v>
      </c>
      <c r="G25" s="239">
        <f ca="1">INDEX([4]!tbl_Forecast,MATCH($D$8&amp;$D25&amp;$D$7,[4]!rng_ForecastRowLookup,0),MATCH(G$11,[4]!rng_ForecastColumnLookup,0))</f>
        <v>51.065365587320336</v>
      </c>
      <c r="H25" s="239">
        <f ca="1">INDEX([4]!tbl_Forecast,MATCH($D$8&amp;$D25&amp;$D$7,[4]!rng_ForecastRowLookup,0),MATCH(H$11,[4]!rng_ForecastColumnLookup,0))</f>
        <v>50.824337061748189</v>
      </c>
      <c r="I25" s="239">
        <f ca="1">INDEX([4]!tbl_Forecast,MATCH($D$8&amp;$D25&amp;$D$7,[4]!rng_ForecastRowLookup,0),MATCH(I$11,[4]!rng_ForecastColumnLookup,0))</f>
        <v>50.584446190816735</v>
      </c>
      <c r="J25" s="239">
        <f ca="1">INDEX([4]!tbl_Forecast,MATCH($D$8&amp;$D25&amp;$D$7,[4]!rng_ForecastRowLookup,0),MATCH(J$11,[4]!rng_ForecastColumnLookup,0))</f>
        <v>50.345687604796083</v>
      </c>
      <c r="K25" s="239">
        <f ca="1">INDEX([4]!tbl_Forecast,MATCH($D$8&amp;$D25&amp;$D$7,[4]!rng_ForecastRowLookup,0),MATCH(K$11,[4]!rng_ForecastColumnLookup,0))</f>
        <v>50.108055959301453</v>
      </c>
      <c r="L25" s="239">
        <f ca="1">INDEX([4]!tbl_Forecast,MATCH($D$8&amp;$D25&amp;$D$7,[4]!rng_ForecastRowLookup,0),MATCH(L$11,[4]!rng_ForecastColumnLookup,0))</f>
        <v>49.871545935173543</v>
      </c>
      <c r="M25" s="239">
        <f ca="1">INDEX([4]!tbl_Forecast,MATCH($D$8&amp;$D25&amp;$D$7,[4]!rng_ForecastRowLookup,0),MATCH(M$11,[4]!rng_ForecastColumnLookup,0))</f>
        <v>49.636152238359529</v>
      </c>
      <c r="N25" s="239">
        <f ca="1">INDEX([4]!tbl_Forecast,MATCH($D$8&amp;$D25&amp;$D$7,[4]!rng_ForecastRowLookup,0),MATCH(N$11,[4]!rng_ForecastColumnLookup,0))</f>
        <v>49.40186959979448</v>
      </c>
      <c r="O25" s="239">
        <f ca="1">INDEX([4]!tbl_Forecast,MATCH($D$8&amp;$D25&amp;$D$7,[4]!rng_ForecastRowLookup,0),MATCH(O$11,[4]!rng_ForecastColumnLookup,0))</f>
        <v>49.168692775283453</v>
      </c>
      <c r="P25" s="239">
        <f ca="1">INDEX([4]!tbl_Forecast,MATCH($D$8&amp;$D25&amp;$D$7,[4]!rng_ForecastRowLookup,0),MATCH(P$11,[4]!rng_ForecastColumnLookup,0))</f>
        <v>48.936616545384119</v>
      </c>
      <c r="Q25" s="239">
        <f ca="1">INDEX([4]!tbl_Forecast,MATCH($D$8&amp;$D25&amp;$D$7,[4]!rng_ForecastRowLookup,0),MATCH(Q$11,[4]!rng_ForecastColumnLookup,0))</f>
        <v>48.705635715289908</v>
      </c>
      <c r="R25" s="239">
        <f ca="1">INDEX([4]!tbl_Forecast,MATCH($D$8&amp;$D25&amp;$D$7,[4]!rng_ForecastRowLookup,0),MATCH(R$11,[4]!rng_ForecastColumnLookup,0))</f>
        <v>48.475745114713739</v>
      </c>
      <c r="S25" s="239">
        <f ca="1">INDEX([4]!tbl_Forecast,MATCH($D$8&amp;$D25&amp;$D$7,[4]!rng_ForecastRowLookup,0),MATCH(S$11,[4]!rng_ForecastColumnLookup,0))</f>
        <v>48.246939597772297</v>
      </c>
      <c r="T25" s="239">
        <f ca="1">INDEX([4]!tbl_Forecast,MATCH($D$8&amp;$D25&amp;$D$7,[4]!rng_ForecastRowLookup,0),MATCH(T$11,[4]!rng_ForecastColumnLookup,0))</f>
        <v>48.019214042870807</v>
      </c>
      <c r="U25" s="239">
        <f ca="1">INDEX([4]!tbl_Forecast,MATCH($D$8&amp;$D25&amp;$D$7,[4]!rng_ForecastRowLookup,0),MATCH(U$11,[4]!rng_ForecastColumnLookup,0))</f>
        <v>47.792563352588466</v>
      </c>
      <c r="V25" s="239">
        <f ca="1">INDEX([4]!tbl_Forecast,MATCH($D$8&amp;$D25&amp;$D$7,[4]!rng_ForecastRowLookup,0),MATCH(V$11,[4]!rng_ForecastColumnLookup,0))</f>
        <v>47.56698245356425</v>
      </c>
      <c r="W25" s="239">
        <f ca="1">INDEX([4]!tbl_Forecast,MATCH($D$8&amp;$D25&amp;$D$7,[4]!rng_ForecastRowLookup,0),MATCH(W$11,[4]!rng_ForecastColumnLookup,0))</f>
        <v>47.342466296383435</v>
      </c>
      <c r="X25" s="239">
        <f ca="1">INDEX([4]!tbl_Forecast,MATCH($D$8&amp;$D25&amp;$D$7,[4]!rng_ForecastRowLookup,0),MATCH(X$11,[4]!rng_ForecastColumnLookup,0))</f>
        <v>47.119009855464505</v>
      </c>
      <c r="Z25" s="4">
        <f t="shared" ca="1" si="2"/>
        <v>47.119009855464505</v>
      </c>
    </row>
    <row r="26" spans="1:26">
      <c r="A26" s="79"/>
      <c r="B26" s="79"/>
      <c r="D26" s="331" t="s">
        <v>481</v>
      </c>
      <c r="E26" s="239">
        <f ca="1">INDEX([4]!tbl_Forecast,MATCH($D$8&amp;$D26&amp;$D$7,[4]!rng_ForecastRowLookup,0),MATCH(E$11,[4]!rng_ForecastColumnLookup,0))</f>
        <v>170.15189589049527</v>
      </c>
      <c r="F26" s="239">
        <f ca="1">INDEX([4]!tbl_Forecast,MATCH($D$8&amp;$D26&amp;$D$7,[4]!rng_ForecastRowLookup,0),MATCH(F$11,[4]!rng_ForecastColumnLookup,0))</f>
        <v>169.74353134035809</v>
      </c>
      <c r="G26" s="239">
        <f ca="1">INDEX([4]!tbl_Forecast,MATCH($D$8&amp;$D26&amp;$D$7,[4]!rng_ForecastRowLookup,0),MATCH(G$11,[4]!rng_ForecastColumnLookup,0))</f>
        <v>169.33614686514122</v>
      </c>
      <c r="H26" s="239">
        <f ca="1">INDEX([4]!tbl_Forecast,MATCH($D$8&amp;$D26&amp;$D$7,[4]!rng_ForecastRowLookup,0),MATCH(H$11,[4]!rng_ForecastColumnLookup,0))</f>
        <v>168.92974011266489</v>
      </c>
      <c r="I26" s="239">
        <f ca="1">INDEX([4]!tbl_Forecast,MATCH($D$8&amp;$D26&amp;$D$7,[4]!rng_ForecastRowLookup,0),MATCH(I$11,[4]!rng_ForecastColumnLookup,0))</f>
        <v>168.52430873639449</v>
      </c>
      <c r="J26" s="239">
        <f ca="1">INDEX([4]!tbl_Forecast,MATCH($D$8&amp;$D26&amp;$D$7,[4]!rng_ForecastRowLookup,0),MATCH(J$11,[4]!rng_ForecastColumnLookup,0))</f>
        <v>168.11985039542716</v>
      </c>
      <c r="K26" s="239">
        <f ca="1">INDEX([4]!tbl_Forecast,MATCH($D$8&amp;$D26&amp;$D$7,[4]!rng_ForecastRowLookup,0),MATCH(K$11,[4]!rng_ForecastColumnLookup,0))</f>
        <v>167.71636275447813</v>
      </c>
      <c r="L26" s="239">
        <f ca="1">INDEX([4]!tbl_Forecast,MATCH($D$8&amp;$D26&amp;$D$7,[4]!rng_ForecastRowLookup,0),MATCH(L$11,[4]!rng_ForecastColumnLookup,0))</f>
        <v>167.31384348386743</v>
      </c>
      <c r="M26" s="239">
        <f ca="1">INDEX([4]!tbl_Forecast,MATCH($D$8&amp;$D26&amp;$D$7,[4]!rng_ForecastRowLookup,0),MATCH(M$11,[4]!rng_ForecastColumnLookup,0))</f>
        <v>166.91229025950614</v>
      </c>
      <c r="N26" s="239">
        <f ca="1">INDEX([4]!tbl_Forecast,MATCH($D$8&amp;$D26&amp;$D$7,[4]!rng_ForecastRowLookup,0),MATCH(N$11,[4]!rng_ForecastColumnLookup,0))</f>
        <v>166.51170076288332</v>
      </c>
      <c r="O26" s="239">
        <f ca="1">INDEX([4]!tbl_Forecast,MATCH($D$8&amp;$D26&amp;$D$7,[4]!rng_ForecastRowLookup,0),MATCH(O$11,[4]!rng_ForecastColumnLookup,0))</f>
        <v>166.11207268105238</v>
      </c>
      <c r="P26" s="239">
        <f ca="1">INDEX([4]!tbl_Forecast,MATCH($D$8&amp;$D26&amp;$D$7,[4]!rng_ForecastRowLookup,0),MATCH(P$11,[4]!rng_ForecastColumnLookup,0))</f>
        <v>165.7134037066179</v>
      </c>
      <c r="Q26" s="239">
        <f ca="1">INDEX([4]!tbl_Forecast,MATCH($D$8&amp;$D26&amp;$D$7,[4]!rng_ForecastRowLookup,0),MATCH(Q$11,[4]!rng_ForecastColumnLookup,0))</f>
        <v>165.31569153772202</v>
      </c>
      <c r="R26" s="239">
        <f ca="1">INDEX([4]!tbl_Forecast,MATCH($D$8&amp;$D26&amp;$D$7,[4]!rng_ForecastRowLookup,0),MATCH(R$11,[4]!rng_ForecastColumnLookup,0))</f>
        <v>164.91893387803151</v>
      </c>
      <c r="S26" s="239">
        <f ca="1">INDEX([4]!tbl_Forecast,MATCH($D$8&amp;$D26&amp;$D$7,[4]!rng_ForecastRowLookup,0),MATCH(S$11,[4]!rng_ForecastColumnLookup,0))</f>
        <v>164.52312843672422</v>
      </c>
      <c r="T26" s="239">
        <f ca="1">INDEX([4]!tbl_Forecast,MATCH($D$8&amp;$D26&amp;$D$7,[4]!rng_ForecastRowLookup,0),MATCH(T$11,[4]!rng_ForecastColumnLookup,0))</f>
        <v>164.12827292847609</v>
      </c>
      <c r="U26" s="239">
        <f ca="1">INDEX([4]!tbl_Forecast,MATCH($D$8&amp;$D26&amp;$D$7,[4]!rng_ForecastRowLookup,0),MATCH(U$11,[4]!rng_ForecastColumnLookup,0))</f>
        <v>163.73436507344778</v>
      </c>
      <c r="V26" s="239">
        <f ca="1">INDEX([4]!tbl_Forecast,MATCH($D$8&amp;$D26&amp;$D$7,[4]!rng_ForecastRowLookup,0),MATCH(V$11,[4]!rng_ForecastColumnLookup,0))</f>
        <v>163.3414025972715</v>
      </c>
      <c r="W26" s="239">
        <f ca="1">INDEX([4]!tbl_Forecast,MATCH($D$8&amp;$D26&amp;$D$7,[4]!rng_ForecastRowLookup,0),MATCH(W$11,[4]!rng_ForecastColumnLookup,0))</f>
        <v>162.94938323103807</v>
      </c>
      <c r="X26" s="239">
        <f ca="1">INDEX([4]!tbl_Forecast,MATCH($D$8&amp;$D26&amp;$D$7,[4]!rng_ForecastRowLookup,0),MATCH(X$11,[4]!rng_ForecastColumnLookup,0))</f>
        <v>162.55830471128357</v>
      </c>
      <c r="Z26" s="4">
        <f t="shared" ca="1" si="2"/>
        <v>162.55830471128357</v>
      </c>
    </row>
    <row r="27" spans="1:26">
      <c r="A27" s="79"/>
      <c r="B27" s="79"/>
      <c r="D27" s="331" t="s">
        <v>511</v>
      </c>
      <c r="E27" s="239">
        <f ca="1">INDEX([4]!tbl_Forecast,MATCH($D$8&amp;$D27&amp;$D$7,[4]!rng_ForecastRowLookup,0),MATCH(E$11,[4]!rng_ForecastColumnLookup,0))</f>
        <v>105.02947953487826</v>
      </c>
      <c r="F27" s="239">
        <f ca="1">INDEX([4]!tbl_Forecast,MATCH($D$8&amp;$D27&amp;$D$7,[4]!rng_ForecastRowLookup,0),MATCH(F$11,[4]!rng_ForecastColumnLookup,0))</f>
        <v>104.80891762785501</v>
      </c>
      <c r="G27" s="239">
        <f ca="1">INDEX([4]!tbl_Forecast,MATCH($D$8&amp;$D27&amp;$D$7,[4]!rng_ForecastRowLookup,0),MATCH(G$11,[4]!rng_ForecastColumnLookup,0))</f>
        <v>104.58881890083651</v>
      </c>
      <c r="H27" s="239">
        <f ca="1">INDEX([4]!tbl_Forecast,MATCH($D$8&amp;$D27&amp;$D$7,[4]!rng_ForecastRowLookup,0),MATCH(H$11,[4]!rng_ForecastColumnLookup,0))</f>
        <v>104.36918238114475</v>
      </c>
      <c r="I27" s="239">
        <f ca="1">INDEX([4]!tbl_Forecast,MATCH($D$8&amp;$D27&amp;$D$7,[4]!rng_ForecastRowLookup,0),MATCH(I$11,[4]!rng_ForecastColumnLookup,0))</f>
        <v>104.15000709814436</v>
      </c>
      <c r="J27" s="239">
        <f ca="1">INDEX([4]!tbl_Forecast,MATCH($D$8&amp;$D27&amp;$D$7,[4]!rng_ForecastRowLookup,0),MATCH(J$11,[4]!rng_ForecastColumnLookup,0))</f>
        <v>103.93129208323826</v>
      </c>
      <c r="K27" s="239">
        <f ca="1">INDEX([4]!tbl_Forecast,MATCH($D$8&amp;$D27&amp;$D$7,[4]!rng_ForecastRowLookup,0),MATCH(K$11,[4]!rng_ForecastColumnLookup,0))</f>
        <v>103.71303636986346</v>
      </c>
      <c r="L27" s="239">
        <f ca="1">INDEX([4]!tbl_Forecast,MATCH($D$8&amp;$D27&amp;$D$7,[4]!rng_ForecastRowLookup,0),MATCH(L$11,[4]!rng_ForecastColumnLookup,0))</f>
        <v>103.49523899348674</v>
      </c>
      <c r="M27" s="239">
        <f ca="1">INDEX([4]!tbl_Forecast,MATCH($D$8&amp;$D27&amp;$D$7,[4]!rng_ForecastRowLookup,0),MATCH(M$11,[4]!rng_ForecastColumnLookup,0))</f>
        <v>103.27789899160042</v>
      </c>
      <c r="N27" s="239">
        <f ca="1">INDEX([4]!tbl_Forecast,MATCH($D$8&amp;$D27&amp;$D$7,[4]!rng_ForecastRowLookup,0),MATCH(N$11,[4]!rng_ForecastColumnLookup,0))</f>
        <v>103.06101540371807</v>
      </c>
      <c r="O27" s="239">
        <f ca="1">INDEX([4]!tbl_Forecast,MATCH($D$8&amp;$D27&amp;$D$7,[4]!rng_ForecastRowLookup,0),MATCH(O$11,[4]!rng_ForecastColumnLookup,0))</f>
        <v>102.84458727137024</v>
      </c>
      <c r="P27" s="239">
        <f ca="1">INDEX([4]!tbl_Forecast,MATCH($D$8&amp;$D27&amp;$D$7,[4]!rng_ForecastRowLookup,0),MATCH(P$11,[4]!rng_ForecastColumnLookup,0))</f>
        <v>102.62861363810038</v>
      </c>
      <c r="Q27" s="239">
        <f ca="1">INDEX([4]!tbl_Forecast,MATCH($D$8&amp;$D27&amp;$D$7,[4]!rng_ForecastRowLookup,0),MATCH(Q$11,[4]!rng_ForecastColumnLookup,0))</f>
        <v>102.41309354946036</v>
      </c>
      <c r="R27" s="239">
        <f ca="1">INDEX([4]!tbl_Forecast,MATCH($D$8&amp;$D27&amp;$D$7,[4]!rng_ForecastRowLookup,0),MATCH(R$11,[4]!rng_ForecastColumnLookup,0))</f>
        <v>102.19802605300649</v>
      </c>
      <c r="S27" s="239">
        <f ca="1">INDEX([4]!tbl_Forecast,MATCH($D$8&amp;$D27&amp;$D$7,[4]!rng_ForecastRowLookup,0),MATCH(S$11,[4]!rng_ForecastColumnLookup,0))</f>
        <v>101.98341019829519</v>
      </c>
      <c r="T27" s="239">
        <f ca="1">INDEX([4]!tbl_Forecast,MATCH($D$8&amp;$D27&amp;$D$7,[4]!rng_ForecastRowLookup,0),MATCH(T$11,[4]!rng_ForecastColumnLookup,0))</f>
        <v>101.76924503687877</v>
      </c>
      <c r="U27" s="239">
        <f ca="1">INDEX([4]!tbl_Forecast,MATCH($D$8&amp;$D27&amp;$D$7,[4]!rng_ForecastRowLookup,0),MATCH(U$11,[4]!rng_ForecastColumnLookup,0))</f>
        <v>101.55552962230132</v>
      </c>
      <c r="V27" s="239">
        <f ca="1">INDEX([4]!tbl_Forecast,MATCH($D$8&amp;$D27&amp;$D$7,[4]!rng_ForecastRowLookup,0),MATCH(V$11,[4]!rng_ForecastColumnLookup,0))</f>
        <v>101.3422630100945</v>
      </c>
      <c r="W27" s="239">
        <f ca="1">INDEX([4]!tbl_Forecast,MATCH($D$8&amp;$D27&amp;$D$7,[4]!rng_ForecastRowLookup,0),MATCH(W$11,[4]!rng_ForecastColumnLookup,0))</f>
        <v>101.1294442577733</v>
      </c>
      <c r="X27" s="239">
        <f ca="1">INDEX([4]!tbl_Forecast,MATCH($D$8&amp;$D27&amp;$D$7,[4]!rng_ForecastRowLookup,0),MATCH(X$11,[4]!rng_ForecastColumnLookup,0))</f>
        <v>100.91707242483197</v>
      </c>
      <c r="Z27" s="4">
        <f t="shared" ca="1" si="2"/>
        <v>100.91707242483197</v>
      </c>
    </row>
    <row r="28" spans="1:26">
      <c r="A28" s="79"/>
      <c r="B28" s="79"/>
      <c r="D28" s="82" t="s">
        <v>487</v>
      </c>
      <c r="E28" s="239">
        <f ca="1">INDEX([4]!tbl_Forecast,MATCH($D$8&amp;$D28&amp;$D$7,[4]!rng_ForecastRowLookup,0),MATCH(E$11,[4]!rng_ForecastColumnLookup,0))</f>
        <v>128.74820917277606</v>
      </c>
      <c r="F28" s="239">
        <f ca="1">INDEX([4]!tbl_Forecast,MATCH($D$8&amp;$D28&amp;$D$7,[4]!rng_ForecastRowLookup,0),MATCH(F$11,[4]!rng_ForecastColumnLookup,0))</f>
        <v>128.43921347076139</v>
      </c>
      <c r="G28" s="239">
        <f ca="1">INDEX([4]!tbl_Forecast,MATCH($D$8&amp;$D28&amp;$D$7,[4]!rng_ForecastRowLookup,0),MATCH(G$11,[4]!rng_ForecastColumnLookup,0))</f>
        <v>128.1309593584316</v>
      </c>
      <c r="H28" s="239">
        <f ca="1">INDEX([4]!tbl_Forecast,MATCH($D$8&amp;$D28&amp;$D$7,[4]!rng_ForecastRowLookup,0),MATCH(H$11,[4]!rng_ForecastColumnLookup,0))</f>
        <v>127.82344505597135</v>
      </c>
      <c r="I28" s="239">
        <f ca="1">INDEX([4]!tbl_Forecast,MATCH($D$8&amp;$D28&amp;$D$7,[4]!rng_ForecastRowLookup,0),MATCH(I$11,[4]!rng_ForecastColumnLookup,0))</f>
        <v>127.51666878783702</v>
      </c>
      <c r="J28" s="239">
        <f ca="1">INDEX([4]!tbl_Forecast,MATCH($D$8&amp;$D28&amp;$D$7,[4]!rng_ForecastRowLookup,0),MATCH(J$11,[4]!rng_ForecastColumnLookup,0))</f>
        <v>127.21062878274621</v>
      </c>
      <c r="K28" s="239">
        <f ca="1">INDEX([4]!tbl_Forecast,MATCH($D$8&amp;$D28&amp;$D$7,[4]!rng_ForecastRowLookup,0),MATCH(K$11,[4]!rng_ForecastColumnLookup,0))</f>
        <v>126.90532327366765</v>
      </c>
      <c r="L28" s="239">
        <f ca="1">INDEX([4]!tbl_Forecast,MATCH($D$8&amp;$D28&amp;$D$7,[4]!rng_ForecastRowLookup,0),MATCH(L$11,[4]!rng_ForecastColumnLookup,0))</f>
        <v>126.60075049781085</v>
      </c>
      <c r="M28" s="239">
        <f ca="1">INDEX([4]!tbl_Forecast,MATCH($D$8&amp;$D28&amp;$D$7,[4]!rng_ForecastRowLookup,0),MATCH(M$11,[4]!rng_ForecastColumnLookup,0))</f>
        <v>126.29690869661611</v>
      </c>
      <c r="N28" s="239">
        <f ca="1">INDEX([4]!tbl_Forecast,MATCH($D$8&amp;$D28&amp;$D$7,[4]!rng_ForecastRowLookup,0),MATCH(N$11,[4]!rng_ForecastColumnLookup,0))</f>
        <v>125.99379611574425</v>
      </c>
      <c r="O28" s="239">
        <f ca="1">INDEX([4]!tbl_Forecast,MATCH($D$8&amp;$D28&amp;$D$7,[4]!rng_ForecastRowLookup,0),MATCH(O$11,[4]!rng_ForecastColumnLookup,0))</f>
        <v>125.69141100506647</v>
      </c>
      <c r="P28" s="239">
        <f ca="1">INDEX([4]!tbl_Forecast,MATCH($D$8&amp;$D28&amp;$D$7,[4]!rng_ForecastRowLookup,0),MATCH(P$11,[4]!rng_ForecastColumnLookup,0))</f>
        <v>125.3897516186543</v>
      </c>
      <c r="Q28" s="239">
        <f ca="1">INDEX([4]!tbl_Forecast,MATCH($D$8&amp;$D28&amp;$D$7,[4]!rng_ForecastRowLookup,0),MATCH(Q$11,[4]!rng_ForecastColumnLookup,0))</f>
        <v>125.08881621476955</v>
      </c>
      <c r="R28" s="239">
        <f ca="1">INDEX([4]!tbl_Forecast,MATCH($D$8&amp;$D28&amp;$D$7,[4]!rng_ForecastRowLookup,0),MATCH(R$11,[4]!rng_ForecastColumnLookup,0))</f>
        <v>124.78860305585408</v>
      </c>
      <c r="S28" s="239">
        <f ca="1">INDEX([4]!tbl_Forecast,MATCH($D$8&amp;$D28&amp;$D$7,[4]!rng_ForecastRowLookup,0),MATCH(S$11,[4]!rng_ForecastColumnLookup,0))</f>
        <v>124.48911040852005</v>
      </c>
      <c r="T28" s="239">
        <f ca="1">INDEX([4]!tbl_Forecast,MATCH($D$8&amp;$D28&amp;$D$7,[4]!rng_ForecastRowLookup,0),MATCH(T$11,[4]!rng_ForecastColumnLookup,0))</f>
        <v>124.1903365435396</v>
      </c>
      <c r="U28" s="239">
        <f ca="1">INDEX([4]!tbl_Forecast,MATCH($D$8&amp;$D28&amp;$D$7,[4]!rng_ForecastRowLookup,0),MATCH(U$11,[4]!rng_ForecastColumnLookup,0))</f>
        <v>123.8922797358351</v>
      </c>
      <c r="V28" s="239">
        <f ca="1">INDEX([4]!tbl_Forecast,MATCH($D$8&amp;$D28&amp;$D$7,[4]!rng_ForecastRowLookup,0),MATCH(V$11,[4]!rng_ForecastColumnLookup,0))</f>
        <v>123.59493826446912</v>
      </c>
      <c r="W28" s="239">
        <f ca="1">INDEX([4]!tbl_Forecast,MATCH($D$8&amp;$D28&amp;$D$7,[4]!rng_ForecastRowLookup,0),MATCH(W$11,[4]!rng_ForecastColumnLookup,0))</f>
        <v>123.29831041263438</v>
      </c>
      <c r="X28" s="239">
        <f ca="1">INDEX([4]!tbl_Forecast,MATCH($D$8&amp;$D28&amp;$D$7,[4]!rng_ForecastRowLookup,0),MATCH(X$11,[4]!rng_ForecastColumnLookup,0))</f>
        <v>123.00239446764408</v>
      </c>
      <c r="Z28" s="4">
        <f t="shared" ca="1" si="2"/>
        <v>123.00239446764408</v>
      </c>
    </row>
    <row r="29" spans="1:26">
      <c r="A29" s="79"/>
      <c r="B29" s="79"/>
      <c r="D29" s="331" t="s">
        <v>480</v>
      </c>
      <c r="E29" s="239">
        <f ca="1">INDEX([4]!tbl_Forecast,MATCH($D$8&amp;$D29&amp;$D$7,[4]!rng_ForecastRowLookup,0),MATCH(E$11,[4]!rng_ForecastColumnLookup,0))</f>
        <v>375.90224900649127</v>
      </c>
      <c r="F29" s="239">
        <f ca="1">INDEX([4]!tbl_Forecast,MATCH($D$8&amp;$D29&amp;$D$7,[4]!rng_ForecastRowLookup,0),MATCH(F$11,[4]!rng_ForecastColumnLookup,0))</f>
        <v>374.21570091594884</v>
      </c>
      <c r="G29" s="239">
        <f ca="1">INDEX([4]!tbl_Forecast,MATCH($D$8&amp;$D29&amp;$D$7,[4]!rng_ForecastRowLookup,0),MATCH(G$11,[4]!rng_ForecastColumnLookup,0))</f>
        <v>372.53671980450594</v>
      </c>
      <c r="H29" s="239">
        <f ca="1">INDEX([4]!tbl_Forecast,MATCH($D$8&amp;$D29&amp;$D$7,[4]!rng_ForecastRowLookup,0),MATCH(H$11,[4]!rng_ForecastColumnLookup,0))</f>
        <v>370.86527172164978</v>
      </c>
      <c r="I29" s="239">
        <f ca="1">INDEX([4]!tbl_Forecast,MATCH($D$8&amp;$D29&amp;$D$7,[4]!rng_ForecastRowLookup,0),MATCH(I$11,[4]!rng_ForecastColumnLookup,0))</f>
        <v>369.20132286919198</v>
      </c>
      <c r="J29" s="239">
        <f ca="1">INDEX([4]!tbl_Forecast,MATCH($D$8&amp;$D29&amp;$D$7,[4]!rng_ForecastRowLookup,0),MATCH(J$11,[4]!rng_ForecastColumnLookup,0))</f>
        <v>367.54483960058553</v>
      </c>
      <c r="K29" s="239">
        <f ca="1">INDEX([4]!tbl_Forecast,MATCH($D$8&amp;$D29&amp;$D$7,[4]!rng_ForecastRowLookup,0),MATCH(K$11,[4]!rng_ForecastColumnLookup,0))</f>
        <v>365.89578842024423</v>
      </c>
      <c r="L29" s="239">
        <f ca="1">INDEX([4]!tbl_Forecast,MATCH($D$8&amp;$D29&amp;$D$7,[4]!rng_ForecastRowLookup,0),MATCH(L$11,[4]!rng_ForecastColumnLookup,0))</f>
        <v>364.25413598286536</v>
      </c>
      <c r="M29" s="239">
        <f ca="1">INDEX([4]!tbl_Forecast,MATCH($D$8&amp;$D29&amp;$D$7,[4]!rng_ForecastRowLookup,0),MATCH(M$11,[4]!rng_ForecastColumnLookup,0))</f>
        <v>362.6198490927556</v>
      </c>
      <c r="N29" s="239">
        <f ca="1">INDEX([4]!tbl_Forecast,MATCH($D$8&amp;$D29&amp;$D$7,[4]!rng_ForecastRowLookup,0),MATCH(N$11,[4]!rng_ForecastColumnLookup,0))</f>
        <v>360.99289470315949</v>
      </c>
      <c r="O29" s="239">
        <f ca="1">INDEX([4]!tbl_Forecast,MATCH($D$8&amp;$D29&amp;$D$7,[4]!rng_ForecastRowLookup,0),MATCH(O$11,[4]!rng_ForecastColumnLookup,0))</f>
        <v>359.37323991559134</v>
      </c>
      <c r="P29" s="239">
        <f ca="1">INDEX([4]!tbl_Forecast,MATCH($D$8&amp;$D29&amp;$D$7,[4]!rng_ForecastRowLookup,0),MATCH(P$11,[4]!rng_ForecastColumnLookup,0))</f>
        <v>357.76085197917007</v>
      </c>
      <c r="Q29" s="239">
        <f ca="1">INDEX([4]!tbl_Forecast,MATCH($D$8&amp;$D29&amp;$D$7,[4]!rng_ForecastRowLookup,0),MATCH(Q$11,[4]!rng_ForecastColumnLookup,0))</f>
        <v>356.15569828995689</v>
      </c>
      <c r="R29" s="239">
        <f ca="1">INDEX([4]!tbl_Forecast,MATCH($D$8&amp;$D29&amp;$D$7,[4]!rng_ForecastRowLookup,0),MATCH(R$11,[4]!rng_ForecastColumnLookup,0))</f>
        <v>354.55774639029596</v>
      </c>
      <c r="S29" s="239">
        <f ca="1">INDEX([4]!tbl_Forecast,MATCH($D$8&amp;$D29&amp;$D$7,[4]!rng_ForecastRowLookup,0),MATCH(S$11,[4]!rng_ForecastColumnLookup,0))</f>
        <v>352.96696396815821</v>
      </c>
      <c r="T29" s="239">
        <f ca="1">INDEX([4]!tbl_Forecast,MATCH($D$8&amp;$D29&amp;$D$7,[4]!rng_ForecastRowLookup,0),MATCH(T$11,[4]!rng_ForecastColumnLookup,0))</f>
        <v>351.38331885648773</v>
      </c>
      <c r="U29" s="239">
        <f ca="1">INDEX([4]!tbl_Forecast,MATCH($D$8&amp;$D29&amp;$D$7,[4]!rng_ForecastRowLookup,0),MATCH(U$11,[4]!rng_ForecastColumnLookup,0))</f>
        <v>349.80677903255156</v>
      </c>
      <c r="V29" s="239">
        <f ca="1">INDEX([4]!tbl_Forecast,MATCH($D$8&amp;$D29&amp;$D$7,[4]!rng_ForecastRowLookup,0),MATCH(V$11,[4]!rng_ForecastColumnLookup,0))</f>
        <v>348.23731261729228</v>
      </c>
      <c r="W29" s="239">
        <f ca="1">INDEX([4]!tbl_Forecast,MATCH($D$8&amp;$D29&amp;$D$7,[4]!rng_ForecastRowLookup,0),MATCH(W$11,[4]!rng_ForecastColumnLookup,0))</f>
        <v>346.67488787468267</v>
      </c>
      <c r="X29" s="239">
        <f ca="1">INDEX([4]!tbl_Forecast,MATCH($D$8&amp;$D29&amp;$D$7,[4]!rng_ForecastRowLookup,0),MATCH(X$11,[4]!rng_ForecastColumnLookup,0))</f>
        <v>345.11947321108494</v>
      </c>
      <c r="Z29" s="4">
        <f t="shared" ca="1" si="2"/>
        <v>345.11947321108494</v>
      </c>
    </row>
    <row r="30" spans="1:26">
      <c r="A30" s="79"/>
      <c r="B30" s="79"/>
      <c r="D30" s="331" t="s">
        <v>484</v>
      </c>
      <c r="E30" s="239">
        <f ca="1">INDEX([4]!tbl_Forecast,MATCH($D$8&amp;$D30&amp;$D$7,[4]!rng_ForecastRowLookup,0),MATCH(E$11,[4]!rng_ForecastColumnLookup,0))</f>
        <v>342.64988330108076</v>
      </c>
      <c r="F30" s="239">
        <f ca="1">INDEX([4]!tbl_Forecast,MATCH($D$8&amp;$D30&amp;$D$7,[4]!rng_ForecastRowLookup,0),MATCH(F$11,[4]!rng_ForecastColumnLookup,0))</f>
        <v>339.56603435137106</v>
      </c>
      <c r="G30" s="239">
        <f ca="1">INDEX([4]!tbl_Forecast,MATCH($D$8&amp;$D30&amp;$D$7,[4]!rng_ForecastRowLookup,0),MATCH(G$11,[4]!rng_ForecastColumnLookup,0))</f>
        <v>336.50994004220871</v>
      </c>
      <c r="H30" s="239">
        <f ca="1">INDEX([4]!tbl_Forecast,MATCH($D$8&amp;$D30&amp;$D$7,[4]!rng_ForecastRowLookup,0),MATCH(H$11,[4]!rng_ForecastColumnLookup,0))</f>
        <v>333.48135058182885</v>
      </c>
      <c r="I30" s="239">
        <f ca="1">INDEX([4]!tbl_Forecast,MATCH($D$8&amp;$D30&amp;$D$7,[4]!rng_ForecastRowLookup,0),MATCH(I$11,[4]!rng_ForecastColumnLookup,0))</f>
        <v>330.48001842659238</v>
      </c>
      <c r="J30" s="239">
        <f ca="1">INDEX([4]!tbl_Forecast,MATCH($D$8&amp;$D30&amp;$D$7,[4]!rng_ForecastRowLookup,0),MATCH(J$11,[4]!rng_ForecastColumnLookup,0))</f>
        <v>327.50569826075304</v>
      </c>
      <c r="K30" s="239">
        <f ca="1">INDEX([4]!tbl_Forecast,MATCH($D$8&amp;$D30&amp;$D$7,[4]!rng_ForecastRowLookup,0),MATCH(K$11,[4]!rng_ForecastColumnLookup,0))</f>
        <v>324.55814697640625</v>
      </c>
      <c r="L30" s="239">
        <f ca="1">INDEX([4]!tbl_Forecast,MATCH($D$8&amp;$D30&amp;$D$7,[4]!rng_ForecastRowLookup,0),MATCH(L$11,[4]!rng_ForecastColumnLookup,0))</f>
        <v>321.63712365361863</v>
      </c>
      <c r="M30" s="239">
        <f ca="1">INDEX([4]!tbl_Forecast,MATCH($D$8&amp;$D30&amp;$D$7,[4]!rng_ForecastRowLookup,0),MATCH(M$11,[4]!rng_ForecastColumnLookup,0))</f>
        <v>318.7423895407361</v>
      </c>
      <c r="N30" s="239">
        <f ca="1">INDEX([4]!tbl_Forecast,MATCH($D$8&amp;$D30&amp;$D$7,[4]!rng_ForecastRowLookup,0),MATCH(N$11,[4]!rng_ForecastColumnLookup,0))</f>
        <v>315.87370803486942</v>
      </c>
      <c r="O30" s="239">
        <f ca="1">INDEX([4]!tbl_Forecast,MATCH($D$8&amp;$D30&amp;$D$7,[4]!rng_ForecastRowLookup,0),MATCH(O$11,[4]!rng_ForecastColumnLookup,0))</f>
        <v>313.03084466255564</v>
      </c>
      <c r="P30" s="239">
        <f ca="1">INDEX([4]!tbl_Forecast,MATCH($D$8&amp;$D30&amp;$D$7,[4]!rng_ForecastRowLookup,0),MATCH(P$11,[4]!rng_ForecastColumnLookup,0))</f>
        <v>310.21356706059254</v>
      </c>
      <c r="Q30" s="239">
        <f ca="1">INDEX([4]!tbl_Forecast,MATCH($D$8&amp;$D30&amp;$D$7,[4]!rng_ForecastRowLookup,0),MATCH(Q$11,[4]!rng_ForecastColumnLookup,0))</f>
        <v>307.42164495704725</v>
      </c>
      <c r="R30" s="239">
        <f ca="1">INDEX([4]!tbl_Forecast,MATCH($D$8&amp;$D30&amp;$D$7,[4]!rng_ForecastRowLookup,0),MATCH(R$11,[4]!rng_ForecastColumnLookup,0))</f>
        <v>304.65485015243382</v>
      </c>
      <c r="S30" s="239">
        <f ca="1">INDEX([4]!tbl_Forecast,MATCH($D$8&amp;$D30&amp;$D$7,[4]!rng_ForecastRowLookup,0),MATCH(S$11,[4]!rng_ForecastColumnLookup,0))</f>
        <v>301.9129565010619</v>
      </c>
      <c r="T30" s="239">
        <f ca="1">INDEX([4]!tbl_Forecast,MATCH($D$8&amp;$D30&amp;$D$7,[4]!rng_ForecastRowLookup,0),MATCH(T$11,[4]!rng_ForecastColumnLookup,0))</f>
        <v>299.19573989255235</v>
      </c>
      <c r="U30" s="239">
        <f ca="1">INDEX([4]!tbl_Forecast,MATCH($D$8&amp;$D30&amp;$D$7,[4]!rng_ForecastRowLookup,0),MATCH(U$11,[4]!rng_ForecastColumnLookup,0))</f>
        <v>296.50297823351934</v>
      </c>
      <c r="V30" s="239">
        <f ca="1">INDEX([4]!tbl_Forecast,MATCH($D$8&amp;$D30&amp;$D$7,[4]!rng_ForecastRowLookup,0),MATCH(V$11,[4]!rng_ForecastColumnLookup,0))</f>
        <v>293.83445142941764</v>
      </c>
      <c r="W30" s="239">
        <f ca="1">INDEX([4]!tbl_Forecast,MATCH($D$8&amp;$D30&amp;$D$7,[4]!rng_ForecastRowLookup,0),MATCH(W$11,[4]!rng_ForecastColumnLookup,0))</f>
        <v>291.18994136655289</v>
      </c>
      <c r="X30" s="239">
        <f ca="1">INDEX([4]!tbl_Forecast,MATCH($D$8&amp;$D30&amp;$D$7,[4]!rng_ForecastRowLookup,0),MATCH(X$11,[4]!rng_ForecastColumnLookup,0))</f>
        <v>288.5692318942539</v>
      </c>
      <c r="Z30" s="4">
        <f t="shared" ca="1" si="2"/>
        <v>288.5692318942539</v>
      </c>
    </row>
    <row r="31" spans="1:26">
      <c r="A31" s="79"/>
      <c r="B31" s="79"/>
      <c r="D31" s="79"/>
      <c r="E31" s="247"/>
      <c r="F31" s="247"/>
      <c r="G31" s="247"/>
      <c r="H31" s="247"/>
      <c r="I31" s="247"/>
      <c r="J31" s="247"/>
      <c r="K31" s="247"/>
      <c r="L31" s="247"/>
      <c r="M31" s="247"/>
      <c r="N31" s="247"/>
      <c r="O31" s="247"/>
      <c r="P31" s="247"/>
      <c r="Q31" s="247"/>
      <c r="R31" s="247"/>
      <c r="S31" s="247"/>
      <c r="T31" s="247"/>
      <c r="U31" s="247"/>
      <c r="V31" s="247"/>
      <c r="W31" s="247"/>
      <c r="X31" s="247"/>
      <c r="Z31" s="4"/>
    </row>
    <row r="32" spans="1:26">
      <c r="A32" s="79"/>
      <c r="B32" s="248"/>
      <c r="C32" s="79"/>
      <c r="D32" s="79" t="s">
        <v>318</v>
      </c>
      <c r="E32" s="249">
        <f ca="1">SUM(E13:E30)</f>
        <v>3371.0405269479006</v>
      </c>
      <c r="F32" s="249">
        <f t="shared" ref="F32:X32" ca="1" si="3">SUM(F13:F30)</f>
        <v>3356.5369104716883</v>
      </c>
      <c r="G32" s="249">
        <f t="shared" ca="1" si="3"/>
        <v>3342.1075656435023</v>
      </c>
      <c r="H32" s="249">
        <f t="shared" ca="1" si="3"/>
        <v>3327.7520346049623</v>
      </c>
      <c r="I32" s="249">
        <f t="shared" ca="1" si="3"/>
        <v>3313.4698627952139</v>
      </c>
      <c r="J32" s="249">
        <f t="shared" ca="1" si="3"/>
        <v>3299.2605989245808</v>
      </c>
      <c r="K32" s="249">
        <f t="shared" ca="1" si="3"/>
        <v>3285.1237949484457</v>
      </c>
      <c r="L32" s="249">
        <f t="shared" ca="1" si="3"/>
        <v>3271.0590060413433</v>
      </c>
      <c r="M32" s="249">
        <f t="shared" ca="1" si="3"/>
        <v>3257.0657905712806</v>
      </c>
      <c r="N32" s="249">
        <f t="shared" ca="1" si="3"/>
        <v>3243.1437100742696</v>
      </c>
      <c r="O32" s="249">
        <f t="shared" ca="1" si="3"/>
        <v>3229.2923292290834</v>
      </c>
      <c r="P32" s="249">
        <f t="shared" ca="1" si="3"/>
        <v>3215.5112158322117</v>
      </c>
      <c r="Q32" s="249">
        <f t="shared" ca="1" si="3"/>
        <v>3201.7999407730422</v>
      </c>
      <c r="R32" s="249">
        <f t="shared" ca="1" si="3"/>
        <v>3188.1580780092468</v>
      </c>
      <c r="S32" s="249">
        <f t="shared" ca="1" si="3"/>
        <v>3174.5852045423726</v>
      </c>
      <c r="T32" s="249">
        <f t="shared" ca="1" si="3"/>
        <v>3161.0809003936483</v>
      </c>
      <c r="U32" s="249">
        <f t="shared" ca="1" si="3"/>
        <v>3147.644748579979</v>
      </c>
      <c r="V32" s="249">
        <f t="shared" ca="1" si="3"/>
        <v>3134.2763350901637</v>
      </c>
      <c r="W32" s="249">
        <f t="shared" ca="1" si="3"/>
        <v>3120.9752488612994</v>
      </c>
      <c r="X32" s="249">
        <f t="shared" ca="1" si="3"/>
        <v>3107.74108175539</v>
      </c>
      <c r="Z32" s="4">
        <f ca="1">X32</f>
        <v>3107.74108175539</v>
      </c>
    </row>
    <row r="33" spans="1:26">
      <c r="D33" t="s">
        <v>628</v>
      </c>
      <c r="E33" s="250">
        <f>'Park Garage Data'!$E$58/1000000</f>
        <v>170</v>
      </c>
      <c r="F33" s="16">
        <f ca="1">E33*(F32/E32)</f>
        <v>169.26858939213395</v>
      </c>
      <c r="G33" s="16">
        <f t="shared" ref="G33:X33" ca="1" si="4">F33*(G32/F32)</f>
        <v>168.54092426880405</v>
      </c>
      <c r="H33" s="16">
        <f t="shared" ca="1" si="4"/>
        <v>167.81698154042596</v>
      </c>
      <c r="I33" s="16">
        <f t="shared" ca="1" si="4"/>
        <v>167.09673828370799</v>
      </c>
      <c r="J33" s="16">
        <f t="shared" ca="1" si="4"/>
        <v>166.38017174032245</v>
      </c>
      <c r="K33" s="16">
        <f t="shared" ca="1" si="4"/>
        <v>165.66725931558847</v>
      </c>
      <c r="L33" s="16">
        <f t="shared" ca="1" si="4"/>
        <v>164.95797857716548</v>
      </c>
      <c r="M33" s="16">
        <f t="shared" ca="1" si="4"/>
        <v>164.25230725375826</v>
      </c>
      <c r="N33" s="16">
        <f t="shared" ca="1" si="4"/>
        <v>163.55022323383261</v>
      </c>
      <c r="O33" s="16">
        <f t="shared" ca="1" si="4"/>
        <v>162.85170456434227</v>
      </c>
      <c r="P33" s="16">
        <f t="shared" ca="1" si="4"/>
        <v>162.15672944946601</v>
      </c>
      <c r="Q33" s="16">
        <f t="shared" ca="1" si="4"/>
        <v>161.46527624935595</v>
      </c>
      <c r="R33" s="16">
        <f t="shared" ca="1" si="4"/>
        <v>160.77732347889642</v>
      </c>
      <c r="S33" s="16">
        <f t="shared" ca="1" si="4"/>
        <v>160.09284980647288</v>
      </c>
      <c r="T33" s="16">
        <f t="shared" ca="1" si="4"/>
        <v>159.411834052752</v>
      </c>
      <c r="U33" s="16">
        <f t="shared" ca="1" si="4"/>
        <v>158.73425518947093</v>
      </c>
      <c r="V33" s="16">
        <f t="shared" ca="1" si="4"/>
        <v>158.06009233823812</v>
      </c>
      <c r="W33" s="16">
        <f t="shared" ca="1" si="4"/>
        <v>157.38932476934326</v>
      </c>
      <c r="X33" s="16">
        <f t="shared" ca="1" si="4"/>
        <v>156.72193190057774</v>
      </c>
      <c r="Z33" s="4">
        <f ca="1">X33</f>
        <v>156.72193190057774</v>
      </c>
    </row>
    <row r="34" spans="1:26">
      <c r="E34" s="250"/>
      <c r="F34" s="16"/>
      <c r="G34" s="16"/>
      <c r="H34" s="16"/>
      <c r="I34" s="16"/>
      <c r="J34" s="16"/>
      <c r="K34" s="16"/>
      <c r="L34" s="16"/>
      <c r="M34" s="16"/>
      <c r="N34" s="16"/>
      <c r="O34" s="16"/>
      <c r="P34" s="16"/>
      <c r="Q34" s="16"/>
      <c r="R34" s="16"/>
      <c r="S34" s="16"/>
      <c r="T34" s="16"/>
      <c r="U34" s="16"/>
      <c r="V34" s="16"/>
      <c r="W34" s="16"/>
      <c r="X34" s="16"/>
    </row>
    <row r="36" spans="1:26">
      <c r="A36" s="251" t="s">
        <v>533</v>
      </c>
      <c r="B36" s="251"/>
      <c r="C36" s="251"/>
      <c r="D36" s="79" t="s">
        <v>534</v>
      </c>
      <c r="Y36" s="79"/>
      <c r="Z36" s="79"/>
    </row>
    <row r="37" spans="1:26">
      <c r="A37" s="252" t="s">
        <v>638</v>
      </c>
      <c r="B37" s="252" t="s">
        <v>637</v>
      </c>
      <c r="C37" s="252" t="s">
        <v>536</v>
      </c>
      <c r="D37" s="252" t="str">
        <f>$C$8</f>
        <v>Parking Lighting-NR</v>
      </c>
      <c r="E37" s="236">
        <f t="shared" ref="E37:X37" si="5">E11</f>
        <v>2016</v>
      </c>
      <c r="F37" s="236">
        <f t="shared" si="5"/>
        <v>2017</v>
      </c>
      <c r="G37" s="236">
        <f t="shared" si="5"/>
        <v>2018</v>
      </c>
      <c r="H37" s="236">
        <f t="shared" si="5"/>
        <v>2019</v>
      </c>
      <c r="I37" s="236">
        <f t="shared" si="5"/>
        <v>2020</v>
      </c>
      <c r="J37" s="236">
        <f t="shared" si="5"/>
        <v>2021</v>
      </c>
      <c r="K37" s="236">
        <f t="shared" si="5"/>
        <v>2022</v>
      </c>
      <c r="L37" s="236">
        <f t="shared" si="5"/>
        <v>2023</v>
      </c>
      <c r="M37" s="236">
        <f t="shared" si="5"/>
        <v>2024</v>
      </c>
      <c r="N37" s="236">
        <f t="shared" si="5"/>
        <v>2025</v>
      </c>
      <c r="O37" s="236">
        <f t="shared" si="5"/>
        <v>2026</v>
      </c>
      <c r="P37" s="236">
        <f t="shared" si="5"/>
        <v>2027</v>
      </c>
      <c r="Q37" s="236">
        <f t="shared" si="5"/>
        <v>2028</v>
      </c>
      <c r="R37" s="236">
        <f t="shared" si="5"/>
        <v>2029</v>
      </c>
      <c r="S37" s="236">
        <f t="shared" si="5"/>
        <v>2030</v>
      </c>
      <c r="T37" s="236">
        <f t="shared" si="5"/>
        <v>2031</v>
      </c>
      <c r="U37" s="236">
        <f t="shared" si="5"/>
        <v>2032</v>
      </c>
      <c r="V37" s="236">
        <f t="shared" si="5"/>
        <v>2033</v>
      </c>
      <c r="W37" s="236">
        <f t="shared" si="5"/>
        <v>2034</v>
      </c>
      <c r="X37" s="236">
        <f t="shared" si="5"/>
        <v>2035</v>
      </c>
      <c r="Y37" s="245" t="s">
        <v>522</v>
      </c>
      <c r="Z37" s="245" t="s">
        <v>523</v>
      </c>
    </row>
    <row r="38" spans="1:26">
      <c r="A38" s="285">
        <f>'Park Garage Data'!$D$31</f>
        <v>0.43571193635800198</v>
      </c>
      <c r="B38" s="285">
        <f>'Park Garage Data'!$C$79</f>
        <v>0.77578668804045714</v>
      </c>
      <c r="C38" s="254">
        <f>1/'Lists&amp;Tables'!$F$4</f>
        <v>0.31285714285714283</v>
      </c>
      <c r="D38" t="s">
        <v>641</v>
      </c>
      <c r="E38" s="4">
        <f>E33*$A38*$B38*$C38</f>
        <v>17.977809616207036</v>
      </c>
      <c r="F38" s="4">
        <f t="shared" ref="F38:X38" ca="1" si="6">F33*$A38*$B38*$C38</f>
        <v>17.900461612327682</v>
      </c>
      <c r="G38" s="4">
        <f t="shared" ca="1" si="6"/>
        <v>17.823509700259571</v>
      </c>
      <c r="H38" s="4">
        <f t="shared" ca="1" si="6"/>
        <v>17.746951438237108</v>
      </c>
      <c r="I38" s="4">
        <f t="shared" ca="1" si="6"/>
        <v>17.670784402080447</v>
      </c>
      <c r="J38" s="4">
        <f t="shared" ca="1" si="6"/>
        <v>17.595006185054981</v>
      </c>
      <c r="K38" s="4">
        <f t="shared" ca="1" si="6"/>
        <v>17.519614397732063</v>
      </c>
      <c r="L38" s="4">
        <f t="shared" ca="1" si="6"/>
        <v>17.44460666785082</v>
      </c>
      <c r="M38" s="4">
        <f t="shared" ca="1" si="6"/>
        <v>17.369980640181225</v>
      </c>
      <c r="N38" s="4">
        <f t="shared" ca="1" si="6"/>
        <v>17.295733976388252</v>
      </c>
      <c r="O38" s="4">
        <f t="shared" ca="1" si="6"/>
        <v>17.221864354897292</v>
      </c>
      <c r="P38" s="4">
        <f t="shared" ca="1" si="6"/>
        <v>17.148369470760546</v>
      </c>
      <c r="Q38" s="4">
        <f t="shared" ca="1" si="6"/>
        <v>17.075247035524686</v>
      </c>
      <c r="R38" s="4">
        <f t="shared" ca="1" si="6"/>
        <v>17.002494777099606</v>
      </c>
      <c r="S38" s="4">
        <f t="shared" ca="1" si="6"/>
        <v>16.930110439628216</v>
      </c>
      <c r="T38" s="4">
        <f t="shared" ca="1" si="6"/>
        <v>16.858091783357438</v>
      </c>
      <c r="U38" s="4">
        <f t="shared" ca="1" si="6"/>
        <v>16.786436584510188</v>
      </c>
      <c r="V38" s="4">
        <f t="shared" ca="1" si="6"/>
        <v>16.715142635158525</v>
      </c>
      <c r="W38" s="4">
        <f t="shared" ca="1" si="6"/>
        <v>16.644207743097834</v>
      </c>
      <c r="X38" s="4">
        <f t="shared" ca="1" si="6"/>
        <v>16.573629731722065</v>
      </c>
      <c r="Y38" s="255">
        <f ca="1">Z33*B38*$A38*$Y$12</f>
        <v>45.028811371573646</v>
      </c>
      <c r="Z38" s="255">
        <f ca="1">SUM(E38:X38)</f>
        <v>345.30005319207555</v>
      </c>
    </row>
    <row r="39" spans="1:26">
      <c r="A39" s="253"/>
      <c r="B39" s="253"/>
      <c r="C39" s="254"/>
      <c r="E39" s="4"/>
      <c r="F39" s="4"/>
      <c r="G39" s="4"/>
      <c r="H39" s="4"/>
      <c r="I39" s="4"/>
      <c r="J39" s="4"/>
      <c r="K39" s="4"/>
      <c r="L39" s="4"/>
      <c r="M39" s="4"/>
      <c r="N39" s="4"/>
      <c r="O39" s="4"/>
      <c r="P39" s="4"/>
      <c r="Q39" s="4"/>
      <c r="R39" s="4"/>
      <c r="S39" s="4"/>
      <c r="T39" s="4"/>
      <c r="U39" s="4"/>
      <c r="V39" s="4"/>
      <c r="W39" s="4"/>
      <c r="X39" s="4"/>
      <c r="Y39" s="255"/>
      <c r="Z39" s="255"/>
    </row>
    <row r="40" spans="1:26">
      <c r="A40" s="254"/>
      <c r="B40" s="256"/>
      <c r="C40" s="254"/>
      <c r="D40" t="s">
        <v>318</v>
      </c>
      <c r="E40" s="4">
        <f t="shared" ref="E40:Y40" si="7">SUM(E38:E39)</f>
        <v>17.977809616207036</v>
      </c>
      <c r="F40" s="4">
        <f t="shared" ca="1" si="7"/>
        <v>17.900461612327682</v>
      </c>
      <c r="G40" s="4">
        <f t="shared" ca="1" si="7"/>
        <v>17.823509700259571</v>
      </c>
      <c r="H40" s="4">
        <f t="shared" ca="1" si="7"/>
        <v>17.746951438237108</v>
      </c>
      <c r="I40" s="4">
        <f t="shared" ca="1" si="7"/>
        <v>17.670784402080447</v>
      </c>
      <c r="J40" s="4">
        <f t="shared" ca="1" si="7"/>
        <v>17.595006185054981</v>
      </c>
      <c r="K40" s="4">
        <f t="shared" ca="1" si="7"/>
        <v>17.519614397732063</v>
      </c>
      <c r="L40" s="4">
        <f t="shared" ca="1" si="7"/>
        <v>17.44460666785082</v>
      </c>
      <c r="M40" s="4">
        <f t="shared" ca="1" si="7"/>
        <v>17.369980640181225</v>
      </c>
      <c r="N40" s="4">
        <f t="shared" ca="1" si="7"/>
        <v>17.295733976388252</v>
      </c>
      <c r="O40" s="4">
        <f t="shared" ca="1" si="7"/>
        <v>17.221864354897292</v>
      </c>
      <c r="P40" s="4">
        <f t="shared" ca="1" si="7"/>
        <v>17.148369470760546</v>
      </c>
      <c r="Q40" s="4">
        <f t="shared" ca="1" si="7"/>
        <v>17.075247035524686</v>
      </c>
      <c r="R40" s="4">
        <f t="shared" ca="1" si="7"/>
        <v>17.002494777099606</v>
      </c>
      <c r="S40" s="4">
        <f t="shared" ca="1" si="7"/>
        <v>16.930110439628216</v>
      </c>
      <c r="T40" s="4">
        <f t="shared" ca="1" si="7"/>
        <v>16.858091783357438</v>
      </c>
      <c r="U40" s="4">
        <f t="shared" ca="1" si="7"/>
        <v>16.786436584510188</v>
      </c>
      <c r="V40" s="4">
        <f t="shared" ca="1" si="7"/>
        <v>16.715142635158525</v>
      </c>
      <c r="W40" s="4">
        <f t="shared" ca="1" si="7"/>
        <v>16.644207743097834</v>
      </c>
      <c r="X40" s="4">
        <f t="shared" ca="1" si="7"/>
        <v>16.573629731722065</v>
      </c>
      <c r="Y40" s="255">
        <f t="shared" ca="1" si="7"/>
        <v>45.028811371573646</v>
      </c>
      <c r="Z40" s="255">
        <f ca="1">SUM(E40:Y40)</f>
        <v>390.32886456364918</v>
      </c>
    </row>
    <row r="41" spans="1:26">
      <c r="A41" s="254"/>
      <c r="B41" s="256"/>
      <c r="C41" s="254"/>
      <c r="E41" s="4"/>
      <c r="F41" s="4"/>
      <c r="G41" s="4"/>
      <c r="H41" s="4"/>
      <c r="I41" s="4"/>
      <c r="J41" s="4"/>
      <c r="K41" s="4"/>
      <c r="L41" s="4"/>
      <c r="M41" s="4"/>
      <c r="N41" s="4"/>
      <c r="O41" s="4"/>
      <c r="P41" s="4"/>
      <c r="Q41" s="4"/>
      <c r="R41" s="4"/>
      <c r="S41" s="4"/>
      <c r="T41" s="4"/>
      <c r="U41" s="4"/>
      <c r="V41" s="4"/>
      <c r="W41" s="4"/>
      <c r="X41" s="4"/>
      <c r="Y41" s="4"/>
    </row>
    <row r="42" spans="1:26">
      <c r="A42" s="254"/>
      <c r="B42" s="256"/>
      <c r="C42" s="254"/>
      <c r="E42" s="4"/>
      <c r="F42" s="4"/>
      <c r="G42" s="4"/>
      <c r="H42" s="4"/>
      <c r="I42" s="4"/>
      <c r="J42" s="4"/>
      <c r="K42" s="4"/>
      <c r="L42" s="4"/>
      <c r="M42" s="4"/>
      <c r="N42" s="4"/>
      <c r="O42" s="4"/>
      <c r="P42" s="4"/>
      <c r="Q42" s="4"/>
      <c r="R42" s="4"/>
      <c r="S42" s="4"/>
      <c r="T42" s="4"/>
      <c r="U42" s="4"/>
      <c r="V42" s="4"/>
      <c r="W42" s="4"/>
      <c r="X42" s="4"/>
      <c r="Y42" s="4"/>
    </row>
    <row r="43" spans="1:26">
      <c r="A43" s="251" t="s">
        <v>533</v>
      </c>
      <c r="B43" s="251"/>
      <c r="C43" s="251"/>
      <c r="D43" s="79" t="s">
        <v>639</v>
      </c>
    </row>
    <row r="44" spans="1:26">
      <c r="A44" s="252" t="s">
        <v>535</v>
      </c>
      <c r="B44" s="252" t="s">
        <v>537</v>
      </c>
      <c r="C44" s="252" t="s">
        <v>536</v>
      </c>
      <c r="D44" s="252" t="str">
        <f>$C$8</f>
        <v>Parking Lighting-NR</v>
      </c>
      <c r="E44" s="258">
        <f t="shared" ref="E44:X44" si="8">E11</f>
        <v>2016</v>
      </c>
      <c r="F44" s="258">
        <f t="shared" si="8"/>
        <v>2017</v>
      </c>
      <c r="G44" s="258">
        <f t="shared" si="8"/>
        <v>2018</v>
      </c>
      <c r="H44" s="258">
        <f t="shared" si="8"/>
        <v>2019</v>
      </c>
      <c r="I44" s="258">
        <f t="shared" si="8"/>
        <v>2020</v>
      </c>
      <c r="J44" s="258">
        <f t="shared" si="8"/>
        <v>2021</v>
      </c>
      <c r="K44" s="258">
        <f t="shared" si="8"/>
        <v>2022</v>
      </c>
      <c r="L44" s="258">
        <f t="shared" si="8"/>
        <v>2023</v>
      </c>
      <c r="M44" s="258">
        <f t="shared" si="8"/>
        <v>2024</v>
      </c>
      <c r="N44" s="258">
        <f t="shared" si="8"/>
        <v>2025</v>
      </c>
      <c r="O44" s="258">
        <f t="shared" si="8"/>
        <v>2026</v>
      </c>
      <c r="P44" s="258">
        <f t="shared" si="8"/>
        <v>2027</v>
      </c>
      <c r="Q44" s="258">
        <f t="shared" si="8"/>
        <v>2028</v>
      </c>
      <c r="R44" s="258">
        <f t="shared" si="8"/>
        <v>2029</v>
      </c>
      <c r="S44" s="258">
        <f t="shared" si="8"/>
        <v>2030</v>
      </c>
      <c r="T44" s="258">
        <f t="shared" si="8"/>
        <v>2031</v>
      </c>
      <c r="U44" s="258">
        <f t="shared" si="8"/>
        <v>2032</v>
      </c>
      <c r="V44" s="258">
        <f t="shared" si="8"/>
        <v>2033</v>
      </c>
      <c r="W44" s="258">
        <f t="shared" si="8"/>
        <v>2034</v>
      </c>
      <c r="X44" s="258">
        <f t="shared" si="8"/>
        <v>2035</v>
      </c>
      <c r="Y44" s="245" t="s">
        <v>522</v>
      </c>
      <c r="Z44" s="245" t="s">
        <v>523</v>
      </c>
    </row>
    <row r="45" spans="1:26">
      <c r="A45" s="253"/>
      <c r="B45" s="253"/>
      <c r="D45" t="s">
        <v>641</v>
      </c>
      <c r="N45" s="100"/>
      <c r="O45" s="100"/>
      <c r="P45" s="100"/>
      <c r="Q45" s="100"/>
      <c r="R45" s="100"/>
      <c r="S45" s="100"/>
      <c r="T45" s="100"/>
      <c r="U45" s="100"/>
      <c r="V45" s="100"/>
      <c r="W45" s="100"/>
      <c r="X45" s="100"/>
      <c r="Y45" s="255">
        <f>Z45*$A45*$B45</f>
        <v>0</v>
      </c>
      <c r="Z45" s="255">
        <f>SUM(E45:X45)</f>
        <v>0</v>
      </c>
    </row>
    <row r="46" spans="1:26">
      <c r="Y46" s="255"/>
      <c r="Z46" s="257"/>
    </row>
    <row r="47" spans="1:26">
      <c r="D47" t="s">
        <v>318</v>
      </c>
      <c r="N47" s="100"/>
      <c r="O47" s="100"/>
      <c r="P47" s="100"/>
      <c r="Q47" s="100"/>
      <c r="R47" s="100"/>
      <c r="S47" s="100"/>
      <c r="T47" s="100"/>
      <c r="U47" s="100"/>
      <c r="V47" s="100"/>
      <c r="W47" s="100"/>
      <c r="X47" s="100"/>
      <c r="Y47" s="255">
        <f>SUM(Y45:Y45)</f>
        <v>0</v>
      </c>
      <c r="Z47" s="255">
        <f>SUM(E47:X47)</f>
        <v>0</v>
      </c>
    </row>
    <row r="50" spans="1:24">
      <c r="D50" s="259" t="str">
        <f>VLOOKUP($D$51,[3]!ACHIEV,MATCH(E$11,$E$11:$Z$11,0)+1,FALSE)</f>
        <v>LO12Med</v>
      </c>
      <c r="E50">
        <v>2</v>
      </c>
      <c r="F50">
        <v>3</v>
      </c>
      <c r="G50">
        <v>4</v>
      </c>
      <c r="H50">
        <v>5</v>
      </c>
      <c r="I50">
        <v>6</v>
      </c>
      <c r="J50">
        <v>7</v>
      </c>
      <c r="K50">
        <v>8</v>
      </c>
      <c r="L50">
        <v>9</v>
      </c>
      <c r="M50">
        <v>10</v>
      </c>
      <c r="N50">
        <v>11</v>
      </c>
      <c r="O50">
        <v>12</v>
      </c>
      <c r="P50">
        <v>13</v>
      </c>
      <c r="Q50">
        <v>14</v>
      </c>
      <c r="R50">
        <v>15</v>
      </c>
      <c r="S50">
        <v>16</v>
      </c>
      <c r="T50">
        <v>17</v>
      </c>
      <c r="U50">
        <v>18</v>
      </c>
      <c r="V50">
        <v>19</v>
      </c>
      <c r="W50">
        <v>20</v>
      </c>
      <c r="X50">
        <v>21</v>
      </c>
    </row>
    <row r="51" spans="1:24">
      <c r="A51" s="260" t="s">
        <v>538</v>
      </c>
      <c r="B51" s="260"/>
      <c r="C51" s="79"/>
      <c r="D51" s="252" t="str">
        <f>$C$8</f>
        <v>Parking Lighting-NR</v>
      </c>
      <c r="E51" s="261">
        <f>VLOOKUP($D$51,[3]!ACHIEV,MATCH(E$11,$E$11:$Z$11,0)+2,FALSE)</f>
        <v>0.10937459468255628</v>
      </c>
      <c r="F51" s="261">
        <f>VLOOKUP($D$51,[3]!ACHIEV,MATCH(F$11,$E$11:$Z$11,0)+2,FALSE)</f>
        <v>0.21874918936511256</v>
      </c>
      <c r="G51" s="261">
        <f>VLOOKUP($D$51,[3]!ACHIEV,MATCH(G$11,$E$11:$Z$11,0)+2,FALSE)</f>
        <v>0.32812378404766884</v>
      </c>
      <c r="H51" s="261">
        <f>VLOOKUP($D$51,[3]!ACHIEV,MATCH(H$11,$E$11:$Z$11,0)+2,FALSE)</f>
        <v>0.43749837873022512</v>
      </c>
      <c r="I51" s="261">
        <f>VLOOKUP($D$51,[3]!ACHIEV,MATCH(I$11,$E$11:$Z$11,0)+2,FALSE)</f>
        <v>0.5468729734127814</v>
      </c>
      <c r="J51" s="261">
        <f>VLOOKUP($D$51,[3]!ACHIEV,MATCH(J$11,$E$11:$Z$11,0)+2,FALSE)</f>
        <v>0.64531010862708205</v>
      </c>
      <c r="K51" s="261">
        <f>VLOOKUP($D$51,[3]!ACHIEV,MATCH(K$11,$E$11:$Z$11,0)+2,FALSE)</f>
        <v>0.7240598167985226</v>
      </c>
      <c r="L51" s="261">
        <f>VLOOKUP($D$51,[3]!ACHIEV,MATCH(L$11,$E$11:$Z$11,0)+2,FALSE)</f>
        <v>0.78705958333567505</v>
      </c>
      <c r="M51" s="261">
        <f>VLOOKUP($D$51,[3]!ACHIEV,MATCH(M$11,$E$11:$Z$11,0)+2,FALSE)</f>
        <v>0.83745939656539703</v>
      </c>
      <c r="N51" s="261">
        <f>VLOOKUP($D$51,[3]!ACHIEV,MATCH(N$11,$E$11:$Z$11,0)+2,FALSE)</f>
        <v>0.87777924714917455</v>
      </c>
      <c r="O51" s="261">
        <f>VLOOKUP($D$51,[3]!ACHIEV,MATCH(O$11,$E$11:$Z$11,0)+2,FALSE)</f>
        <v>0.91003512761619654</v>
      </c>
      <c r="P51" s="261">
        <f>VLOOKUP($D$51,[3]!ACHIEV,MATCH(P$11,$E$11:$Z$11,0)+2,FALSE)</f>
        <v>0.93583983198981413</v>
      </c>
      <c r="Q51" s="261">
        <f>VLOOKUP($D$51,[3]!ACHIEV,MATCH(Q$11,$E$11:$Z$11,0)+2,FALSE)</f>
        <v>0.9564835954887082</v>
      </c>
      <c r="R51" s="261">
        <f>VLOOKUP($D$51,[3]!ACHIEV,MATCH(R$11,$E$11:$Z$11,0)+2,FALSE)</f>
        <v>0.97299860628782353</v>
      </c>
      <c r="S51" s="261">
        <f>VLOOKUP($D$51,[3]!ACHIEV,MATCH(S$11,$E$11:$Z$11,0)+2,FALSE)</f>
        <v>0.9862106149271157</v>
      </c>
      <c r="T51" s="261">
        <f>VLOOKUP($D$51,[3]!ACHIEV,MATCH(T$11,$E$11:$Z$11,0)+2,FALSE)</f>
        <v>0.99678022183854953</v>
      </c>
      <c r="U51" s="261">
        <f>VLOOKUP($D$51,[3]!ACHIEV,MATCH(U$11,$E$11:$Z$11,0)+2,FALSE)</f>
        <v>0.99685231466234414</v>
      </c>
      <c r="V51" s="261">
        <f>VLOOKUP($D$51,[3]!ACHIEV,MATCH(V$11,$E$11:$Z$11,0)+2,FALSE)</f>
        <v>0.99687806209941365</v>
      </c>
      <c r="W51" s="261">
        <f>VLOOKUP($D$51,[3]!ACHIEV,MATCH(W$11,$E$11:$Z$11,0)+2,FALSE)</f>
        <v>0.99688683963477831</v>
      </c>
      <c r="X51" s="261">
        <f>VLOOKUP($D$51,[3]!ACHIEV,MATCH(X$11,$E$11:$Z$11,0)+2,FALSE)</f>
        <v>0.99688970187457115</v>
      </c>
    </row>
    <row r="52" spans="1:24">
      <c r="A52" s="236" t="s">
        <v>539</v>
      </c>
      <c r="B52" s="236"/>
      <c r="D52" t="s">
        <v>641</v>
      </c>
      <c r="E52" s="4">
        <f t="shared" ref="E52:X52" si="9">(E38+E45)*E$51*$Y$12</f>
        <v>1.6713682940448862</v>
      </c>
      <c r="F52" s="4">
        <f t="shared" ca="1" si="9"/>
        <v>3.3283547469142967</v>
      </c>
      <c r="G52" s="4">
        <f t="shared" ca="1" si="9"/>
        <v>4.9710698306805767</v>
      </c>
      <c r="H52" s="4">
        <f t="shared" ca="1" si="9"/>
        <v>6.5996231093878555</v>
      </c>
      <c r="I52" s="4">
        <f t="shared" ca="1" si="9"/>
        <v>8.2141232472266434</v>
      </c>
      <c r="J52" s="4">
        <f t="shared" ca="1" si="9"/>
        <v>9.6511000496862085</v>
      </c>
      <c r="K52" s="4">
        <f t="shared" ca="1" si="9"/>
        <v>10.782461472522241</v>
      </c>
      <c r="L52" s="4">
        <f t="shared" ca="1" si="9"/>
        <v>11.670453127135394</v>
      </c>
      <c r="M52" s="4">
        <f t="shared" ca="1" si="9"/>
        <v>12.364655479486977</v>
      </c>
      <c r="N52" s="4">
        <f t="shared" ca="1" si="9"/>
        <v>12.904560896383508</v>
      </c>
      <c r="O52" s="4">
        <f t="shared" ca="1" si="9"/>
        <v>13.321626297098115</v>
      </c>
      <c r="P52" s="4">
        <f t="shared" ca="1" si="9"/>
        <v>13.640908123753436</v>
      </c>
      <c r="Q52" s="4">
        <f t="shared" ca="1" si="9"/>
        <v>13.882364626637074</v>
      </c>
      <c r="R52" s="4">
        <f t="shared" ca="1" si="9"/>
        <v>14.061893163303829</v>
      </c>
      <c r="S52" s="4">
        <f t="shared" ca="1" si="9"/>
        <v>14.192156433332265</v>
      </c>
      <c r="T52" s="4">
        <f t="shared" ca="1" si="9"/>
        <v>14.283240597451206</v>
      </c>
      <c r="U52" s="4">
        <f t="shared" ca="1" si="9"/>
        <v>14.223558439571388</v>
      </c>
      <c r="V52" s="4">
        <f t="shared" ca="1" si="9"/>
        <v>14.163515148174298</v>
      </c>
      <c r="W52" s="4">
        <f t="shared" ca="1" si="9"/>
        <v>14.10353290695528</v>
      </c>
      <c r="X52" s="4">
        <f t="shared" ca="1" si="9"/>
        <v>14.043768681900547</v>
      </c>
    </row>
    <row r="53" spans="1:24">
      <c r="E53" s="262"/>
      <c r="F53" s="262"/>
      <c r="G53" s="262"/>
      <c r="H53" s="262"/>
      <c r="I53" s="262"/>
      <c r="J53" s="262"/>
      <c r="K53" s="262"/>
      <c r="L53" s="262"/>
      <c r="M53" s="262"/>
      <c r="N53" s="262"/>
      <c r="O53" s="262"/>
      <c r="P53" s="262"/>
      <c r="Q53" s="262"/>
      <c r="R53" s="262"/>
      <c r="S53" s="262"/>
      <c r="T53" s="262"/>
      <c r="U53" s="262"/>
      <c r="V53" s="262"/>
      <c r="W53" s="262"/>
      <c r="X53" s="262"/>
    </row>
    <row r="54" spans="1:24">
      <c r="D54" t="s">
        <v>318</v>
      </c>
      <c r="E54" s="4">
        <f t="shared" ref="E54:X54" si="10">SUM(E52:E52)</f>
        <v>1.6713682940448862</v>
      </c>
      <c r="F54" s="4">
        <f t="shared" ca="1" si="10"/>
        <v>3.3283547469142967</v>
      </c>
      <c r="G54" s="4">
        <f t="shared" ca="1" si="10"/>
        <v>4.9710698306805767</v>
      </c>
      <c r="H54" s="4">
        <f t="shared" ca="1" si="10"/>
        <v>6.5996231093878555</v>
      </c>
      <c r="I54" s="4">
        <f t="shared" ca="1" si="10"/>
        <v>8.2141232472266434</v>
      </c>
      <c r="J54" s="4">
        <f t="shared" ca="1" si="10"/>
        <v>9.6511000496862085</v>
      </c>
      <c r="K54" s="4">
        <f t="shared" ca="1" si="10"/>
        <v>10.782461472522241</v>
      </c>
      <c r="L54" s="4">
        <f t="shared" ca="1" si="10"/>
        <v>11.670453127135394</v>
      </c>
      <c r="M54" s="4">
        <f t="shared" ca="1" si="10"/>
        <v>12.364655479486977</v>
      </c>
      <c r="N54" s="4">
        <f t="shared" ca="1" si="10"/>
        <v>12.904560896383508</v>
      </c>
      <c r="O54" s="4">
        <f t="shared" ca="1" si="10"/>
        <v>13.321626297098115</v>
      </c>
      <c r="P54" s="4">
        <f t="shared" ca="1" si="10"/>
        <v>13.640908123753436</v>
      </c>
      <c r="Q54" s="4">
        <f t="shared" ca="1" si="10"/>
        <v>13.882364626637074</v>
      </c>
      <c r="R54" s="4">
        <f t="shared" ca="1" si="10"/>
        <v>14.061893163303829</v>
      </c>
      <c r="S54" s="4">
        <f t="shared" ca="1" si="10"/>
        <v>14.192156433332265</v>
      </c>
      <c r="T54" s="4">
        <f t="shared" ca="1" si="10"/>
        <v>14.283240597451206</v>
      </c>
      <c r="U54" s="4">
        <f t="shared" ca="1" si="10"/>
        <v>14.223558439571388</v>
      </c>
      <c r="V54" s="4">
        <f t="shared" ca="1" si="10"/>
        <v>14.163515148174298</v>
      </c>
      <c r="W54" s="4">
        <f t="shared" ca="1" si="10"/>
        <v>14.10353290695528</v>
      </c>
      <c r="X54" s="4">
        <f t="shared" ca="1" si="10"/>
        <v>14.043768681900547</v>
      </c>
    </row>
    <row r="55" spans="1:24">
      <c r="E55" s="263"/>
      <c r="F55" s="263"/>
      <c r="G55" s="263"/>
      <c r="H55" s="263"/>
      <c r="I55" s="263"/>
      <c r="J55" s="263"/>
      <c r="K55" s="263"/>
      <c r="L55" s="263"/>
      <c r="M55" s="263"/>
      <c r="N55" s="263"/>
      <c r="O55" s="263"/>
      <c r="P55" s="263"/>
      <c r="Q55" s="263"/>
      <c r="R55" s="263"/>
      <c r="S55" s="263"/>
      <c r="T55" s="263"/>
      <c r="U55" s="263"/>
      <c r="V55" s="263"/>
      <c r="W55" s="263"/>
      <c r="X55" s="263"/>
    </row>
    <row r="56" spans="1:24">
      <c r="E56" s="263"/>
      <c r="F56" s="263"/>
      <c r="G56" s="263"/>
      <c r="H56" s="263"/>
      <c r="I56" s="263"/>
      <c r="J56" s="263"/>
      <c r="K56" s="263"/>
      <c r="L56" s="263"/>
      <c r="M56" s="263"/>
      <c r="N56" s="263"/>
      <c r="O56" s="263"/>
      <c r="P56" s="263"/>
      <c r="Q56" s="263"/>
      <c r="R56" s="263"/>
      <c r="S56" s="263"/>
      <c r="T56" s="263"/>
      <c r="U56" s="263"/>
      <c r="V56" s="263"/>
      <c r="W56" s="263"/>
      <c r="X56" s="263"/>
    </row>
    <row r="58" spans="1:24">
      <c r="A58" s="260" t="s">
        <v>540</v>
      </c>
      <c r="B58" s="260"/>
      <c r="D58" s="252" t="str">
        <f>$C$8</f>
        <v>Parking Lighting-NR</v>
      </c>
      <c r="E58" s="252">
        <v>1</v>
      </c>
      <c r="F58" s="252">
        <v>2</v>
      </c>
      <c r="G58" s="252">
        <v>3</v>
      </c>
      <c r="H58" s="252">
        <v>4</v>
      </c>
      <c r="I58" s="252">
        <v>5</v>
      </c>
      <c r="J58" s="252">
        <v>6</v>
      </c>
      <c r="K58" s="252">
        <v>7</v>
      </c>
      <c r="L58" s="252">
        <v>8</v>
      </c>
      <c r="M58" s="252">
        <v>9</v>
      </c>
      <c r="N58" s="252">
        <v>10</v>
      </c>
      <c r="O58" s="252">
        <v>11</v>
      </c>
      <c r="P58" s="252">
        <v>12</v>
      </c>
      <c r="Q58" s="252">
        <v>13</v>
      </c>
      <c r="R58" s="252">
        <v>14</v>
      </c>
      <c r="S58" s="252">
        <v>15</v>
      </c>
      <c r="T58" s="252">
        <v>16</v>
      </c>
      <c r="U58" s="252">
        <v>17</v>
      </c>
      <c r="V58" s="252">
        <v>18</v>
      </c>
      <c r="W58" s="252">
        <v>19</v>
      </c>
      <c r="X58" s="252">
        <v>20</v>
      </c>
    </row>
    <row r="59" spans="1:24">
      <c r="A59" s="236" t="s">
        <v>539</v>
      </c>
      <c r="B59" s="236"/>
      <c r="D59" t="s">
        <v>641</v>
      </c>
      <c r="E59" s="4">
        <f>E52</f>
        <v>1.6713682940448862</v>
      </c>
      <c r="F59" s="4">
        <f t="shared" ref="F59:X59" ca="1" si="11">E59+F52</f>
        <v>4.9997230409591831</v>
      </c>
      <c r="G59" s="4">
        <f t="shared" ca="1" si="11"/>
        <v>9.9707928716397589</v>
      </c>
      <c r="H59" s="4">
        <f t="shared" ca="1" si="11"/>
        <v>16.570415981027615</v>
      </c>
      <c r="I59" s="4">
        <f t="shared" ca="1" si="11"/>
        <v>24.78453922825426</v>
      </c>
      <c r="J59" s="4">
        <f t="shared" ca="1" si="11"/>
        <v>34.435639277940467</v>
      </c>
      <c r="K59" s="4">
        <f t="shared" ca="1" si="11"/>
        <v>45.21810075046271</v>
      </c>
      <c r="L59" s="4">
        <f t="shared" ca="1" si="11"/>
        <v>56.888553877598106</v>
      </c>
      <c r="M59" s="4">
        <f t="shared" ca="1" si="11"/>
        <v>69.253209357085083</v>
      </c>
      <c r="N59" s="4">
        <f t="shared" ca="1" si="11"/>
        <v>82.157770253468584</v>
      </c>
      <c r="O59" s="4">
        <f t="shared" ca="1" si="11"/>
        <v>95.479396550566705</v>
      </c>
      <c r="P59" s="4">
        <f t="shared" ca="1" si="11"/>
        <v>109.12030467432014</v>
      </c>
      <c r="Q59" s="4">
        <f t="shared" ca="1" si="11"/>
        <v>123.00266930095721</v>
      </c>
      <c r="R59" s="4">
        <f t="shared" ca="1" si="11"/>
        <v>137.06456246426103</v>
      </c>
      <c r="S59" s="4">
        <f t="shared" ca="1" si="11"/>
        <v>151.25671889759329</v>
      </c>
      <c r="T59" s="4">
        <f t="shared" ca="1" si="11"/>
        <v>165.53995949504449</v>
      </c>
      <c r="U59" s="4">
        <f t="shared" ca="1" si="11"/>
        <v>179.76351793461586</v>
      </c>
      <c r="V59" s="4">
        <f t="shared" ca="1" si="11"/>
        <v>193.92703308279016</v>
      </c>
      <c r="W59" s="4">
        <f t="shared" ca="1" si="11"/>
        <v>208.03056598974544</v>
      </c>
      <c r="X59" s="4">
        <f t="shared" ca="1" si="11"/>
        <v>222.074334671646</v>
      </c>
    </row>
    <row r="60" spans="1:24">
      <c r="E60" s="262"/>
      <c r="F60" s="262"/>
      <c r="G60" s="262"/>
      <c r="H60" s="262"/>
      <c r="I60" s="262"/>
      <c r="J60" s="262"/>
      <c r="K60" s="262"/>
      <c r="L60" s="262"/>
      <c r="M60" s="262"/>
      <c r="N60" s="262"/>
      <c r="O60" s="262"/>
      <c r="P60" s="262"/>
      <c r="Q60" s="262"/>
      <c r="R60" s="262"/>
      <c r="S60" s="262"/>
      <c r="T60" s="262"/>
      <c r="U60" s="262"/>
      <c r="V60" s="262"/>
      <c r="W60" s="262"/>
      <c r="X60" s="262"/>
    </row>
    <row r="61" spans="1:24">
      <c r="D61" t="s">
        <v>318</v>
      </c>
      <c r="E61" s="4">
        <f t="shared" ref="E61:X61" si="12">SUM(E59:E59)</f>
        <v>1.6713682940448862</v>
      </c>
      <c r="F61" s="4">
        <f t="shared" ca="1" si="12"/>
        <v>4.9997230409591831</v>
      </c>
      <c r="G61" s="4">
        <f t="shared" ca="1" si="12"/>
        <v>9.9707928716397589</v>
      </c>
      <c r="H61" s="4">
        <f t="shared" ca="1" si="12"/>
        <v>16.570415981027615</v>
      </c>
      <c r="I61" s="4">
        <f t="shared" ca="1" si="12"/>
        <v>24.78453922825426</v>
      </c>
      <c r="J61" s="4">
        <f t="shared" ca="1" si="12"/>
        <v>34.435639277940467</v>
      </c>
      <c r="K61" s="4">
        <f t="shared" ca="1" si="12"/>
        <v>45.21810075046271</v>
      </c>
      <c r="L61" s="4">
        <f t="shared" ca="1" si="12"/>
        <v>56.888553877598106</v>
      </c>
      <c r="M61" s="4">
        <f t="shared" ca="1" si="12"/>
        <v>69.253209357085083</v>
      </c>
      <c r="N61" s="4">
        <f t="shared" ca="1" si="12"/>
        <v>82.157770253468584</v>
      </c>
      <c r="O61" s="4">
        <f t="shared" ca="1" si="12"/>
        <v>95.479396550566705</v>
      </c>
      <c r="P61" s="4">
        <f t="shared" ca="1" si="12"/>
        <v>109.12030467432014</v>
      </c>
      <c r="Q61" s="4">
        <f t="shared" ca="1" si="12"/>
        <v>123.00266930095721</v>
      </c>
      <c r="R61" s="4">
        <f t="shared" ca="1" si="12"/>
        <v>137.06456246426103</v>
      </c>
      <c r="S61" s="4">
        <f t="shared" ca="1" si="12"/>
        <v>151.25671889759329</v>
      </c>
      <c r="T61" s="4">
        <f t="shared" ca="1" si="12"/>
        <v>165.53995949504449</v>
      </c>
      <c r="U61" s="4">
        <f t="shared" ca="1" si="12"/>
        <v>179.76351793461586</v>
      </c>
      <c r="V61" s="4">
        <f t="shared" ca="1" si="12"/>
        <v>193.92703308279016</v>
      </c>
      <c r="W61" s="4">
        <f t="shared" ca="1" si="12"/>
        <v>208.03056598974544</v>
      </c>
      <c r="X61" s="4">
        <f t="shared" ca="1" si="12"/>
        <v>222.074334671646</v>
      </c>
    </row>
    <row r="65" spans="1:25">
      <c r="A65" s="260" t="s">
        <v>541</v>
      </c>
      <c r="B65" s="79"/>
      <c r="C65" s="264"/>
      <c r="D65" s="252" t="str">
        <f>$C$8</f>
        <v>Parking Lighting-NR</v>
      </c>
      <c r="E65" s="79" t="s">
        <v>542</v>
      </c>
      <c r="F65" s="79"/>
      <c r="G65" s="79"/>
      <c r="H65" s="79"/>
      <c r="I65" s="79"/>
      <c r="J65" s="79"/>
      <c r="K65" s="79"/>
      <c r="L65" s="79"/>
      <c r="M65" s="79"/>
      <c r="N65" s="79"/>
      <c r="O65" s="79"/>
      <c r="P65" s="79"/>
      <c r="Q65" s="79"/>
      <c r="R65" s="79"/>
      <c r="S65" s="79"/>
      <c r="T65" s="79"/>
      <c r="U65" s="79"/>
      <c r="V65" s="79"/>
      <c r="W65" s="79"/>
      <c r="X65" s="79"/>
      <c r="Y65" s="79"/>
    </row>
    <row r="66" spans="1:25">
      <c r="A66" s="252" t="s">
        <v>543</v>
      </c>
      <c r="B66" s="252" t="s">
        <v>187</v>
      </c>
      <c r="C66" s="252"/>
      <c r="D66" s="252">
        <v>1000</v>
      </c>
      <c r="E66" s="265">
        <f t="shared" ref="E66:X67" si="13">E11</f>
        <v>2016</v>
      </c>
      <c r="F66" s="265">
        <f t="shared" si="13"/>
        <v>2017</v>
      </c>
      <c r="G66" s="265">
        <f t="shared" si="13"/>
        <v>2018</v>
      </c>
      <c r="H66" s="265">
        <f t="shared" si="13"/>
        <v>2019</v>
      </c>
      <c r="I66" s="265">
        <f t="shared" si="13"/>
        <v>2020</v>
      </c>
      <c r="J66" s="265">
        <f t="shared" si="13"/>
        <v>2021</v>
      </c>
      <c r="K66" s="265">
        <f t="shared" si="13"/>
        <v>2022</v>
      </c>
      <c r="L66" s="265">
        <f t="shared" si="13"/>
        <v>2023</v>
      </c>
      <c r="M66" s="265">
        <f t="shared" si="13"/>
        <v>2024</v>
      </c>
      <c r="N66" s="265">
        <f t="shared" si="13"/>
        <v>2025</v>
      </c>
      <c r="O66" s="265">
        <f t="shared" si="13"/>
        <v>2026</v>
      </c>
      <c r="P66" s="265">
        <f t="shared" si="13"/>
        <v>2027</v>
      </c>
      <c r="Q66" s="265">
        <f t="shared" si="13"/>
        <v>2028</v>
      </c>
      <c r="R66" s="265">
        <f t="shared" si="13"/>
        <v>2029</v>
      </c>
      <c r="S66" s="265">
        <f t="shared" si="13"/>
        <v>2030</v>
      </c>
      <c r="T66" s="265">
        <f t="shared" si="13"/>
        <v>2031</v>
      </c>
      <c r="U66" s="265">
        <f t="shared" si="13"/>
        <v>2032</v>
      </c>
      <c r="V66" s="265">
        <f t="shared" si="13"/>
        <v>2033</v>
      </c>
      <c r="W66" s="265">
        <f t="shared" si="13"/>
        <v>2034</v>
      </c>
      <c r="X66" s="265">
        <f t="shared" si="13"/>
        <v>2035</v>
      </c>
      <c r="Y66" s="79"/>
    </row>
    <row r="67" spans="1:25">
      <c r="A67" s="252" t="s">
        <v>180</v>
      </c>
      <c r="B67" s="252" t="s">
        <v>544</v>
      </c>
      <c r="C67" s="252" t="s">
        <v>545</v>
      </c>
      <c r="D67" s="252" t="s">
        <v>546</v>
      </c>
      <c r="E67" s="266" t="str">
        <f t="shared" si="13"/>
        <v>FLOOR_2016</v>
      </c>
      <c r="F67" s="266" t="str">
        <f t="shared" si="13"/>
        <v>FLOOR_2017</v>
      </c>
      <c r="G67" s="266" t="str">
        <f t="shared" si="13"/>
        <v>FLOOR_2018</v>
      </c>
      <c r="H67" s="266" t="str">
        <f t="shared" si="13"/>
        <v>FLOOR_2019</v>
      </c>
      <c r="I67" s="266" t="str">
        <f t="shared" si="13"/>
        <v>FLOOR_2020</v>
      </c>
      <c r="J67" s="266" t="str">
        <f t="shared" si="13"/>
        <v>FLOOR_2021</v>
      </c>
      <c r="K67" s="266" t="str">
        <f t="shared" si="13"/>
        <v>FLOOR_2022</v>
      </c>
      <c r="L67" s="266" t="str">
        <f t="shared" si="13"/>
        <v>FLOOR_2023</v>
      </c>
      <c r="M67" s="266" t="str">
        <f t="shared" si="13"/>
        <v>FLOOR_2024</v>
      </c>
      <c r="N67" s="266" t="str">
        <f t="shared" si="13"/>
        <v>FLOOR_2025</v>
      </c>
      <c r="O67" s="266" t="str">
        <f t="shared" si="13"/>
        <v>FLOOR_2026</v>
      </c>
      <c r="P67" s="266" t="str">
        <f t="shared" si="13"/>
        <v>FLOOR_2027</v>
      </c>
      <c r="Q67" s="266" t="str">
        <f t="shared" si="13"/>
        <v>FLOOR_2028</v>
      </c>
      <c r="R67" s="266" t="str">
        <f t="shared" si="13"/>
        <v>FLOOR_2029</v>
      </c>
      <c r="S67" s="266" t="str">
        <f t="shared" si="13"/>
        <v>FLOOR_2030</v>
      </c>
      <c r="T67" s="266" t="str">
        <f t="shared" si="13"/>
        <v>FLOOR_2031</v>
      </c>
      <c r="U67" s="266" t="str">
        <f t="shared" si="13"/>
        <v>FLOOR_2032</v>
      </c>
      <c r="V67" s="266" t="str">
        <f t="shared" si="13"/>
        <v>FLOOR_2033</v>
      </c>
      <c r="W67" s="266" t="str">
        <f t="shared" si="13"/>
        <v>FLOOR_2034</v>
      </c>
      <c r="X67" s="266" t="str">
        <f t="shared" si="13"/>
        <v>FLOOR_2035</v>
      </c>
      <c r="Y67" s="275" t="s">
        <v>522</v>
      </c>
    </row>
    <row r="68" spans="1:25">
      <c r="A68" s="267">
        <f t="shared" ref="A68" si="14">VLOOKUP($D68,MeasOut,3,FALSE)</f>
        <v>1636.755308990244</v>
      </c>
      <c r="B68" s="267">
        <f t="shared" ref="B68" si="15">VLOOKUP($D68,MeasOut,11,FALSE)</f>
        <v>25.00409166164275</v>
      </c>
      <c r="C68" t="s">
        <v>641</v>
      </c>
      <c r="D68" s="79" t="s">
        <v>203</v>
      </c>
      <c r="E68" s="268">
        <f>VLOOKUP($C68,$D$52:$X$52,E$50,FALSE)*$D$66*$A68/8760/1000</f>
        <v>0.31228549412738982</v>
      </c>
      <c r="F68" s="268">
        <f t="shared" ref="F68:X68" ca="1" si="16">VLOOKUP($C68,$D$52:$X$52,F$50,FALSE)*$D$66*$A68/8760/1000</f>
        <v>0.62188382445375068</v>
      </c>
      <c r="G68" s="268">
        <f t="shared" ca="1" si="16"/>
        <v>0.92881563204653739</v>
      </c>
      <c r="H68" s="268">
        <f t="shared" ca="1" si="16"/>
        <v>1.2331013883133874</v>
      </c>
      <c r="I68" s="268">
        <f t="shared" ca="1" si="16"/>
        <v>1.5347613965294968</v>
      </c>
      <c r="J68" s="268">
        <f t="shared" ca="1" si="16"/>
        <v>1.8032521967945101</v>
      </c>
      <c r="K68" s="268">
        <f t="shared" ca="1" si="16"/>
        <v>2.0146405318645599</v>
      </c>
      <c r="L68" s="268">
        <f t="shared" ca="1" si="16"/>
        <v>2.1805566340366038</v>
      </c>
      <c r="M68" s="268">
        <f t="shared" ca="1" si="16"/>
        <v>2.310264326470961</v>
      </c>
      <c r="N68" s="268">
        <f t="shared" ca="1" si="16"/>
        <v>2.4111425293771238</v>
      </c>
      <c r="O68" s="268">
        <f t="shared" ca="1" si="16"/>
        <v>2.4890687860912539</v>
      </c>
      <c r="P68" s="268">
        <f t="shared" ca="1" si="16"/>
        <v>2.5487247478312312</v>
      </c>
      <c r="Q68" s="268">
        <f t="shared" ca="1" si="16"/>
        <v>2.5938394981719863</v>
      </c>
      <c r="R68" s="268">
        <f t="shared" ca="1" si="16"/>
        <v>2.6273833663802693</v>
      </c>
      <c r="S68" s="268">
        <f t="shared" ca="1" si="16"/>
        <v>2.6517223045977891</v>
      </c>
      <c r="T68" s="268">
        <f t="shared" ca="1" si="16"/>
        <v>2.6687408535916943</v>
      </c>
      <c r="U68" s="268">
        <f t="shared" ca="1" si="16"/>
        <v>2.6575895877513078</v>
      </c>
      <c r="V68" s="268">
        <f t="shared" ca="1" si="16"/>
        <v>2.6463708462029709</v>
      </c>
      <c r="W68" s="268">
        <f t="shared" ca="1" si="16"/>
        <v>2.6351635115271308</v>
      </c>
      <c r="X68" s="268">
        <f t="shared" ca="1" si="16"/>
        <v>2.6239969119100048</v>
      </c>
      <c r="Y68" s="295">
        <f ca="1">(VLOOKUP($C68,$D$38:$Z$39,$X$58+2,FALSE)+VLOOKUP($C68,$D$45:$Z$45,$X$58+2,FALSE))*$A68*$D$66/8760/1000</f>
        <v>8.4133728390346398</v>
      </c>
    </row>
    <row r="69" spans="1:25">
      <c r="A69" s="267"/>
      <c r="B69" s="267"/>
      <c r="E69" s="269"/>
      <c r="F69" s="269"/>
      <c r="G69" s="269"/>
      <c r="H69" s="269"/>
      <c r="I69" s="269"/>
      <c r="J69" s="269"/>
      <c r="K69" s="269"/>
      <c r="L69" s="269"/>
      <c r="M69" s="269"/>
      <c r="N69" s="269"/>
      <c r="O69" s="269"/>
      <c r="P69" s="269"/>
      <c r="Q69" s="269"/>
      <c r="R69" s="269"/>
      <c r="S69" s="269"/>
      <c r="T69" s="269"/>
      <c r="U69" s="269"/>
      <c r="V69" s="269"/>
      <c r="W69" s="269"/>
      <c r="X69" s="269"/>
      <c r="Y69" s="270"/>
    </row>
    <row r="70" spans="1:25">
      <c r="A70" s="271"/>
      <c r="B70" s="272"/>
      <c r="D70" s="79" t="s">
        <v>547</v>
      </c>
      <c r="E70" s="269">
        <f t="shared" ref="E70:X70" si="17">SUM(E68:E68)</f>
        <v>0.31228549412738982</v>
      </c>
      <c r="F70" s="269">
        <f t="shared" ca="1" si="17"/>
        <v>0.62188382445375068</v>
      </c>
      <c r="G70" s="269">
        <f t="shared" ca="1" si="17"/>
        <v>0.92881563204653739</v>
      </c>
      <c r="H70" s="269">
        <f t="shared" ca="1" si="17"/>
        <v>1.2331013883133874</v>
      </c>
      <c r="I70" s="269">
        <f t="shared" ca="1" si="17"/>
        <v>1.5347613965294968</v>
      </c>
      <c r="J70" s="269">
        <f t="shared" ca="1" si="17"/>
        <v>1.8032521967945101</v>
      </c>
      <c r="K70" s="269">
        <f t="shared" ca="1" si="17"/>
        <v>2.0146405318645599</v>
      </c>
      <c r="L70" s="269">
        <f t="shared" ca="1" si="17"/>
        <v>2.1805566340366038</v>
      </c>
      <c r="M70" s="269">
        <f t="shared" ca="1" si="17"/>
        <v>2.310264326470961</v>
      </c>
      <c r="N70" s="269">
        <f t="shared" ca="1" si="17"/>
        <v>2.4111425293771238</v>
      </c>
      <c r="O70" s="269">
        <f t="shared" ca="1" si="17"/>
        <v>2.4890687860912539</v>
      </c>
      <c r="P70" s="269">
        <f t="shared" ca="1" si="17"/>
        <v>2.5487247478312312</v>
      </c>
      <c r="Q70" s="269">
        <f t="shared" ca="1" si="17"/>
        <v>2.5938394981719863</v>
      </c>
      <c r="R70" s="269">
        <f t="shared" ca="1" si="17"/>
        <v>2.6273833663802693</v>
      </c>
      <c r="S70" s="269">
        <f t="shared" ca="1" si="17"/>
        <v>2.6517223045977891</v>
      </c>
      <c r="T70" s="269">
        <f t="shared" ca="1" si="17"/>
        <v>2.6687408535916943</v>
      </c>
      <c r="U70" s="269">
        <f t="shared" ca="1" si="17"/>
        <v>2.6575895877513078</v>
      </c>
      <c r="V70" s="269">
        <f t="shared" ca="1" si="17"/>
        <v>2.6463708462029709</v>
      </c>
      <c r="W70" s="269">
        <f t="shared" ca="1" si="17"/>
        <v>2.6351635115271308</v>
      </c>
      <c r="X70" s="269">
        <f t="shared" ca="1" si="17"/>
        <v>2.6239969119100048</v>
      </c>
      <c r="Y70" s="270"/>
    </row>
    <row r="71" spans="1:25">
      <c r="A71" s="267"/>
      <c r="B71" s="267"/>
      <c r="E71" s="269"/>
      <c r="F71" s="269"/>
      <c r="G71" s="269"/>
      <c r="H71" s="269"/>
      <c r="I71" s="269"/>
      <c r="J71" s="269"/>
      <c r="K71" s="269"/>
      <c r="L71" s="269"/>
      <c r="M71" s="269"/>
      <c r="N71" s="269"/>
      <c r="O71" s="269"/>
      <c r="P71" s="269"/>
      <c r="Q71" s="269"/>
      <c r="R71" s="269"/>
      <c r="S71" s="269"/>
      <c r="T71" s="269"/>
      <c r="U71" s="269"/>
      <c r="V71" s="269"/>
      <c r="W71" s="269"/>
      <c r="X71" s="269"/>
      <c r="Y71" s="270"/>
    </row>
    <row r="72" spans="1:25">
      <c r="A72" s="267"/>
      <c r="B72" s="267"/>
      <c r="E72" s="269"/>
      <c r="F72" s="269"/>
      <c r="G72" s="269"/>
      <c r="H72" s="269"/>
      <c r="I72" s="269"/>
      <c r="J72" s="269"/>
      <c r="K72" s="269"/>
      <c r="L72" s="269"/>
      <c r="M72" s="269"/>
      <c r="N72" s="269"/>
      <c r="O72" s="269"/>
      <c r="P72" s="269"/>
      <c r="Q72" s="269"/>
      <c r="R72" s="269"/>
      <c r="S72" s="269"/>
      <c r="T72" s="269"/>
      <c r="U72" s="269"/>
      <c r="V72" s="269"/>
      <c r="W72" s="269"/>
      <c r="X72" s="269"/>
      <c r="Y72" s="270"/>
    </row>
    <row r="73" spans="1:25">
      <c r="A73" s="267"/>
      <c r="B73" s="267"/>
      <c r="E73" s="269"/>
      <c r="F73" s="269"/>
      <c r="G73" s="269"/>
      <c r="H73" s="269"/>
      <c r="I73" s="269"/>
      <c r="J73" s="269"/>
      <c r="K73" s="269"/>
      <c r="L73" s="269"/>
      <c r="M73" s="269"/>
      <c r="N73" s="269"/>
      <c r="O73" s="269"/>
      <c r="P73" s="269"/>
      <c r="Q73" s="269"/>
      <c r="R73" s="269"/>
      <c r="S73" s="269"/>
      <c r="T73" s="269"/>
      <c r="U73" s="269"/>
      <c r="V73" s="269"/>
      <c r="W73" s="269"/>
      <c r="X73" s="269"/>
      <c r="Y73" s="270"/>
    </row>
    <row r="74" spans="1:25">
      <c r="A74" s="273" t="s">
        <v>548</v>
      </c>
      <c r="B74" s="273"/>
      <c r="C74" s="79"/>
      <c r="D74" s="79"/>
      <c r="E74" s="79"/>
      <c r="F74" s="79"/>
      <c r="G74" s="79"/>
      <c r="H74" s="79"/>
      <c r="I74" s="79"/>
      <c r="J74" s="79"/>
      <c r="K74" s="79"/>
      <c r="L74" s="79"/>
      <c r="M74" s="79"/>
      <c r="N74" s="79"/>
      <c r="O74" s="79"/>
      <c r="P74" s="79"/>
      <c r="Q74" s="79"/>
      <c r="R74" s="79"/>
      <c r="S74" s="79"/>
      <c r="T74" s="79"/>
      <c r="U74" s="79"/>
      <c r="V74" s="79"/>
      <c r="W74" s="79"/>
      <c r="X74" s="79"/>
      <c r="Y74" s="79"/>
    </row>
    <row r="75" spans="1:25">
      <c r="A75" s="79"/>
      <c r="B75" s="79"/>
      <c r="C75" s="79"/>
      <c r="D75" s="79"/>
      <c r="E75" s="265">
        <f t="shared" ref="E75:X76" si="18">E11</f>
        <v>2016</v>
      </c>
      <c r="F75" s="265">
        <f t="shared" si="18"/>
        <v>2017</v>
      </c>
      <c r="G75" s="265">
        <f t="shared" si="18"/>
        <v>2018</v>
      </c>
      <c r="H75" s="265">
        <f t="shared" si="18"/>
        <v>2019</v>
      </c>
      <c r="I75" s="265">
        <f t="shared" si="18"/>
        <v>2020</v>
      </c>
      <c r="J75" s="265">
        <f t="shared" si="18"/>
        <v>2021</v>
      </c>
      <c r="K75" s="265">
        <f t="shared" si="18"/>
        <v>2022</v>
      </c>
      <c r="L75" s="265">
        <f t="shared" si="18"/>
        <v>2023</v>
      </c>
      <c r="M75" s="265">
        <f t="shared" si="18"/>
        <v>2024</v>
      </c>
      <c r="N75" s="265">
        <f t="shared" si="18"/>
        <v>2025</v>
      </c>
      <c r="O75" s="265">
        <f t="shared" si="18"/>
        <v>2026</v>
      </c>
      <c r="P75" s="265">
        <f t="shared" si="18"/>
        <v>2027</v>
      </c>
      <c r="Q75" s="265">
        <f t="shared" si="18"/>
        <v>2028</v>
      </c>
      <c r="R75" s="265">
        <f t="shared" si="18"/>
        <v>2029</v>
      </c>
      <c r="S75" s="265">
        <f t="shared" si="18"/>
        <v>2030</v>
      </c>
      <c r="T75" s="265">
        <f t="shared" si="18"/>
        <v>2031</v>
      </c>
      <c r="U75" s="265">
        <f t="shared" si="18"/>
        <v>2032</v>
      </c>
      <c r="V75" s="265">
        <f t="shared" si="18"/>
        <v>2033</v>
      </c>
      <c r="W75" s="265">
        <f t="shared" si="18"/>
        <v>2034</v>
      </c>
      <c r="X75" s="265">
        <f t="shared" si="18"/>
        <v>2035</v>
      </c>
      <c r="Y75" s="79"/>
    </row>
    <row r="76" spans="1:25">
      <c r="A76" s="79"/>
      <c r="B76" s="79"/>
      <c r="C76" s="274" t="s">
        <v>544</v>
      </c>
      <c r="D76" s="274" t="s">
        <v>544</v>
      </c>
      <c r="E76" s="266" t="str">
        <f t="shared" si="18"/>
        <v>FLOOR_2016</v>
      </c>
      <c r="F76" s="266" t="str">
        <f t="shared" si="18"/>
        <v>FLOOR_2017</v>
      </c>
      <c r="G76" s="266" t="str">
        <f t="shared" si="18"/>
        <v>FLOOR_2018</v>
      </c>
      <c r="H76" s="266" t="str">
        <f t="shared" si="18"/>
        <v>FLOOR_2019</v>
      </c>
      <c r="I76" s="266" t="str">
        <f t="shared" si="18"/>
        <v>FLOOR_2020</v>
      </c>
      <c r="J76" s="266" t="str">
        <f t="shared" si="18"/>
        <v>FLOOR_2021</v>
      </c>
      <c r="K76" s="266" t="str">
        <f t="shared" si="18"/>
        <v>FLOOR_2022</v>
      </c>
      <c r="L76" s="266" t="str">
        <f t="shared" si="18"/>
        <v>FLOOR_2023</v>
      </c>
      <c r="M76" s="266" t="str">
        <f t="shared" si="18"/>
        <v>FLOOR_2024</v>
      </c>
      <c r="N76" s="266" t="str">
        <f t="shared" si="18"/>
        <v>FLOOR_2025</v>
      </c>
      <c r="O76" s="266" t="str">
        <f t="shared" si="18"/>
        <v>FLOOR_2026</v>
      </c>
      <c r="P76" s="266" t="str">
        <f t="shared" si="18"/>
        <v>FLOOR_2027</v>
      </c>
      <c r="Q76" s="266" t="str">
        <f t="shared" si="18"/>
        <v>FLOOR_2028</v>
      </c>
      <c r="R76" s="266" t="str">
        <f t="shared" si="18"/>
        <v>FLOOR_2029</v>
      </c>
      <c r="S76" s="266" t="str">
        <f t="shared" si="18"/>
        <v>FLOOR_2030</v>
      </c>
      <c r="T76" s="266" t="str">
        <f t="shared" si="18"/>
        <v>FLOOR_2031</v>
      </c>
      <c r="U76" s="266" t="str">
        <f t="shared" si="18"/>
        <v>FLOOR_2032</v>
      </c>
      <c r="V76" s="266" t="str">
        <f t="shared" si="18"/>
        <v>FLOOR_2033</v>
      </c>
      <c r="W76" s="266" t="str">
        <f t="shared" si="18"/>
        <v>FLOOR_2034</v>
      </c>
      <c r="X76" s="266" t="str">
        <f t="shared" si="18"/>
        <v>FLOOR_2035</v>
      </c>
      <c r="Y76" s="275" t="s">
        <v>522</v>
      </c>
    </row>
    <row r="77" spans="1:25">
      <c r="A77" s="79"/>
      <c r="B77" s="79" t="s">
        <v>390</v>
      </c>
      <c r="C77" s="276" t="s">
        <v>549</v>
      </c>
      <c r="D77" s="276" t="s">
        <v>550</v>
      </c>
      <c r="E77" s="277">
        <f>DSUM($B$67:$AA$68,E$67,$C$76:$D77)</f>
        <v>0</v>
      </c>
      <c r="F77" s="277">
        <f>DSUM($B$67:$AA$68,F$67,$C$76:$D77)</f>
        <v>0</v>
      </c>
      <c r="G77" s="277">
        <f>DSUM($B$67:$AA$68,G$67,$C$76:$D77)</f>
        <v>0</v>
      </c>
      <c r="H77" s="277">
        <f>DSUM($B$67:$AA$68,H$67,$C$76:$D77)</f>
        <v>0</v>
      </c>
      <c r="I77" s="277">
        <f>DSUM($B$67:$AA$68,I$67,$C$76:$D77)</f>
        <v>0</v>
      </c>
      <c r="J77" s="277">
        <f>DSUM($B$67:$AA$68,J$67,$C$76:$D77)</f>
        <v>0</v>
      </c>
      <c r="K77" s="277">
        <f>DSUM($B$67:$AA$68,K$67,$C$76:$D77)</f>
        <v>0</v>
      </c>
      <c r="L77" s="277">
        <f>DSUM($B$67:$AA$68,L$67,$C$76:$D77)</f>
        <v>0</v>
      </c>
      <c r="M77" s="277">
        <f>DSUM($B$67:$AA$68,M$67,$C$76:$D77)</f>
        <v>0</v>
      </c>
      <c r="N77" s="277">
        <f>DSUM($B$67:$AA$68,N$67,$C$76:$D77)</f>
        <v>0</v>
      </c>
      <c r="O77" s="277">
        <f>DSUM($B$67:$AA$68,O$67,$C$76:$D77)</f>
        <v>0</v>
      </c>
      <c r="P77" s="277">
        <f>DSUM($B$67:$AA$68,P$67,$C$76:$D77)</f>
        <v>0</v>
      </c>
      <c r="Q77" s="277">
        <f>DSUM($B$67:$AA$68,Q$67,$C$76:$D77)</f>
        <v>0</v>
      </c>
      <c r="R77" s="277">
        <f>DSUM($B$67:$AA$68,R$67,$C$76:$D77)</f>
        <v>0</v>
      </c>
      <c r="S77" s="277">
        <f>DSUM($B$67:$AA$68,S$67,$C$76:$D77)</f>
        <v>0</v>
      </c>
      <c r="T77" s="277">
        <f>DSUM($B$67:$AA$68,T$67,$C$76:$D77)</f>
        <v>0</v>
      </c>
      <c r="U77" s="277">
        <f>DSUM($B$67:$AA$68,U$67,$C$76:$D77)</f>
        <v>0</v>
      </c>
      <c r="V77" s="277">
        <f>DSUM($B$67:$AA$68,V$67,$C$76:$D77)</f>
        <v>0</v>
      </c>
      <c r="W77" s="277">
        <f>DSUM($B$67:$AA$68,W$67,$C$76:$D77)</f>
        <v>0</v>
      </c>
      <c r="X77" s="277">
        <f>DSUM($B$67:$AA$68,X$67,$C$76:$D77)</f>
        <v>0</v>
      </c>
      <c r="Y77" s="278">
        <f>DSUM($B$67:$Y$68,Y$67,$C$76:$D77)</f>
        <v>0</v>
      </c>
    </row>
    <row r="78" spans="1:25">
      <c r="B78" s="79" t="s">
        <v>391</v>
      </c>
      <c r="C78" s="276" t="s">
        <v>551</v>
      </c>
      <c r="D78" s="276" t="s">
        <v>552</v>
      </c>
      <c r="E78" s="277">
        <f>DSUM($B$67:$AA$68,E$67,$C$76:$D78)</f>
        <v>0</v>
      </c>
      <c r="F78" s="277">
        <f>DSUM($B$67:$AA$68,F$67,$C$76:$D78)</f>
        <v>0</v>
      </c>
      <c r="G78" s="277">
        <f>DSUM($B$67:$AA$68,G$67,$C$76:$D78)</f>
        <v>0</v>
      </c>
      <c r="H78" s="277">
        <f>DSUM($B$67:$AA$68,H$67,$C$76:$D78)</f>
        <v>0</v>
      </c>
      <c r="I78" s="277">
        <f>DSUM($B$67:$AA$68,I$67,$C$76:$D78)</f>
        <v>0</v>
      </c>
      <c r="J78" s="277">
        <f>DSUM($B$67:$AA$68,J$67,$C$76:$D78)</f>
        <v>0</v>
      </c>
      <c r="K78" s="277">
        <f>DSUM($B$67:$AA$68,K$67,$C$76:$D78)</f>
        <v>0</v>
      </c>
      <c r="L78" s="277">
        <f>DSUM($B$67:$AA$68,L$67,$C$76:$D78)</f>
        <v>0</v>
      </c>
      <c r="M78" s="277">
        <f>DSUM($B$67:$AA$68,M$67,$C$76:$D78)</f>
        <v>0</v>
      </c>
      <c r="N78" s="277">
        <f>DSUM($B$67:$AA$68,N$67,$C$76:$D78)</f>
        <v>0</v>
      </c>
      <c r="O78" s="277">
        <f>DSUM($B$67:$AA$68,O$67,$C$76:$D78)</f>
        <v>0</v>
      </c>
      <c r="P78" s="277">
        <f>DSUM($B$67:$AA$68,P$67,$C$76:$D78)</f>
        <v>0</v>
      </c>
      <c r="Q78" s="277">
        <f>DSUM($B$67:$AA$68,Q$67,$C$76:$D78)</f>
        <v>0</v>
      </c>
      <c r="R78" s="277">
        <f>DSUM($B$67:$AA$68,R$67,$C$76:$D78)</f>
        <v>0</v>
      </c>
      <c r="S78" s="277">
        <f>DSUM($B$67:$AA$68,S$67,$C$76:$D78)</f>
        <v>0</v>
      </c>
      <c r="T78" s="277">
        <f>DSUM($B$67:$AA$68,T$67,$C$76:$D78)</f>
        <v>0</v>
      </c>
      <c r="U78" s="277">
        <f>DSUM($B$67:$AA$68,U$67,$C$76:$D78)</f>
        <v>0</v>
      </c>
      <c r="V78" s="277">
        <f>DSUM($B$67:$AA$68,V$67,$C$76:$D78)</f>
        <v>0</v>
      </c>
      <c r="W78" s="277">
        <f>DSUM($B$67:$AA$68,W$67,$C$76:$D78)</f>
        <v>0</v>
      </c>
      <c r="X78" s="277">
        <f>DSUM($B$67:$AA$68,X$67,$C$76:$D78)</f>
        <v>0</v>
      </c>
      <c r="Y78" s="278">
        <f>DSUM($B$67:$Y$68,Y$67,$C$76:$D78)</f>
        <v>0</v>
      </c>
    </row>
    <row r="79" spans="1:25">
      <c r="B79" s="79" t="s">
        <v>392</v>
      </c>
      <c r="C79" s="276" t="s">
        <v>553</v>
      </c>
      <c r="D79" s="276" t="s">
        <v>554</v>
      </c>
      <c r="E79" s="277">
        <f>DSUM($B$67:$AA$68,E$67,$C$76:$D79)</f>
        <v>0</v>
      </c>
      <c r="F79" s="277">
        <f>DSUM($B$67:$AA$68,F$67,$C$76:$D79)</f>
        <v>0</v>
      </c>
      <c r="G79" s="277">
        <f>DSUM($B$67:$AA$68,G$67,$C$76:$D79)</f>
        <v>0</v>
      </c>
      <c r="H79" s="277">
        <f>DSUM($B$67:$AA$68,H$67,$C$76:$D79)</f>
        <v>0</v>
      </c>
      <c r="I79" s="277">
        <f>DSUM($B$67:$AA$68,I$67,$C$76:$D79)</f>
        <v>0</v>
      </c>
      <c r="J79" s="277">
        <f>DSUM($B$67:$AA$68,J$67,$C$76:$D79)</f>
        <v>0</v>
      </c>
      <c r="K79" s="277">
        <f>DSUM($B$67:$AA$68,K$67,$C$76:$D79)</f>
        <v>0</v>
      </c>
      <c r="L79" s="277">
        <f>DSUM($B$67:$AA$68,L$67,$C$76:$D79)</f>
        <v>0</v>
      </c>
      <c r="M79" s="277">
        <f>DSUM($B$67:$AA$68,M$67,$C$76:$D79)</f>
        <v>0</v>
      </c>
      <c r="N79" s="277">
        <f>DSUM($B$67:$AA$68,N$67,$C$76:$D79)</f>
        <v>0</v>
      </c>
      <c r="O79" s="277">
        <f>DSUM($B$67:$AA$68,O$67,$C$76:$D79)</f>
        <v>0</v>
      </c>
      <c r="P79" s="277">
        <f>DSUM($B$67:$AA$68,P$67,$C$76:$D79)</f>
        <v>0</v>
      </c>
      <c r="Q79" s="277">
        <f>DSUM($B$67:$AA$68,Q$67,$C$76:$D79)</f>
        <v>0</v>
      </c>
      <c r="R79" s="277">
        <f>DSUM($B$67:$AA$68,R$67,$C$76:$D79)</f>
        <v>0</v>
      </c>
      <c r="S79" s="277">
        <f>DSUM($B$67:$AA$68,S$67,$C$76:$D79)</f>
        <v>0</v>
      </c>
      <c r="T79" s="277">
        <f>DSUM($B$67:$AA$68,T$67,$C$76:$D79)</f>
        <v>0</v>
      </c>
      <c r="U79" s="277">
        <f>DSUM($B$67:$AA$68,U$67,$C$76:$D79)</f>
        <v>0</v>
      </c>
      <c r="V79" s="277">
        <f>DSUM($B$67:$AA$68,V$67,$C$76:$D79)</f>
        <v>0</v>
      </c>
      <c r="W79" s="277">
        <f>DSUM($B$67:$AA$68,W$67,$C$76:$D79)</f>
        <v>0</v>
      </c>
      <c r="X79" s="277">
        <f>DSUM($B$67:$AA$68,X$67,$C$76:$D79)</f>
        <v>0</v>
      </c>
      <c r="Y79" s="278">
        <f>DSUM($B$67:$Y$68,Y$67,$C$76:$D79)</f>
        <v>0</v>
      </c>
    </row>
    <row r="80" spans="1:25">
      <c r="B80" s="79" t="s">
        <v>393</v>
      </c>
      <c r="C80" s="276" t="s">
        <v>555</v>
      </c>
      <c r="D80" s="276" t="s">
        <v>556</v>
      </c>
      <c r="E80" s="277">
        <f>DSUM($B$67:$AA$68,E$67,$C$76:$D80)</f>
        <v>0.31228549412738982</v>
      </c>
      <c r="F80" s="277">
        <f ca="1">DSUM($B$67:$AA$68,F$67,$C$76:$D80)</f>
        <v>0.62188382445375068</v>
      </c>
      <c r="G80" s="277">
        <f ca="1">DSUM($B$67:$AA$68,G$67,$C$76:$D80)</f>
        <v>0.92881563204653739</v>
      </c>
      <c r="H80" s="277">
        <f ca="1">DSUM($B$67:$AA$68,H$67,$C$76:$D80)</f>
        <v>1.2331013883133874</v>
      </c>
      <c r="I80" s="277">
        <f ca="1">DSUM($B$67:$AA$68,I$67,$C$76:$D80)</f>
        <v>1.5347613965294968</v>
      </c>
      <c r="J80" s="277">
        <f ca="1">DSUM($B$67:$AA$68,J$67,$C$76:$D80)</f>
        <v>1.8032521967945101</v>
      </c>
      <c r="K80" s="277">
        <f ca="1">DSUM($B$67:$AA$68,K$67,$C$76:$D80)</f>
        <v>2.0146405318645599</v>
      </c>
      <c r="L80" s="277">
        <f ca="1">DSUM($B$67:$AA$68,L$67,$C$76:$D80)</f>
        <v>2.1805566340366038</v>
      </c>
      <c r="M80" s="277">
        <f ca="1">DSUM($B$67:$AA$68,M$67,$C$76:$D80)</f>
        <v>2.310264326470961</v>
      </c>
      <c r="N80" s="277">
        <f ca="1">DSUM($B$67:$AA$68,N$67,$C$76:$D80)</f>
        <v>2.4111425293771238</v>
      </c>
      <c r="O80" s="277">
        <f ca="1">DSUM($B$67:$AA$68,O$67,$C$76:$D80)</f>
        <v>2.4890687860912539</v>
      </c>
      <c r="P80" s="277">
        <f ca="1">DSUM($B$67:$AA$68,P$67,$C$76:$D80)</f>
        <v>2.5487247478312312</v>
      </c>
      <c r="Q80" s="277">
        <f ca="1">DSUM($B$67:$AA$68,Q$67,$C$76:$D80)</f>
        <v>2.5938394981719863</v>
      </c>
      <c r="R80" s="277">
        <f ca="1">DSUM($B$67:$AA$68,R$67,$C$76:$D80)</f>
        <v>2.6273833663802693</v>
      </c>
      <c r="S80" s="277">
        <f ca="1">DSUM($B$67:$AA$68,S$67,$C$76:$D80)</f>
        <v>2.6517223045977891</v>
      </c>
      <c r="T80" s="277">
        <f ca="1">DSUM($B$67:$AA$68,T$67,$C$76:$D80)</f>
        <v>2.6687408535916943</v>
      </c>
      <c r="U80" s="277">
        <f ca="1">DSUM($B$67:$AA$68,U$67,$C$76:$D80)</f>
        <v>2.6575895877513078</v>
      </c>
      <c r="V80" s="277">
        <f ca="1">DSUM($B$67:$AA$68,V$67,$C$76:$D80)</f>
        <v>2.6463708462029709</v>
      </c>
      <c r="W80" s="277">
        <f ca="1">DSUM($B$67:$AA$68,W$67,$C$76:$D80)</f>
        <v>2.6351635115271308</v>
      </c>
      <c r="X80" s="277">
        <f ca="1">DSUM($B$67:$AA$68,X$67,$C$76:$D80)</f>
        <v>2.6239969119100048</v>
      </c>
      <c r="Y80" s="278">
        <f ca="1">DSUM($B$67:$Y$68,Y$67,$C$76:$D80)</f>
        <v>8.4133728390346398</v>
      </c>
    </row>
    <row r="81" spans="2:25">
      <c r="B81" s="79" t="s">
        <v>394</v>
      </c>
      <c r="C81" s="276" t="s">
        <v>557</v>
      </c>
      <c r="D81" s="276" t="s">
        <v>558</v>
      </c>
      <c r="E81" s="277">
        <f>DSUM($B$67:$AA$68,E$67,$C$76:$D81)</f>
        <v>0.31228549412738982</v>
      </c>
      <c r="F81" s="277">
        <f ca="1">DSUM($B$67:$AA$68,F$67,$C$76:$D81)</f>
        <v>0.62188382445375068</v>
      </c>
      <c r="G81" s="277">
        <f ca="1">DSUM($B$67:$AA$68,G$67,$C$76:$D81)</f>
        <v>0.92881563204653739</v>
      </c>
      <c r="H81" s="277">
        <f ca="1">DSUM($B$67:$AA$68,H$67,$C$76:$D81)</f>
        <v>1.2331013883133874</v>
      </c>
      <c r="I81" s="277">
        <f ca="1">DSUM($B$67:$AA$68,I$67,$C$76:$D81)</f>
        <v>1.5347613965294968</v>
      </c>
      <c r="J81" s="277">
        <f ca="1">DSUM($B$67:$AA$68,J$67,$C$76:$D81)</f>
        <v>1.8032521967945101</v>
      </c>
      <c r="K81" s="277">
        <f ca="1">DSUM($B$67:$AA$68,K$67,$C$76:$D81)</f>
        <v>2.0146405318645599</v>
      </c>
      <c r="L81" s="277">
        <f ca="1">DSUM($B$67:$AA$68,L$67,$C$76:$D81)</f>
        <v>2.1805566340366038</v>
      </c>
      <c r="M81" s="277">
        <f ca="1">DSUM($B$67:$AA$68,M$67,$C$76:$D81)</f>
        <v>2.310264326470961</v>
      </c>
      <c r="N81" s="277">
        <f ca="1">DSUM($B$67:$AA$68,N$67,$C$76:$D81)</f>
        <v>2.4111425293771238</v>
      </c>
      <c r="O81" s="277">
        <f ca="1">DSUM($B$67:$AA$68,O$67,$C$76:$D81)</f>
        <v>2.4890687860912539</v>
      </c>
      <c r="P81" s="277">
        <f ca="1">DSUM($B$67:$AA$68,P$67,$C$76:$D81)</f>
        <v>2.5487247478312312</v>
      </c>
      <c r="Q81" s="277">
        <f ca="1">DSUM($B$67:$AA$68,Q$67,$C$76:$D81)</f>
        <v>2.5938394981719863</v>
      </c>
      <c r="R81" s="277">
        <f ca="1">DSUM($B$67:$AA$68,R$67,$C$76:$D81)</f>
        <v>2.6273833663802693</v>
      </c>
      <c r="S81" s="277">
        <f ca="1">DSUM($B$67:$AA$68,S$67,$C$76:$D81)</f>
        <v>2.6517223045977891</v>
      </c>
      <c r="T81" s="277">
        <f ca="1">DSUM($B$67:$AA$68,T$67,$C$76:$D81)</f>
        <v>2.6687408535916943</v>
      </c>
      <c r="U81" s="277">
        <f ca="1">DSUM($B$67:$AA$68,U$67,$C$76:$D81)</f>
        <v>2.6575895877513078</v>
      </c>
      <c r="V81" s="277">
        <f ca="1">DSUM($B$67:$AA$68,V$67,$C$76:$D81)</f>
        <v>2.6463708462029709</v>
      </c>
      <c r="W81" s="277">
        <f ca="1">DSUM($B$67:$AA$68,W$67,$C$76:$D81)</f>
        <v>2.6351635115271308</v>
      </c>
      <c r="X81" s="277">
        <f ca="1">DSUM($B$67:$AA$68,X$67,$C$76:$D81)</f>
        <v>2.6239969119100048</v>
      </c>
      <c r="Y81" s="278">
        <f ca="1">DSUM($B$67:$Y$68,Y$67,$C$76:$D81)</f>
        <v>8.4133728390346398</v>
      </c>
    </row>
    <row r="82" spans="2:25">
      <c r="B82" s="79" t="s">
        <v>395</v>
      </c>
      <c r="C82" s="276" t="s">
        <v>559</v>
      </c>
      <c r="D82" s="276" t="s">
        <v>560</v>
      </c>
      <c r="E82" s="277">
        <f>DSUM($B$67:$AA$68,E$67,$C$76:$D82)</f>
        <v>0.31228549412738982</v>
      </c>
      <c r="F82" s="277">
        <f ca="1">DSUM($B$67:$AA$68,F$67,$C$76:$D82)</f>
        <v>0.62188382445375068</v>
      </c>
      <c r="G82" s="277">
        <f ca="1">DSUM($B$67:$AA$68,G$67,$C$76:$D82)</f>
        <v>0.92881563204653739</v>
      </c>
      <c r="H82" s="277">
        <f ca="1">DSUM($B$67:$AA$68,H$67,$C$76:$D82)</f>
        <v>1.2331013883133874</v>
      </c>
      <c r="I82" s="277">
        <f ca="1">DSUM($B$67:$AA$68,I$67,$C$76:$D82)</f>
        <v>1.5347613965294968</v>
      </c>
      <c r="J82" s="277">
        <f ca="1">DSUM($B$67:$AA$68,J$67,$C$76:$D82)</f>
        <v>1.8032521967945101</v>
      </c>
      <c r="K82" s="277">
        <f ca="1">DSUM($B$67:$AA$68,K$67,$C$76:$D82)</f>
        <v>2.0146405318645599</v>
      </c>
      <c r="L82" s="277">
        <f ca="1">DSUM($B$67:$AA$68,L$67,$C$76:$D82)</f>
        <v>2.1805566340366038</v>
      </c>
      <c r="M82" s="277">
        <f ca="1">DSUM($B$67:$AA$68,M$67,$C$76:$D82)</f>
        <v>2.310264326470961</v>
      </c>
      <c r="N82" s="277">
        <f ca="1">DSUM($B$67:$AA$68,N$67,$C$76:$D82)</f>
        <v>2.4111425293771238</v>
      </c>
      <c r="O82" s="277">
        <f ca="1">DSUM($B$67:$AA$68,O$67,$C$76:$D82)</f>
        <v>2.4890687860912539</v>
      </c>
      <c r="P82" s="277">
        <f ca="1">DSUM($B$67:$AA$68,P$67,$C$76:$D82)</f>
        <v>2.5487247478312312</v>
      </c>
      <c r="Q82" s="277">
        <f ca="1">DSUM($B$67:$AA$68,Q$67,$C$76:$D82)</f>
        <v>2.5938394981719863</v>
      </c>
      <c r="R82" s="277">
        <f ca="1">DSUM($B$67:$AA$68,R$67,$C$76:$D82)</f>
        <v>2.6273833663802693</v>
      </c>
      <c r="S82" s="277">
        <f ca="1">DSUM($B$67:$AA$68,S$67,$C$76:$D82)</f>
        <v>2.6517223045977891</v>
      </c>
      <c r="T82" s="277">
        <f ca="1">DSUM($B$67:$AA$68,T$67,$C$76:$D82)</f>
        <v>2.6687408535916943</v>
      </c>
      <c r="U82" s="277">
        <f ca="1">DSUM($B$67:$AA$68,U$67,$C$76:$D82)</f>
        <v>2.6575895877513078</v>
      </c>
      <c r="V82" s="277">
        <f ca="1">DSUM($B$67:$AA$68,V$67,$C$76:$D82)</f>
        <v>2.6463708462029709</v>
      </c>
      <c r="W82" s="277">
        <f ca="1">DSUM($B$67:$AA$68,W$67,$C$76:$D82)</f>
        <v>2.6351635115271308</v>
      </c>
      <c r="X82" s="277">
        <f ca="1">DSUM($B$67:$AA$68,X$67,$C$76:$D82)</f>
        <v>2.6239969119100048</v>
      </c>
      <c r="Y82" s="278">
        <f ca="1">DSUM($B$67:$Y$68,Y$67,$C$76:$D82)</f>
        <v>8.4133728390346398</v>
      </c>
    </row>
    <row r="83" spans="2:25">
      <c r="B83" s="79" t="s">
        <v>396</v>
      </c>
      <c r="C83" s="276" t="s">
        <v>561</v>
      </c>
      <c r="D83" s="276" t="s">
        <v>562</v>
      </c>
      <c r="E83" s="277">
        <f>DSUM($B$67:$AA$68,E$67,$C$76:$D83)</f>
        <v>0.31228549412738982</v>
      </c>
      <c r="F83" s="277">
        <f ca="1">DSUM($B$67:$AA$68,F$67,$C$76:$D83)</f>
        <v>0.62188382445375068</v>
      </c>
      <c r="G83" s="277">
        <f ca="1">DSUM($B$67:$AA$68,G$67,$C$76:$D83)</f>
        <v>0.92881563204653739</v>
      </c>
      <c r="H83" s="277">
        <f ca="1">DSUM($B$67:$AA$68,H$67,$C$76:$D83)</f>
        <v>1.2331013883133874</v>
      </c>
      <c r="I83" s="277">
        <f ca="1">DSUM($B$67:$AA$68,I$67,$C$76:$D83)</f>
        <v>1.5347613965294968</v>
      </c>
      <c r="J83" s="277">
        <f ca="1">DSUM($B$67:$AA$68,J$67,$C$76:$D83)</f>
        <v>1.8032521967945101</v>
      </c>
      <c r="K83" s="277">
        <f ca="1">DSUM($B$67:$AA$68,K$67,$C$76:$D83)</f>
        <v>2.0146405318645599</v>
      </c>
      <c r="L83" s="277">
        <f ca="1">DSUM($B$67:$AA$68,L$67,$C$76:$D83)</f>
        <v>2.1805566340366038</v>
      </c>
      <c r="M83" s="277">
        <f ca="1">DSUM($B$67:$AA$68,M$67,$C$76:$D83)</f>
        <v>2.310264326470961</v>
      </c>
      <c r="N83" s="277">
        <f ca="1">DSUM($B$67:$AA$68,N$67,$C$76:$D83)</f>
        <v>2.4111425293771238</v>
      </c>
      <c r="O83" s="277">
        <f ca="1">DSUM($B$67:$AA$68,O$67,$C$76:$D83)</f>
        <v>2.4890687860912539</v>
      </c>
      <c r="P83" s="277">
        <f ca="1">DSUM($B$67:$AA$68,P$67,$C$76:$D83)</f>
        <v>2.5487247478312312</v>
      </c>
      <c r="Q83" s="277">
        <f ca="1">DSUM($B$67:$AA$68,Q$67,$C$76:$D83)</f>
        <v>2.5938394981719863</v>
      </c>
      <c r="R83" s="277">
        <f ca="1">DSUM($B$67:$AA$68,R$67,$C$76:$D83)</f>
        <v>2.6273833663802693</v>
      </c>
      <c r="S83" s="277">
        <f ca="1">DSUM($B$67:$AA$68,S$67,$C$76:$D83)</f>
        <v>2.6517223045977891</v>
      </c>
      <c r="T83" s="277">
        <f ca="1">DSUM($B$67:$AA$68,T$67,$C$76:$D83)</f>
        <v>2.6687408535916943</v>
      </c>
      <c r="U83" s="277">
        <f ca="1">DSUM($B$67:$AA$68,U$67,$C$76:$D83)</f>
        <v>2.6575895877513078</v>
      </c>
      <c r="V83" s="277">
        <f ca="1">DSUM($B$67:$AA$68,V$67,$C$76:$D83)</f>
        <v>2.6463708462029709</v>
      </c>
      <c r="W83" s="277">
        <f ca="1">DSUM($B$67:$AA$68,W$67,$C$76:$D83)</f>
        <v>2.6351635115271308</v>
      </c>
      <c r="X83" s="277">
        <f ca="1">DSUM($B$67:$AA$68,X$67,$C$76:$D83)</f>
        <v>2.6239969119100048</v>
      </c>
      <c r="Y83" s="278">
        <f ca="1">DSUM($B$67:$Y$68,Y$67,$C$76:$D83)</f>
        <v>8.4133728390346398</v>
      </c>
    </row>
    <row r="84" spans="2:25">
      <c r="B84" s="79" t="s">
        <v>397</v>
      </c>
      <c r="C84" s="276" t="s">
        <v>563</v>
      </c>
      <c r="D84" s="276" t="s">
        <v>564</v>
      </c>
      <c r="E84" s="277">
        <f>DSUM($B$67:$AA$68,E$67,$C$76:$D84)</f>
        <v>0.31228549412738982</v>
      </c>
      <c r="F84" s="277">
        <f ca="1">DSUM($B$67:$AA$68,F$67,$C$76:$D84)</f>
        <v>0.62188382445375068</v>
      </c>
      <c r="G84" s="277">
        <f ca="1">DSUM($B$67:$AA$68,G$67,$C$76:$D84)</f>
        <v>0.92881563204653739</v>
      </c>
      <c r="H84" s="277">
        <f ca="1">DSUM($B$67:$AA$68,H$67,$C$76:$D84)</f>
        <v>1.2331013883133874</v>
      </c>
      <c r="I84" s="277">
        <f ca="1">DSUM($B$67:$AA$68,I$67,$C$76:$D84)</f>
        <v>1.5347613965294968</v>
      </c>
      <c r="J84" s="277">
        <f ca="1">DSUM($B$67:$AA$68,J$67,$C$76:$D84)</f>
        <v>1.8032521967945101</v>
      </c>
      <c r="K84" s="277">
        <f ca="1">DSUM($B$67:$AA$68,K$67,$C$76:$D84)</f>
        <v>2.0146405318645599</v>
      </c>
      <c r="L84" s="277">
        <f ca="1">DSUM($B$67:$AA$68,L$67,$C$76:$D84)</f>
        <v>2.1805566340366038</v>
      </c>
      <c r="M84" s="277">
        <f ca="1">DSUM($B$67:$AA$68,M$67,$C$76:$D84)</f>
        <v>2.310264326470961</v>
      </c>
      <c r="N84" s="277">
        <f ca="1">DSUM($B$67:$AA$68,N$67,$C$76:$D84)</f>
        <v>2.4111425293771238</v>
      </c>
      <c r="O84" s="277">
        <f ca="1">DSUM($B$67:$AA$68,O$67,$C$76:$D84)</f>
        <v>2.4890687860912539</v>
      </c>
      <c r="P84" s="277">
        <f ca="1">DSUM($B$67:$AA$68,P$67,$C$76:$D84)</f>
        <v>2.5487247478312312</v>
      </c>
      <c r="Q84" s="277">
        <f ca="1">DSUM($B$67:$AA$68,Q$67,$C$76:$D84)</f>
        <v>2.5938394981719863</v>
      </c>
      <c r="R84" s="277">
        <f ca="1">DSUM($B$67:$AA$68,R$67,$C$76:$D84)</f>
        <v>2.6273833663802693</v>
      </c>
      <c r="S84" s="277">
        <f ca="1">DSUM($B$67:$AA$68,S$67,$C$76:$D84)</f>
        <v>2.6517223045977891</v>
      </c>
      <c r="T84" s="277">
        <f ca="1">DSUM($B$67:$AA$68,T$67,$C$76:$D84)</f>
        <v>2.6687408535916943</v>
      </c>
      <c r="U84" s="277">
        <f ca="1">DSUM($B$67:$AA$68,U$67,$C$76:$D84)</f>
        <v>2.6575895877513078</v>
      </c>
      <c r="V84" s="277">
        <f ca="1">DSUM($B$67:$AA$68,V$67,$C$76:$D84)</f>
        <v>2.6463708462029709</v>
      </c>
      <c r="W84" s="277">
        <f ca="1">DSUM($B$67:$AA$68,W$67,$C$76:$D84)</f>
        <v>2.6351635115271308</v>
      </c>
      <c r="X84" s="277">
        <f ca="1">DSUM($B$67:$AA$68,X$67,$C$76:$D84)</f>
        <v>2.6239969119100048</v>
      </c>
      <c r="Y84" s="278">
        <f ca="1">DSUM($B$67:$Y$68,Y$67,$C$76:$D84)</f>
        <v>8.4133728390346398</v>
      </c>
    </row>
    <row r="85" spans="2:25">
      <c r="B85" s="79" t="s">
        <v>398</v>
      </c>
      <c r="C85" s="276" t="s">
        <v>565</v>
      </c>
      <c r="D85" s="276" t="s">
        <v>566</v>
      </c>
      <c r="E85" s="277">
        <f>DSUM($B$67:$AA$68,E$67,$C$76:$D85)</f>
        <v>0.31228549412738982</v>
      </c>
      <c r="F85" s="277">
        <f ca="1">DSUM($B$67:$AA$68,F$67,$C$76:$D85)</f>
        <v>0.62188382445375068</v>
      </c>
      <c r="G85" s="277">
        <f ca="1">DSUM($B$67:$AA$68,G$67,$C$76:$D85)</f>
        <v>0.92881563204653739</v>
      </c>
      <c r="H85" s="277">
        <f ca="1">DSUM($B$67:$AA$68,H$67,$C$76:$D85)</f>
        <v>1.2331013883133874</v>
      </c>
      <c r="I85" s="277">
        <f ca="1">DSUM($B$67:$AA$68,I$67,$C$76:$D85)</f>
        <v>1.5347613965294968</v>
      </c>
      <c r="J85" s="277">
        <f ca="1">DSUM($B$67:$AA$68,J$67,$C$76:$D85)</f>
        <v>1.8032521967945101</v>
      </c>
      <c r="K85" s="277">
        <f ca="1">DSUM($B$67:$AA$68,K$67,$C$76:$D85)</f>
        <v>2.0146405318645599</v>
      </c>
      <c r="L85" s="277">
        <f ca="1">DSUM($B$67:$AA$68,L$67,$C$76:$D85)</f>
        <v>2.1805566340366038</v>
      </c>
      <c r="M85" s="277">
        <f ca="1">DSUM($B$67:$AA$68,M$67,$C$76:$D85)</f>
        <v>2.310264326470961</v>
      </c>
      <c r="N85" s="277">
        <f ca="1">DSUM($B$67:$AA$68,N$67,$C$76:$D85)</f>
        <v>2.4111425293771238</v>
      </c>
      <c r="O85" s="277">
        <f ca="1">DSUM($B$67:$AA$68,O$67,$C$76:$D85)</f>
        <v>2.4890687860912539</v>
      </c>
      <c r="P85" s="277">
        <f ca="1">DSUM($B$67:$AA$68,P$67,$C$76:$D85)</f>
        <v>2.5487247478312312</v>
      </c>
      <c r="Q85" s="277">
        <f ca="1">DSUM($B$67:$AA$68,Q$67,$C$76:$D85)</f>
        <v>2.5938394981719863</v>
      </c>
      <c r="R85" s="277">
        <f ca="1">DSUM($B$67:$AA$68,R$67,$C$76:$D85)</f>
        <v>2.6273833663802693</v>
      </c>
      <c r="S85" s="277">
        <f ca="1">DSUM($B$67:$AA$68,S$67,$C$76:$D85)</f>
        <v>2.6517223045977891</v>
      </c>
      <c r="T85" s="277">
        <f ca="1">DSUM($B$67:$AA$68,T$67,$C$76:$D85)</f>
        <v>2.6687408535916943</v>
      </c>
      <c r="U85" s="277">
        <f ca="1">DSUM($B$67:$AA$68,U$67,$C$76:$D85)</f>
        <v>2.6575895877513078</v>
      </c>
      <c r="V85" s="277">
        <f ca="1">DSUM($B$67:$AA$68,V$67,$C$76:$D85)</f>
        <v>2.6463708462029709</v>
      </c>
      <c r="W85" s="277">
        <f ca="1">DSUM($B$67:$AA$68,W$67,$C$76:$D85)</f>
        <v>2.6351635115271308</v>
      </c>
      <c r="X85" s="277">
        <f ca="1">DSUM($B$67:$AA$68,X$67,$C$76:$D85)</f>
        <v>2.6239969119100048</v>
      </c>
      <c r="Y85" s="278">
        <f ca="1">DSUM($B$67:$Y$68,Y$67,$C$76:$D85)</f>
        <v>8.4133728390346398</v>
      </c>
    </row>
    <row r="86" spans="2:25">
      <c r="B86" s="79" t="s">
        <v>399</v>
      </c>
      <c r="C86" s="276" t="s">
        <v>567</v>
      </c>
      <c r="D86" s="276" t="s">
        <v>568</v>
      </c>
      <c r="E86" s="277">
        <f>DSUM($B$67:$AA$68,E$67,$C$76:$D86)</f>
        <v>0.31228549412738982</v>
      </c>
      <c r="F86" s="277">
        <f ca="1">DSUM($B$67:$AA$68,F$67,$C$76:$D86)</f>
        <v>0.62188382445375068</v>
      </c>
      <c r="G86" s="277">
        <f ca="1">DSUM($B$67:$AA$68,G$67,$C$76:$D86)</f>
        <v>0.92881563204653739</v>
      </c>
      <c r="H86" s="277">
        <f ca="1">DSUM($B$67:$AA$68,H$67,$C$76:$D86)</f>
        <v>1.2331013883133874</v>
      </c>
      <c r="I86" s="277">
        <f ca="1">DSUM($B$67:$AA$68,I$67,$C$76:$D86)</f>
        <v>1.5347613965294968</v>
      </c>
      <c r="J86" s="277">
        <f ca="1">DSUM($B$67:$AA$68,J$67,$C$76:$D86)</f>
        <v>1.8032521967945101</v>
      </c>
      <c r="K86" s="277">
        <f ca="1">DSUM($B$67:$AA$68,K$67,$C$76:$D86)</f>
        <v>2.0146405318645599</v>
      </c>
      <c r="L86" s="277">
        <f ca="1">DSUM($B$67:$AA$68,L$67,$C$76:$D86)</f>
        <v>2.1805566340366038</v>
      </c>
      <c r="M86" s="277">
        <f ca="1">DSUM($B$67:$AA$68,M$67,$C$76:$D86)</f>
        <v>2.310264326470961</v>
      </c>
      <c r="N86" s="277">
        <f ca="1">DSUM($B$67:$AA$68,N$67,$C$76:$D86)</f>
        <v>2.4111425293771238</v>
      </c>
      <c r="O86" s="277">
        <f ca="1">DSUM($B$67:$AA$68,O$67,$C$76:$D86)</f>
        <v>2.4890687860912539</v>
      </c>
      <c r="P86" s="277">
        <f ca="1">DSUM($B$67:$AA$68,P$67,$C$76:$D86)</f>
        <v>2.5487247478312312</v>
      </c>
      <c r="Q86" s="277">
        <f ca="1">DSUM($B$67:$AA$68,Q$67,$C$76:$D86)</f>
        <v>2.5938394981719863</v>
      </c>
      <c r="R86" s="277">
        <f ca="1">DSUM($B$67:$AA$68,R$67,$C$76:$D86)</f>
        <v>2.6273833663802693</v>
      </c>
      <c r="S86" s="277">
        <f ca="1">DSUM($B$67:$AA$68,S$67,$C$76:$D86)</f>
        <v>2.6517223045977891</v>
      </c>
      <c r="T86" s="277">
        <f ca="1">DSUM($B$67:$AA$68,T$67,$C$76:$D86)</f>
        <v>2.6687408535916943</v>
      </c>
      <c r="U86" s="277">
        <f ca="1">DSUM($B$67:$AA$68,U$67,$C$76:$D86)</f>
        <v>2.6575895877513078</v>
      </c>
      <c r="V86" s="277">
        <f ca="1">DSUM($B$67:$AA$68,V$67,$C$76:$D86)</f>
        <v>2.6463708462029709</v>
      </c>
      <c r="W86" s="277">
        <f ca="1">DSUM($B$67:$AA$68,W$67,$C$76:$D86)</f>
        <v>2.6351635115271308</v>
      </c>
      <c r="X86" s="277">
        <f ca="1">DSUM($B$67:$AA$68,X$67,$C$76:$D86)</f>
        <v>2.6239969119100048</v>
      </c>
      <c r="Y86" s="278">
        <f ca="1">DSUM($B$67:$Y$68,Y$67,$C$76:$D86)</f>
        <v>8.4133728390346398</v>
      </c>
    </row>
    <row r="87" spans="2:25">
      <c r="B87" s="79" t="s">
        <v>400</v>
      </c>
      <c r="C87" s="276" t="s">
        <v>569</v>
      </c>
      <c r="D87" s="276" t="s">
        <v>570</v>
      </c>
      <c r="E87" s="277">
        <f>DSUM($B$67:$AA$68,E$67,$C$76:$D87)</f>
        <v>0.31228549412738982</v>
      </c>
      <c r="F87" s="277">
        <f ca="1">DSUM($B$67:$AA$68,F$67,$C$76:$D87)</f>
        <v>0.62188382445375068</v>
      </c>
      <c r="G87" s="277">
        <f ca="1">DSUM($B$67:$AA$68,G$67,$C$76:$D87)</f>
        <v>0.92881563204653739</v>
      </c>
      <c r="H87" s="277">
        <f ca="1">DSUM($B$67:$AA$68,H$67,$C$76:$D87)</f>
        <v>1.2331013883133874</v>
      </c>
      <c r="I87" s="277">
        <f ca="1">DSUM($B$67:$AA$68,I$67,$C$76:$D87)</f>
        <v>1.5347613965294968</v>
      </c>
      <c r="J87" s="277">
        <f ca="1">DSUM($B$67:$AA$68,J$67,$C$76:$D87)</f>
        <v>1.8032521967945101</v>
      </c>
      <c r="K87" s="277">
        <f ca="1">DSUM($B$67:$AA$68,K$67,$C$76:$D87)</f>
        <v>2.0146405318645599</v>
      </c>
      <c r="L87" s="277">
        <f ca="1">DSUM($B$67:$AA$68,L$67,$C$76:$D87)</f>
        <v>2.1805566340366038</v>
      </c>
      <c r="M87" s="277">
        <f ca="1">DSUM($B$67:$AA$68,M$67,$C$76:$D87)</f>
        <v>2.310264326470961</v>
      </c>
      <c r="N87" s="277">
        <f ca="1">DSUM($B$67:$AA$68,N$67,$C$76:$D87)</f>
        <v>2.4111425293771238</v>
      </c>
      <c r="O87" s="277">
        <f ca="1">DSUM($B$67:$AA$68,O$67,$C$76:$D87)</f>
        <v>2.4890687860912539</v>
      </c>
      <c r="P87" s="277">
        <f ca="1">DSUM($B$67:$AA$68,P$67,$C$76:$D87)</f>
        <v>2.5487247478312312</v>
      </c>
      <c r="Q87" s="277">
        <f ca="1">DSUM($B$67:$AA$68,Q$67,$C$76:$D87)</f>
        <v>2.5938394981719863</v>
      </c>
      <c r="R87" s="277">
        <f ca="1">DSUM($B$67:$AA$68,R$67,$C$76:$D87)</f>
        <v>2.6273833663802693</v>
      </c>
      <c r="S87" s="277">
        <f ca="1">DSUM($B$67:$AA$68,S$67,$C$76:$D87)</f>
        <v>2.6517223045977891</v>
      </c>
      <c r="T87" s="277">
        <f ca="1">DSUM($B$67:$AA$68,T$67,$C$76:$D87)</f>
        <v>2.6687408535916943</v>
      </c>
      <c r="U87" s="277">
        <f ca="1">DSUM($B$67:$AA$68,U$67,$C$76:$D87)</f>
        <v>2.6575895877513078</v>
      </c>
      <c r="V87" s="277">
        <f ca="1">DSUM($B$67:$AA$68,V$67,$C$76:$D87)</f>
        <v>2.6463708462029709</v>
      </c>
      <c r="W87" s="277">
        <f ca="1">DSUM($B$67:$AA$68,W$67,$C$76:$D87)</f>
        <v>2.6351635115271308</v>
      </c>
      <c r="X87" s="277">
        <f ca="1">DSUM($B$67:$AA$68,X$67,$C$76:$D87)</f>
        <v>2.6239969119100048</v>
      </c>
      <c r="Y87" s="278">
        <f ca="1">DSUM($B$67:$Y$68,Y$67,$C$76:$D87)</f>
        <v>8.4133728390346398</v>
      </c>
    </row>
    <row r="88" spans="2:25">
      <c r="B88" s="79" t="s">
        <v>401</v>
      </c>
      <c r="C88" s="276" t="s">
        <v>571</v>
      </c>
      <c r="D88" s="276" t="s">
        <v>572</v>
      </c>
      <c r="E88" s="277">
        <f>DSUM($B$67:$AA$68,E$67,$C$76:$D88)</f>
        <v>0.31228549412738982</v>
      </c>
      <c r="F88" s="277">
        <f ca="1">DSUM($B$67:$AA$68,F$67,$C$76:$D88)</f>
        <v>0.62188382445375068</v>
      </c>
      <c r="G88" s="277">
        <f ca="1">DSUM($B$67:$AA$68,G$67,$C$76:$D88)</f>
        <v>0.92881563204653739</v>
      </c>
      <c r="H88" s="277">
        <f ca="1">DSUM($B$67:$AA$68,H$67,$C$76:$D88)</f>
        <v>1.2331013883133874</v>
      </c>
      <c r="I88" s="277">
        <f ca="1">DSUM($B$67:$AA$68,I$67,$C$76:$D88)</f>
        <v>1.5347613965294968</v>
      </c>
      <c r="J88" s="277">
        <f ca="1">DSUM($B$67:$AA$68,J$67,$C$76:$D88)</f>
        <v>1.8032521967945101</v>
      </c>
      <c r="K88" s="277">
        <f ca="1">DSUM($B$67:$AA$68,K$67,$C$76:$D88)</f>
        <v>2.0146405318645599</v>
      </c>
      <c r="L88" s="277">
        <f ca="1">DSUM($B$67:$AA$68,L$67,$C$76:$D88)</f>
        <v>2.1805566340366038</v>
      </c>
      <c r="M88" s="277">
        <f ca="1">DSUM($B$67:$AA$68,M$67,$C$76:$D88)</f>
        <v>2.310264326470961</v>
      </c>
      <c r="N88" s="277">
        <f ca="1">DSUM($B$67:$AA$68,N$67,$C$76:$D88)</f>
        <v>2.4111425293771238</v>
      </c>
      <c r="O88" s="277">
        <f ca="1">DSUM($B$67:$AA$68,O$67,$C$76:$D88)</f>
        <v>2.4890687860912539</v>
      </c>
      <c r="P88" s="277">
        <f ca="1">DSUM($B$67:$AA$68,P$67,$C$76:$D88)</f>
        <v>2.5487247478312312</v>
      </c>
      <c r="Q88" s="277">
        <f ca="1">DSUM($B$67:$AA$68,Q$67,$C$76:$D88)</f>
        <v>2.5938394981719863</v>
      </c>
      <c r="R88" s="277">
        <f ca="1">DSUM($B$67:$AA$68,R$67,$C$76:$D88)</f>
        <v>2.6273833663802693</v>
      </c>
      <c r="S88" s="277">
        <f ca="1">DSUM($B$67:$AA$68,S$67,$C$76:$D88)</f>
        <v>2.6517223045977891</v>
      </c>
      <c r="T88" s="277">
        <f ca="1">DSUM($B$67:$AA$68,T$67,$C$76:$D88)</f>
        <v>2.6687408535916943</v>
      </c>
      <c r="U88" s="277">
        <f ca="1">DSUM($B$67:$AA$68,U$67,$C$76:$D88)</f>
        <v>2.6575895877513078</v>
      </c>
      <c r="V88" s="277">
        <f ca="1">DSUM($B$67:$AA$68,V$67,$C$76:$D88)</f>
        <v>2.6463708462029709</v>
      </c>
      <c r="W88" s="277">
        <f ca="1">DSUM($B$67:$AA$68,W$67,$C$76:$D88)</f>
        <v>2.6351635115271308</v>
      </c>
      <c r="X88" s="277">
        <f ca="1">DSUM($B$67:$AA$68,X$67,$C$76:$D88)</f>
        <v>2.6239969119100048</v>
      </c>
      <c r="Y88" s="278">
        <f ca="1">DSUM($B$67:$Y$68,Y$67,$C$76:$D88)</f>
        <v>8.4133728390346398</v>
      </c>
    </row>
    <row r="89" spans="2:25">
      <c r="B89" s="79" t="s">
        <v>402</v>
      </c>
      <c r="C89" s="276" t="s">
        <v>573</v>
      </c>
      <c r="D89" s="276" t="s">
        <v>574</v>
      </c>
      <c r="E89" s="277">
        <f>DSUM($B$67:$AA$68,E$67,$C$76:$D89)</f>
        <v>0.31228549412738982</v>
      </c>
      <c r="F89" s="277">
        <f ca="1">DSUM($B$67:$AA$68,F$67,$C$76:$D89)</f>
        <v>0.62188382445375068</v>
      </c>
      <c r="G89" s="277">
        <f ca="1">DSUM($B$67:$AA$68,G$67,$C$76:$D89)</f>
        <v>0.92881563204653739</v>
      </c>
      <c r="H89" s="277">
        <f ca="1">DSUM($B$67:$AA$68,H$67,$C$76:$D89)</f>
        <v>1.2331013883133874</v>
      </c>
      <c r="I89" s="277">
        <f ca="1">DSUM($B$67:$AA$68,I$67,$C$76:$D89)</f>
        <v>1.5347613965294968</v>
      </c>
      <c r="J89" s="277">
        <f ca="1">DSUM($B$67:$AA$68,J$67,$C$76:$D89)</f>
        <v>1.8032521967945101</v>
      </c>
      <c r="K89" s="277">
        <f ca="1">DSUM($B$67:$AA$68,K$67,$C$76:$D89)</f>
        <v>2.0146405318645599</v>
      </c>
      <c r="L89" s="277">
        <f ca="1">DSUM($B$67:$AA$68,L$67,$C$76:$D89)</f>
        <v>2.1805566340366038</v>
      </c>
      <c r="M89" s="277">
        <f ca="1">DSUM($B$67:$AA$68,M$67,$C$76:$D89)</f>
        <v>2.310264326470961</v>
      </c>
      <c r="N89" s="277">
        <f ca="1">DSUM($B$67:$AA$68,N$67,$C$76:$D89)</f>
        <v>2.4111425293771238</v>
      </c>
      <c r="O89" s="277">
        <f ca="1">DSUM($B$67:$AA$68,O$67,$C$76:$D89)</f>
        <v>2.4890687860912539</v>
      </c>
      <c r="P89" s="277">
        <f ca="1">DSUM($B$67:$AA$68,P$67,$C$76:$D89)</f>
        <v>2.5487247478312312</v>
      </c>
      <c r="Q89" s="277">
        <f ca="1">DSUM($B$67:$AA$68,Q$67,$C$76:$D89)</f>
        <v>2.5938394981719863</v>
      </c>
      <c r="R89" s="277">
        <f ca="1">DSUM($B$67:$AA$68,R$67,$C$76:$D89)</f>
        <v>2.6273833663802693</v>
      </c>
      <c r="S89" s="277">
        <f ca="1">DSUM($B$67:$AA$68,S$67,$C$76:$D89)</f>
        <v>2.6517223045977891</v>
      </c>
      <c r="T89" s="277">
        <f ca="1">DSUM($B$67:$AA$68,T$67,$C$76:$D89)</f>
        <v>2.6687408535916943</v>
      </c>
      <c r="U89" s="277">
        <f ca="1">DSUM($B$67:$AA$68,U$67,$C$76:$D89)</f>
        <v>2.6575895877513078</v>
      </c>
      <c r="V89" s="277">
        <f ca="1">DSUM($B$67:$AA$68,V$67,$C$76:$D89)</f>
        <v>2.6463708462029709</v>
      </c>
      <c r="W89" s="277">
        <f ca="1">DSUM($B$67:$AA$68,W$67,$C$76:$D89)</f>
        <v>2.6351635115271308</v>
      </c>
      <c r="X89" s="277">
        <f ca="1">DSUM($B$67:$AA$68,X$67,$C$76:$D89)</f>
        <v>2.6239969119100048</v>
      </c>
      <c r="Y89" s="278">
        <f ca="1">DSUM($B$67:$Y$68,Y$67,$C$76:$D89)</f>
        <v>8.4133728390346398</v>
      </c>
    </row>
    <row r="90" spans="2:25">
      <c r="B90" s="79" t="s">
        <v>403</v>
      </c>
      <c r="C90" s="276" t="s">
        <v>575</v>
      </c>
      <c r="D90" s="276" t="s">
        <v>576</v>
      </c>
      <c r="E90" s="277">
        <f>DSUM($B$67:$AA$68,E$67,$C$76:$D90)</f>
        <v>0.31228549412738982</v>
      </c>
      <c r="F90" s="277">
        <f ca="1">DSUM($B$67:$AA$68,F$67,$C$76:$D90)</f>
        <v>0.62188382445375068</v>
      </c>
      <c r="G90" s="277">
        <f ca="1">DSUM($B$67:$AA$68,G$67,$C$76:$D90)</f>
        <v>0.92881563204653739</v>
      </c>
      <c r="H90" s="277">
        <f ca="1">DSUM($B$67:$AA$68,H$67,$C$76:$D90)</f>
        <v>1.2331013883133874</v>
      </c>
      <c r="I90" s="277">
        <f ca="1">DSUM($B$67:$AA$68,I$67,$C$76:$D90)</f>
        <v>1.5347613965294968</v>
      </c>
      <c r="J90" s="277">
        <f ca="1">DSUM($B$67:$AA$68,J$67,$C$76:$D90)</f>
        <v>1.8032521967945101</v>
      </c>
      <c r="K90" s="277">
        <f ca="1">DSUM($B$67:$AA$68,K$67,$C$76:$D90)</f>
        <v>2.0146405318645599</v>
      </c>
      <c r="L90" s="277">
        <f ca="1">DSUM($B$67:$AA$68,L$67,$C$76:$D90)</f>
        <v>2.1805566340366038</v>
      </c>
      <c r="M90" s="277">
        <f ca="1">DSUM($B$67:$AA$68,M$67,$C$76:$D90)</f>
        <v>2.310264326470961</v>
      </c>
      <c r="N90" s="277">
        <f ca="1">DSUM($B$67:$AA$68,N$67,$C$76:$D90)</f>
        <v>2.4111425293771238</v>
      </c>
      <c r="O90" s="277">
        <f ca="1">DSUM($B$67:$AA$68,O$67,$C$76:$D90)</f>
        <v>2.4890687860912539</v>
      </c>
      <c r="P90" s="277">
        <f ca="1">DSUM($B$67:$AA$68,P$67,$C$76:$D90)</f>
        <v>2.5487247478312312</v>
      </c>
      <c r="Q90" s="277">
        <f ca="1">DSUM($B$67:$AA$68,Q$67,$C$76:$D90)</f>
        <v>2.5938394981719863</v>
      </c>
      <c r="R90" s="277">
        <f ca="1">DSUM($B$67:$AA$68,R$67,$C$76:$D90)</f>
        <v>2.6273833663802693</v>
      </c>
      <c r="S90" s="277">
        <f ca="1">DSUM($B$67:$AA$68,S$67,$C$76:$D90)</f>
        <v>2.6517223045977891</v>
      </c>
      <c r="T90" s="277">
        <f ca="1">DSUM($B$67:$AA$68,T$67,$C$76:$D90)</f>
        <v>2.6687408535916943</v>
      </c>
      <c r="U90" s="277">
        <f ca="1">DSUM($B$67:$AA$68,U$67,$C$76:$D90)</f>
        <v>2.6575895877513078</v>
      </c>
      <c r="V90" s="277">
        <f ca="1">DSUM($B$67:$AA$68,V$67,$C$76:$D90)</f>
        <v>2.6463708462029709</v>
      </c>
      <c r="W90" s="277">
        <f ca="1">DSUM($B$67:$AA$68,W$67,$C$76:$D90)</f>
        <v>2.6351635115271308</v>
      </c>
      <c r="X90" s="277">
        <f ca="1">DSUM($B$67:$AA$68,X$67,$C$76:$D90)</f>
        <v>2.6239969119100048</v>
      </c>
      <c r="Y90" s="278">
        <f ca="1">DSUM($B$67:$Y$68,Y$67,$C$76:$D90)</f>
        <v>8.4133728390346398</v>
      </c>
    </row>
    <row r="91" spans="2:25">
      <c r="B91" s="79" t="s">
        <v>404</v>
      </c>
      <c r="C91" s="276" t="s">
        <v>577</v>
      </c>
      <c r="D91" s="276" t="s">
        <v>578</v>
      </c>
      <c r="E91" s="277">
        <f>DSUM($B$67:$AA$68,E$67,$C$76:$D91)</f>
        <v>0.31228549412738982</v>
      </c>
      <c r="F91" s="277">
        <f ca="1">DSUM($B$67:$AA$68,F$67,$C$76:$D91)</f>
        <v>0.62188382445375068</v>
      </c>
      <c r="G91" s="277">
        <f ca="1">DSUM($B$67:$AA$68,G$67,$C$76:$D91)</f>
        <v>0.92881563204653739</v>
      </c>
      <c r="H91" s="277">
        <f ca="1">DSUM($B$67:$AA$68,H$67,$C$76:$D91)</f>
        <v>1.2331013883133874</v>
      </c>
      <c r="I91" s="277">
        <f ca="1">DSUM($B$67:$AA$68,I$67,$C$76:$D91)</f>
        <v>1.5347613965294968</v>
      </c>
      <c r="J91" s="277">
        <f ca="1">DSUM($B$67:$AA$68,J$67,$C$76:$D91)</f>
        <v>1.8032521967945101</v>
      </c>
      <c r="K91" s="277">
        <f ca="1">DSUM($B$67:$AA$68,K$67,$C$76:$D91)</f>
        <v>2.0146405318645599</v>
      </c>
      <c r="L91" s="277">
        <f ca="1">DSUM($B$67:$AA$68,L$67,$C$76:$D91)</f>
        <v>2.1805566340366038</v>
      </c>
      <c r="M91" s="277">
        <f ca="1">DSUM($B$67:$AA$68,M$67,$C$76:$D91)</f>
        <v>2.310264326470961</v>
      </c>
      <c r="N91" s="277">
        <f ca="1">DSUM($B$67:$AA$68,N$67,$C$76:$D91)</f>
        <v>2.4111425293771238</v>
      </c>
      <c r="O91" s="277">
        <f ca="1">DSUM($B$67:$AA$68,O$67,$C$76:$D91)</f>
        <v>2.4890687860912539</v>
      </c>
      <c r="P91" s="277">
        <f ca="1">DSUM($B$67:$AA$68,P$67,$C$76:$D91)</f>
        <v>2.5487247478312312</v>
      </c>
      <c r="Q91" s="277">
        <f ca="1">DSUM($B$67:$AA$68,Q$67,$C$76:$D91)</f>
        <v>2.5938394981719863</v>
      </c>
      <c r="R91" s="277">
        <f ca="1">DSUM($B$67:$AA$68,R$67,$C$76:$D91)</f>
        <v>2.6273833663802693</v>
      </c>
      <c r="S91" s="277">
        <f ca="1">DSUM($B$67:$AA$68,S$67,$C$76:$D91)</f>
        <v>2.6517223045977891</v>
      </c>
      <c r="T91" s="277">
        <f ca="1">DSUM($B$67:$AA$68,T$67,$C$76:$D91)</f>
        <v>2.6687408535916943</v>
      </c>
      <c r="U91" s="277">
        <f ca="1">DSUM($B$67:$AA$68,U$67,$C$76:$D91)</f>
        <v>2.6575895877513078</v>
      </c>
      <c r="V91" s="277">
        <f ca="1">DSUM($B$67:$AA$68,V$67,$C$76:$D91)</f>
        <v>2.6463708462029709</v>
      </c>
      <c r="W91" s="277">
        <f ca="1">DSUM($B$67:$AA$68,W$67,$C$76:$D91)</f>
        <v>2.6351635115271308</v>
      </c>
      <c r="X91" s="277">
        <f ca="1">DSUM($B$67:$AA$68,X$67,$C$76:$D91)</f>
        <v>2.6239969119100048</v>
      </c>
      <c r="Y91" s="278">
        <f ca="1">DSUM($B$67:$Y$68,Y$67,$C$76:$D91)</f>
        <v>8.4133728390346398</v>
      </c>
    </row>
    <row r="92" spans="2:25">
      <c r="B92" s="79" t="s">
        <v>405</v>
      </c>
      <c r="C92" s="276" t="s">
        <v>579</v>
      </c>
      <c r="D92" s="276" t="s">
        <v>580</v>
      </c>
      <c r="E92" s="277">
        <f>DSUM($B$67:$AA$68,E$67,$C$76:$D92)</f>
        <v>0.31228549412738982</v>
      </c>
      <c r="F92" s="277">
        <f ca="1">DSUM($B$67:$AA$68,F$67,$C$76:$D92)</f>
        <v>0.62188382445375068</v>
      </c>
      <c r="G92" s="277">
        <f ca="1">DSUM($B$67:$AA$68,G$67,$C$76:$D92)</f>
        <v>0.92881563204653739</v>
      </c>
      <c r="H92" s="277">
        <f ca="1">DSUM($B$67:$AA$68,H$67,$C$76:$D92)</f>
        <v>1.2331013883133874</v>
      </c>
      <c r="I92" s="277">
        <f ca="1">DSUM($B$67:$AA$68,I$67,$C$76:$D92)</f>
        <v>1.5347613965294968</v>
      </c>
      <c r="J92" s="277">
        <f ca="1">DSUM($B$67:$AA$68,J$67,$C$76:$D92)</f>
        <v>1.8032521967945101</v>
      </c>
      <c r="K92" s="277">
        <f ca="1">DSUM($B$67:$AA$68,K$67,$C$76:$D92)</f>
        <v>2.0146405318645599</v>
      </c>
      <c r="L92" s="277">
        <f ca="1">DSUM($B$67:$AA$68,L$67,$C$76:$D92)</f>
        <v>2.1805566340366038</v>
      </c>
      <c r="M92" s="277">
        <f ca="1">DSUM($B$67:$AA$68,M$67,$C$76:$D92)</f>
        <v>2.310264326470961</v>
      </c>
      <c r="N92" s="277">
        <f ca="1">DSUM($B$67:$AA$68,N$67,$C$76:$D92)</f>
        <v>2.4111425293771238</v>
      </c>
      <c r="O92" s="277">
        <f ca="1">DSUM($B$67:$AA$68,O$67,$C$76:$D92)</f>
        <v>2.4890687860912539</v>
      </c>
      <c r="P92" s="277">
        <f ca="1">DSUM($B$67:$AA$68,P$67,$C$76:$D92)</f>
        <v>2.5487247478312312</v>
      </c>
      <c r="Q92" s="277">
        <f ca="1">DSUM($B$67:$AA$68,Q$67,$C$76:$D92)</f>
        <v>2.5938394981719863</v>
      </c>
      <c r="R92" s="277">
        <f ca="1">DSUM($B$67:$AA$68,R$67,$C$76:$D92)</f>
        <v>2.6273833663802693</v>
      </c>
      <c r="S92" s="277">
        <f ca="1">DSUM($B$67:$AA$68,S$67,$C$76:$D92)</f>
        <v>2.6517223045977891</v>
      </c>
      <c r="T92" s="277">
        <f ca="1">DSUM($B$67:$AA$68,T$67,$C$76:$D92)</f>
        <v>2.6687408535916943</v>
      </c>
      <c r="U92" s="277">
        <f ca="1">DSUM($B$67:$AA$68,U$67,$C$76:$D92)</f>
        <v>2.6575895877513078</v>
      </c>
      <c r="V92" s="277">
        <f ca="1">DSUM($B$67:$AA$68,V$67,$C$76:$D92)</f>
        <v>2.6463708462029709</v>
      </c>
      <c r="W92" s="277">
        <f ca="1">DSUM($B$67:$AA$68,W$67,$C$76:$D92)</f>
        <v>2.6351635115271308</v>
      </c>
      <c r="X92" s="277">
        <f ca="1">DSUM($B$67:$AA$68,X$67,$C$76:$D92)</f>
        <v>2.6239969119100048</v>
      </c>
      <c r="Y92" s="278">
        <f ca="1">DSUM($B$67:$Y$68,Y$67,$C$76:$D92)</f>
        <v>8.4133728390346398</v>
      </c>
    </row>
    <row r="93" spans="2:25">
      <c r="B93" s="79" t="s">
        <v>406</v>
      </c>
      <c r="C93" s="276" t="s">
        <v>581</v>
      </c>
      <c r="D93" s="276" t="s">
        <v>582</v>
      </c>
      <c r="E93" s="277">
        <f>DSUM($B$67:$AA$68,E$67,$C$76:$D93)</f>
        <v>0.31228549412738982</v>
      </c>
      <c r="F93" s="277">
        <f ca="1">DSUM($B$67:$AA$68,F$67,$C$76:$D93)</f>
        <v>0.62188382445375068</v>
      </c>
      <c r="G93" s="277">
        <f ca="1">DSUM($B$67:$AA$68,G$67,$C$76:$D93)</f>
        <v>0.92881563204653739</v>
      </c>
      <c r="H93" s="277">
        <f ca="1">DSUM($B$67:$AA$68,H$67,$C$76:$D93)</f>
        <v>1.2331013883133874</v>
      </c>
      <c r="I93" s="277">
        <f ca="1">DSUM($B$67:$AA$68,I$67,$C$76:$D93)</f>
        <v>1.5347613965294968</v>
      </c>
      <c r="J93" s="277">
        <f ca="1">DSUM($B$67:$AA$68,J$67,$C$76:$D93)</f>
        <v>1.8032521967945101</v>
      </c>
      <c r="K93" s="277">
        <f ca="1">DSUM($B$67:$AA$68,K$67,$C$76:$D93)</f>
        <v>2.0146405318645599</v>
      </c>
      <c r="L93" s="277">
        <f ca="1">DSUM($B$67:$AA$68,L$67,$C$76:$D93)</f>
        <v>2.1805566340366038</v>
      </c>
      <c r="M93" s="277">
        <f ca="1">DSUM($B$67:$AA$68,M$67,$C$76:$D93)</f>
        <v>2.310264326470961</v>
      </c>
      <c r="N93" s="277">
        <f ca="1">DSUM($B$67:$AA$68,N$67,$C$76:$D93)</f>
        <v>2.4111425293771238</v>
      </c>
      <c r="O93" s="277">
        <f ca="1">DSUM($B$67:$AA$68,O$67,$C$76:$D93)</f>
        <v>2.4890687860912539</v>
      </c>
      <c r="P93" s="277">
        <f ca="1">DSUM($B$67:$AA$68,P$67,$C$76:$D93)</f>
        <v>2.5487247478312312</v>
      </c>
      <c r="Q93" s="277">
        <f ca="1">DSUM($B$67:$AA$68,Q$67,$C$76:$D93)</f>
        <v>2.5938394981719863</v>
      </c>
      <c r="R93" s="277">
        <f ca="1">DSUM($B$67:$AA$68,R$67,$C$76:$D93)</f>
        <v>2.6273833663802693</v>
      </c>
      <c r="S93" s="277">
        <f ca="1">DSUM($B$67:$AA$68,S$67,$C$76:$D93)</f>
        <v>2.6517223045977891</v>
      </c>
      <c r="T93" s="277">
        <f ca="1">DSUM($B$67:$AA$68,T$67,$C$76:$D93)</f>
        <v>2.6687408535916943</v>
      </c>
      <c r="U93" s="277">
        <f ca="1">DSUM($B$67:$AA$68,U$67,$C$76:$D93)</f>
        <v>2.6575895877513078</v>
      </c>
      <c r="V93" s="277">
        <f ca="1">DSUM($B$67:$AA$68,V$67,$C$76:$D93)</f>
        <v>2.6463708462029709</v>
      </c>
      <c r="W93" s="277">
        <f ca="1">DSUM($B$67:$AA$68,W$67,$C$76:$D93)</f>
        <v>2.6351635115271308</v>
      </c>
      <c r="X93" s="277">
        <f ca="1">DSUM($B$67:$AA$68,X$67,$C$76:$D93)</f>
        <v>2.6239969119100048</v>
      </c>
      <c r="Y93" s="278">
        <f ca="1">DSUM($B$67:$Y$68,Y$67,$C$76:$D93)</f>
        <v>8.4133728390346398</v>
      </c>
    </row>
    <row r="94" spans="2:25">
      <c r="B94" s="79" t="s">
        <v>407</v>
      </c>
      <c r="C94" s="276" t="s">
        <v>583</v>
      </c>
      <c r="D94" s="276" t="s">
        <v>584</v>
      </c>
      <c r="E94" s="277">
        <f>DSUM($B$67:$AA$68,E$67,$C$76:$D94)</f>
        <v>0.31228549412738982</v>
      </c>
      <c r="F94" s="277">
        <f ca="1">DSUM($B$67:$AA$68,F$67,$C$76:$D94)</f>
        <v>0.62188382445375068</v>
      </c>
      <c r="G94" s="277">
        <f ca="1">DSUM($B$67:$AA$68,G$67,$C$76:$D94)</f>
        <v>0.92881563204653739</v>
      </c>
      <c r="H94" s="277">
        <f ca="1">DSUM($B$67:$AA$68,H$67,$C$76:$D94)</f>
        <v>1.2331013883133874</v>
      </c>
      <c r="I94" s="277">
        <f ca="1">DSUM($B$67:$AA$68,I$67,$C$76:$D94)</f>
        <v>1.5347613965294968</v>
      </c>
      <c r="J94" s="277">
        <f ca="1">DSUM($B$67:$AA$68,J$67,$C$76:$D94)</f>
        <v>1.8032521967945101</v>
      </c>
      <c r="K94" s="277">
        <f ca="1">DSUM($B$67:$AA$68,K$67,$C$76:$D94)</f>
        <v>2.0146405318645599</v>
      </c>
      <c r="L94" s="277">
        <f ca="1">DSUM($B$67:$AA$68,L$67,$C$76:$D94)</f>
        <v>2.1805566340366038</v>
      </c>
      <c r="M94" s="277">
        <f ca="1">DSUM($B$67:$AA$68,M$67,$C$76:$D94)</f>
        <v>2.310264326470961</v>
      </c>
      <c r="N94" s="277">
        <f ca="1">DSUM($B$67:$AA$68,N$67,$C$76:$D94)</f>
        <v>2.4111425293771238</v>
      </c>
      <c r="O94" s="277">
        <f ca="1">DSUM($B$67:$AA$68,O$67,$C$76:$D94)</f>
        <v>2.4890687860912539</v>
      </c>
      <c r="P94" s="277">
        <f ca="1">DSUM($B$67:$AA$68,P$67,$C$76:$D94)</f>
        <v>2.5487247478312312</v>
      </c>
      <c r="Q94" s="277">
        <f ca="1">DSUM($B$67:$AA$68,Q$67,$C$76:$D94)</f>
        <v>2.5938394981719863</v>
      </c>
      <c r="R94" s="277">
        <f ca="1">DSUM($B$67:$AA$68,R$67,$C$76:$D94)</f>
        <v>2.6273833663802693</v>
      </c>
      <c r="S94" s="277">
        <f ca="1">DSUM($B$67:$AA$68,S$67,$C$76:$D94)</f>
        <v>2.6517223045977891</v>
      </c>
      <c r="T94" s="277">
        <f ca="1">DSUM($B$67:$AA$68,T$67,$C$76:$D94)</f>
        <v>2.6687408535916943</v>
      </c>
      <c r="U94" s="277">
        <f ca="1">DSUM($B$67:$AA$68,U$67,$C$76:$D94)</f>
        <v>2.6575895877513078</v>
      </c>
      <c r="V94" s="277">
        <f ca="1">DSUM($B$67:$AA$68,V$67,$C$76:$D94)</f>
        <v>2.6463708462029709</v>
      </c>
      <c r="W94" s="277">
        <f ca="1">DSUM($B$67:$AA$68,W$67,$C$76:$D94)</f>
        <v>2.6351635115271308</v>
      </c>
      <c r="X94" s="277">
        <f ca="1">DSUM($B$67:$AA$68,X$67,$C$76:$D94)</f>
        <v>2.6239969119100048</v>
      </c>
      <c r="Y94" s="278">
        <f ca="1">DSUM($B$67:$Y$68,Y$67,$C$76:$D94)</f>
        <v>8.4133728390346398</v>
      </c>
    </row>
    <row r="95" spans="2:25">
      <c r="B95" s="79" t="s">
        <v>408</v>
      </c>
      <c r="C95" s="276" t="s">
        <v>585</v>
      </c>
      <c r="D95" s="276" t="s">
        <v>586</v>
      </c>
      <c r="E95" s="277">
        <f>DSUM($B$67:$AA$68,E$67,$C$76:$D95)</f>
        <v>0.31228549412738982</v>
      </c>
      <c r="F95" s="277">
        <f ca="1">DSUM($B$67:$AA$68,F$67,$C$76:$D95)</f>
        <v>0.62188382445375068</v>
      </c>
      <c r="G95" s="277">
        <f ca="1">DSUM($B$67:$AA$68,G$67,$C$76:$D95)</f>
        <v>0.92881563204653739</v>
      </c>
      <c r="H95" s="277">
        <f ca="1">DSUM($B$67:$AA$68,H$67,$C$76:$D95)</f>
        <v>1.2331013883133874</v>
      </c>
      <c r="I95" s="277">
        <f ca="1">DSUM($B$67:$AA$68,I$67,$C$76:$D95)</f>
        <v>1.5347613965294968</v>
      </c>
      <c r="J95" s="277">
        <f ca="1">DSUM($B$67:$AA$68,J$67,$C$76:$D95)</f>
        <v>1.8032521967945101</v>
      </c>
      <c r="K95" s="277">
        <f ca="1">DSUM($B$67:$AA$68,K$67,$C$76:$D95)</f>
        <v>2.0146405318645599</v>
      </c>
      <c r="L95" s="277">
        <f ca="1">DSUM($B$67:$AA$68,L$67,$C$76:$D95)</f>
        <v>2.1805566340366038</v>
      </c>
      <c r="M95" s="277">
        <f ca="1">DSUM($B$67:$AA$68,M$67,$C$76:$D95)</f>
        <v>2.310264326470961</v>
      </c>
      <c r="N95" s="277">
        <f ca="1">DSUM($B$67:$AA$68,N$67,$C$76:$D95)</f>
        <v>2.4111425293771238</v>
      </c>
      <c r="O95" s="277">
        <f ca="1">DSUM($B$67:$AA$68,O$67,$C$76:$D95)</f>
        <v>2.4890687860912539</v>
      </c>
      <c r="P95" s="277">
        <f ca="1">DSUM($B$67:$AA$68,P$67,$C$76:$D95)</f>
        <v>2.5487247478312312</v>
      </c>
      <c r="Q95" s="277">
        <f ca="1">DSUM($B$67:$AA$68,Q$67,$C$76:$D95)</f>
        <v>2.5938394981719863</v>
      </c>
      <c r="R95" s="277">
        <f ca="1">DSUM($B$67:$AA$68,R$67,$C$76:$D95)</f>
        <v>2.6273833663802693</v>
      </c>
      <c r="S95" s="277">
        <f ca="1">DSUM($B$67:$AA$68,S$67,$C$76:$D95)</f>
        <v>2.6517223045977891</v>
      </c>
      <c r="T95" s="277">
        <f ca="1">DSUM($B$67:$AA$68,T$67,$C$76:$D95)</f>
        <v>2.6687408535916943</v>
      </c>
      <c r="U95" s="277">
        <f ca="1">DSUM($B$67:$AA$68,U$67,$C$76:$D95)</f>
        <v>2.6575895877513078</v>
      </c>
      <c r="V95" s="277">
        <f ca="1">DSUM($B$67:$AA$68,V$67,$C$76:$D95)</f>
        <v>2.6463708462029709</v>
      </c>
      <c r="W95" s="277">
        <f ca="1">DSUM($B$67:$AA$68,W$67,$C$76:$D95)</f>
        <v>2.6351635115271308</v>
      </c>
      <c r="X95" s="277">
        <f ca="1">DSUM($B$67:$AA$68,X$67,$C$76:$D95)</f>
        <v>2.6239969119100048</v>
      </c>
      <c r="Y95" s="278">
        <f ca="1">DSUM($B$67:$Y$68,Y$67,$C$76:$D95)</f>
        <v>8.4133728390346398</v>
      </c>
    </row>
    <row r="96" spans="2:25">
      <c r="B96" s="79" t="s">
        <v>409</v>
      </c>
      <c r="C96" s="276" t="s">
        <v>587</v>
      </c>
      <c r="D96" s="276" t="s">
        <v>588</v>
      </c>
      <c r="E96" s="277">
        <f>DSUM($B$67:$AA$68,E$67,$C$76:$D96)</f>
        <v>0.31228549412738982</v>
      </c>
      <c r="F96" s="277">
        <f ca="1">DSUM($B$67:$AA$68,F$67,$C$76:$D96)</f>
        <v>0.62188382445375068</v>
      </c>
      <c r="G96" s="277">
        <f ca="1">DSUM($B$67:$AA$68,G$67,$C$76:$D96)</f>
        <v>0.92881563204653739</v>
      </c>
      <c r="H96" s="277">
        <f ca="1">DSUM($B$67:$AA$68,H$67,$C$76:$D96)</f>
        <v>1.2331013883133874</v>
      </c>
      <c r="I96" s="277">
        <f ca="1">DSUM($B$67:$AA$68,I$67,$C$76:$D96)</f>
        <v>1.5347613965294968</v>
      </c>
      <c r="J96" s="277">
        <f ca="1">DSUM($B$67:$AA$68,J$67,$C$76:$D96)</f>
        <v>1.8032521967945101</v>
      </c>
      <c r="K96" s="277">
        <f ca="1">DSUM($B$67:$AA$68,K$67,$C$76:$D96)</f>
        <v>2.0146405318645599</v>
      </c>
      <c r="L96" s="277">
        <f ca="1">DSUM($B$67:$AA$68,L$67,$C$76:$D96)</f>
        <v>2.1805566340366038</v>
      </c>
      <c r="M96" s="277">
        <f ca="1">DSUM($B$67:$AA$68,M$67,$C$76:$D96)</f>
        <v>2.310264326470961</v>
      </c>
      <c r="N96" s="277">
        <f ca="1">DSUM($B$67:$AA$68,N$67,$C$76:$D96)</f>
        <v>2.4111425293771238</v>
      </c>
      <c r="O96" s="277">
        <f ca="1">DSUM($B$67:$AA$68,O$67,$C$76:$D96)</f>
        <v>2.4890687860912539</v>
      </c>
      <c r="P96" s="277">
        <f ca="1">DSUM($B$67:$AA$68,P$67,$C$76:$D96)</f>
        <v>2.5487247478312312</v>
      </c>
      <c r="Q96" s="277">
        <f ca="1">DSUM($B$67:$AA$68,Q$67,$C$76:$D96)</f>
        <v>2.5938394981719863</v>
      </c>
      <c r="R96" s="277">
        <f ca="1">DSUM($B$67:$AA$68,R$67,$C$76:$D96)</f>
        <v>2.6273833663802693</v>
      </c>
      <c r="S96" s="277">
        <f ca="1">DSUM($B$67:$AA$68,S$67,$C$76:$D96)</f>
        <v>2.6517223045977891</v>
      </c>
      <c r="T96" s="277">
        <f ca="1">DSUM($B$67:$AA$68,T$67,$C$76:$D96)</f>
        <v>2.6687408535916943</v>
      </c>
      <c r="U96" s="277">
        <f ca="1">DSUM($B$67:$AA$68,U$67,$C$76:$D96)</f>
        <v>2.6575895877513078</v>
      </c>
      <c r="V96" s="277">
        <f ca="1">DSUM($B$67:$AA$68,V$67,$C$76:$D96)</f>
        <v>2.6463708462029709</v>
      </c>
      <c r="W96" s="277">
        <f ca="1">DSUM($B$67:$AA$68,W$67,$C$76:$D96)</f>
        <v>2.6351635115271308</v>
      </c>
      <c r="X96" s="277">
        <f ca="1">DSUM($B$67:$AA$68,X$67,$C$76:$D96)</f>
        <v>2.6239969119100048</v>
      </c>
      <c r="Y96" s="278">
        <f ca="1">DSUM($B$67:$Y$68,Y$67,$C$76:$D96)</f>
        <v>8.4133728390346398</v>
      </c>
    </row>
    <row r="97" spans="1:26">
      <c r="B97" s="79" t="s">
        <v>410</v>
      </c>
      <c r="C97" s="276" t="s">
        <v>589</v>
      </c>
      <c r="D97" s="276" t="s">
        <v>590</v>
      </c>
      <c r="E97" s="277">
        <f>DSUM($B$67:$AA$68,E$67,$C$76:$D97)</f>
        <v>0.31228549412738982</v>
      </c>
      <c r="F97" s="277">
        <f ca="1">DSUM($B$67:$AA$68,F$67,$C$76:$D97)</f>
        <v>0.62188382445375068</v>
      </c>
      <c r="G97" s="277">
        <f ca="1">DSUM($B$67:$AA$68,G$67,$C$76:$D97)</f>
        <v>0.92881563204653739</v>
      </c>
      <c r="H97" s="277">
        <f ca="1">DSUM($B$67:$AA$68,H$67,$C$76:$D97)</f>
        <v>1.2331013883133874</v>
      </c>
      <c r="I97" s="277">
        <f ca="1">DSUM($B$67:$AA$68,I$67,$C$76:$D97)</f>
        <v>1.5347613965294968</v>
      </c>
      <c r="J97" s="277">
        <f ca="1">DSUM($B$67:$AA$68,J$67,$C$76:$D97)</f>
        <v>1.8032521967945101</v>
      </c>
      <c r="K97" s="277">
        <f ca="1">DSUM($B$67:$AA$68,K$67,$C$76:$D97)</f>
        <v>2.0146405318645599</v>
      </c>
      <c r="L97" s="277">
        <f ca="1">DSUM($B$67:$AA$68,L$67,$C$76:$D97)</f>
        <v>2.1805566340366038</v>
      </c>
      <c r="M97" s="277">
        <f ca="1">DSUM($B$67:$AA$68,M$67,$C$76:$D97)</f>
        <v>2.310264326470961</v>
      </c>
      <c r="N97" s="277">
        <f ca="1">DSUM($B$67:$AA$68,N$67,$C$76:$D97)</f>
        <v>2.4111425293771238</v>
      </c>
      <c r="O97" s="277">
        <f ca="1">DSUM($B$67:$AA$68,O$67,$C$76:$D97)</f>
        <v>2.4890687860912539</v>
      </c>
      <c r="P97" s="277">
        <f ca="1">DSUM($B$67:$AA$68,P$67,$C$76:$D97)</f>
        <v>2.5487247478312312</v>
      </c>
      <c r="Q97" s="277">
        <f ca="1">DSUM($B$67:$AA$68,Q$67,$C$76:$D97)</f>
        <v>2.5938394981719863</v>
      </c>
      <c r="R97" s="277">
        <f ca="1">DSUM($B$67:$AA$68,R$67,$C$76:$D97)</f>
        <v>2.6273833663802693</v>
      </c>
      <c r="S97" s="277">
        <f ca="1">DSUM($B$67:$AA$68,S$67,$C$76:$D97)</f>
        <v>2.6517223045977891</v>
      </c>
      <c r="T97" s="277">
        <f ca="1">DSUM($B$67:$AA$68,T$67,$C$76:$D97)</f>
        <v>2.6687408535916943</v>
      </c>
      <c r="U97" s="277">
        <f ca="1">DSUM($B$67:$AA$68,U$67,$C$76:$D97)</f>
        <v>2.6575895877513078</v>
      </c>
      <c r="V97" s="277">
        <f ca="1">DSUM($B$67:$AA$68,V$67,$C$76:$D97)</f>
        <v>2.6463708462029709</v>
      </c>
      <c r="W97" s="277">
        <f ca="1">DSUM($B$67:$AA$68,W$67,$C$76:$D97)</f>
        <v>2.6351635115271308</v>
      </c>
      <c r="X97" s="277">
        <f ca="1">DSUM($B$67:$AA$68,X$67,$C$76:$D97)</f>
        <v>2.6239969119100048</v>
      </c>
      <c r="Y97" s="278">
        <f ca="1">DSUM($B$67:$Y$68,Y$67,$C$76:$D97)</f>
        <v>8.4133728390346398</v>
      </c>
    </row>
    <row r="98" spans="1:26">
      <c r="B98" s="79" t="s">
        <v>591</v>
      </c>
      <c r="C98" s="276" t="s">
        <v>592</v>
      </c>
      <c r="D98" s="276" t="s">
        <v>593</v>
      </c>
      <c r="E98" s="277">
        <f>DSUM($B$67:$AA$68,E$67,$C$76:$D98)</f>
        <v>0.31228549412738982</v>
      </c>
      <c r="F98" s="277">
        <f ca="1">DSUM($B$67:$AA$68,F$67,$C$76:$D98)</f>
        <v>0.62188382445375068</v>
      </c>
      <c r="G98" s="277">
        <f ca="1">DSUM($B$67:$AA$68,G$67,$C$76:$D98)</f>
        <v>0.92881563204653739</v>
      </c>
      <c r="H98" s="277">
        <f ca="1">DSUM($B$67:$AA$68,H$67,$C$76:$D98)</f>
        <v>1.2331013883133874</v>
      </c>
      <c r="I98" s="277">
        <f ca="1">DSUM($B$67:$AA$68,I$67,$C$76:$D98)</f>
        <v>1.5347613965294968</v>
      </c>
      <c r="J98" s="277">
        <f ca="1">DSUM($B$67:$AA$68,J$67,$C$76:$D98)</f>
        <v>1.8032521967945101</v>
      </c>
      <c r="K98" s="277">
        <f ca="1">DSUM($B$67:$AA$68,K$67,$C$76:$D98)</f>
        <v>2.0146405318645599</v>
      </c>
      <c r="L98" s="277">
        <f ca="1">DSUM($B$67:$AA$68,L$67,$C$76:$D98)</f>
        <v>2.1805566340366038</v>
      </c>
      <c r="M98" s="277">
        <f ca="1">DSUM($B$67:$AA$68,M$67,$C$76:$D98)</f>
        <v>2.310264326470961</v>
      </c>
      <c r="N98" s="277">
        <f ca="1">DSUM($B$67:$AA$68,N$67,$C$76:$D98)</f>
        <v>2.4111425293771238</v>
      </c>
      <c r="O98" s="277">
        <f ca="1">DSUM($B$67:$AA$68,O$67,$C$76:$D98)</f>
        <v>2.4890687860912539</v>
      </c>
      <c r="P98" s="277">
        <f ca="1">DSUM($B$67:$AA$68,P$67,$C$76:$D98)</f>
        <v>2.5487247478312312</v>
      </c>
      <c r="Q98" s="277">
        <f ca="1">DSUM($B$67:$AA$68,Q$67,$C$76:$D98)</f>
        <v>2.5938394981719863</v>
      </c>
      <c r="R98" s="277">
        <f ca="1">DSUM($B$67:$AA$68,R$67,$C$76:$D98)</f>
        <v>2.6273833663802693</v>
      </c>
      <c r="S98" s="277">
        <f ca="1">DSUM($B$67:$AA$68,S$67,$C$76:$D98)</f>
        <v>2.6517223045977891</v>
      </c>
      <c r="T98" s="277">
        <f ca="1">DSUM($B$67:$AA$68,T$67,$C$76:$D98)</f>
        <v>2.6687408535916943</v>
      </c>
      <c r="U98" s="277">
        <f ca="1">DSUM($B$67:$AA$68,U$67,$C$76:$D98)</f>
        <v>2.6575895877513078</v>
      </c>
      <c r="V98" s="277">
        <f ca="1">DSUM($B$67:$AA$68,V$67,$C$76:$D98)</f>
        <v>2.6463708462029709</v>
      </c>
      <c r="W98" s="277">
        <f ca="1">DSUM($B$67:$AA$68,W$67,$C$76:$D98)</f>
        <v>2.6351635115271308</v>
      </c>
      <c r="X98" s="277">
        <f ca="1">DSUM($B$67:$AA$68,X$67,$C$76:$D98)</f>
        <v>2.6239969119100048</v>
      </c>
      <c r="Y98" s="278">
        <f ca="1">DSUM($B$67:$Y$68,Y$67,$C$76:$D98)</f>
        <v>8.4133728390346398</v>
      </c>
    </row>
    <row r="99" spans="1:26">
      <c r="B99" s="79" t="s">
        <v>594</v>
      </c>
      <c r="C99" s="276" t="s">
        <v>595</v>
      </c>
      <c r="D99" s="276" t="s">
        <v>596</v>
      </c>
      <c r="E99" s="277">
        <f>DSUM($B$67:$AA$68,E$67,$C$76:$D99)</f>
        <v>0.31228549412738982</v>
      </c>
      <c r="F99" s="277">
        <f ca="1">DSUM($B$67:$AA$68,F$67,$C$76:$D99)</f>
        <v>0.62188382445375068</v>
      </c>
      <c r="G99" s="277">
        <f ca="1">DSUM($B$67:$AA$68,G$67,$C$76:$D99)</f>
        <v>0.92881563204653739</v>
      </c>
      <c r="H99" s="277">
        <f ca="1">DSUM($B$67:$AA$68,H$67,$C$76:$D99)</f>
        <v>1.2331013883133874</v>
      </c>
      <c r="I99" s="277">
        <f ca="1">DSUM($B$67:$AA$68,I$67,$C$76:$D99)</f>
        <v>1.5347613965294968</v>
      </c>
      <c r="J99" s="277">
        <f ca="1">DSUM($B$67:$AA$68,J$67,$C$76:$D99)</f>
        <v>1.8032521967945101</v>
      </c>
      <c r="K99" s="277">
        <f ca="1">DSUM($B$67:$AA$68,K$67,$C$76:$D99)</f>
        <v>2.0146405318645599</v>
      </c>
      <c r="L99" s="277">
        <f ca="1">DSUM($B$67:$AA$68,L$67,$C$76:$D99)</f>
        <v>2.1805566340366038</v>
      </c>
      <c r="M99" s="277">
        <f ca="1">DSUM($B$67:$AA$68,M$67,$C$76:$D99)</f>
        <v>2.310264326470961</v>
      </c>
      <c r="N99" s="277">
        <f ca="1">DSUM($B$67:$AA$68,N$67,$C$76:$D99)</f>
        <v>2.4111425293771238</v>
      </c>
      <c r="O99" s="277">
        <f ca="1">DSUM($B$67:$AA$68,O$67,$C$76:$D99)</f>
        <v>2.4890687860912539</v>
      </c>
      <c r="P99" s="277">
        <f ca="1">DSUM($B$67:$AA$68,P$67,$C$76:$D99)</f>
        <v>2.5487247478312312</v>
      </c>
      <c r="Q99" s="277">
        <f ca="1">DSUM($B$67:$AA$68,Q$67,$C$76:$D99)</f>
        <v>2.5938394981719863</v>
      </c>
      <c r="R99" s="277">
        <f ca="1">DSUM($B$67:$AA$68,R$67,$C$76:$D99)</f>
        <v>2.6273833663802693</v>
      </c>
      <c r="S99" s="277">
        <f ca="1">DSUM($B$67:$AA$68,S$67,$C$76:$D99)</f>
        <v>2.6517223045977891</v>
      </c>
      <c r="T99" s="277">
        <f ca="1">DSUM($B$67:$AA$68,T$67,$C$76:$D99)</f>
        <v>2.6687408535916943</v>
      </c>
      <c r="U99" s="277">
        <f ca="1">DSUM($B$67:$AA$68,U$67,$C$76:$D99)</f>
        <v>2.6575895877513078</v>
      </c>
      <c r="V99" s="277">
        <f ca="1">DSUM($B$67:$AA$68,V$67,$C$76:$D99)</f>
        <v>2.6463708462029709</v>
      </c>
      <c r="W99" s="277">
        <f ca="1">DSUM($B$67:$AA$68,W$67,$C$76:$D99)</f>
        <v>2.6351635115271308</v>
      </c>
      <c r="X99" s="277">
        <f ca="1">DSUM($B$67:$AA$68,X$67,$C$76:$D99)</f>
        <v>2.6239969119100048</v>
      </c>
      <c r="Y99" s="278">
        <f ca="1">DSUM($B$67:$Y$68,Y$67,$C$76:$D99)</f>
        <v>8.4133728390346398</v>
      </c>
    </row>
    <row r="100" spans="1:26">
      <c r="B100" s="79" t="s">
        <v>597</v>
      </c>
      <c r="C100" s="276" t="s">
        <v>598</v>
      </c>
      <c r="D100" s="276" t="s">
        <v>599</v>
      </c>
      <c r="E100" s="277">
        <f>DSUM($B$67:$AA$68,E$67,$C$76:$D100)</f>
        <v>0.31228549412738982</v>
      </c>
      <c r="F100" s="277">
        <f ca="1">DSUM($B$67:$AA$68,F$67,$C$76:$D100)</f>
        <v>0.62188382445375068</v>
      </c>
      <c r="G100" s="277">
        <f ca="1">DSUM($B$67:$AA$68,G$67,$C$76:$D100)</f>
        <v>0.92881563204653739</v>
      </c>
      <c r="H100" s="277">
        <f ca="1">DSUM($B$67:$AA$68,H$67,$C$76:$D100)</f>
        <v>1.2331013883133874</v>
      </c>
      <c r="I100" s="277">
        <f ca="1">DSUM($B$67:$AA$68,I$67,$C$76:$D100)</f>
        <v>1.5347613965294968</v>
      </c>
      <c r="J100" s="277">
        <f ca="1">DSUM($B$67:$AA$68,J$67,$C$76:$D100)</f>
        <v>1.8032521967945101</v>
      </c>
      <c r="K100" s="277">
        <f ca="1">DSUM($B$67:$AA$68,K$67,$C$76:$D100)</f>
        <v>2.0146405318645599</v>
      </c>
      <c r="L100" s="277">
        <f ca="1">DSUM($B$67:$AA$68,L$67,$C$76:$D100)</f>
        <v>2.1805566340366038</v>
      </c>
      <c r="M100" s="277">
        <f ca="1">DSUM($B$67:$AA$68,M$67,$C$76:$D100)</f>
        <v>2.310264326470961</v>
      </c>
      <c r="N100" s="277">
        <f ca="1">DSUM($B$67:$AA$68,N$67,$C$76:$D100)</f>
        <v>2.4111425293771238</v>
      </c>
      <c r="O100" s="277">
        <f ca="1">DSUM($B$67:$AA$68,O$67,$C$76:$D100)</f>
        <v>2.4890687860912539</v>
      </c>
      <c r="P100" s="277">
        <f ca="1">DSUM($B$67:$AA$68,P$67,$C$76:$D100)</f>
        <v>2.5487247478312312</v>
      </c>
      <c r="Q100" s="277">
        <f ca="1">DSUM($B$67:$AA$68,Q$67,$C$76:$D100)</f>
        <v>2.5938394981719863</v>
      </c>
      <c r="R100" s="277">
        <f ca="1">DSUM($B$67:$AA$68,R$67,$C$76:$D100)</f>
        <v>2.6273833663802693</v>
      </c>
      <c r="S100" s="277">
        <f ca="1">DSUM($B$67:$AA$68,S$67,$C$76:$D100)</f>
        <v>2.6517223045977891</v>
      </c>
      <c r="T100" s="277">
        <f ca="1">DSUM($B$67:$AA$68,T$67,$C$76:$D100)</f>
        <v>2.6687408535916943</v>
      </c>
      <c r="U100" s="277">
        <f ca="1">DSUM($B$67:$AA$68,U$67,$C$76:$D100)</f>
        <v>2.6575895877513078</v>
      </c>
      <c r="V100" s="277">
        <f ca="1">DSUM($B$67:$AA$68,V$67,$C$76:$D100)</f>
        <v>2.6463708462029709</v>
      </c>
      <c r="W100" s="277">
        <f ca="1">DSUM($B$67:$AA$68,W$67,$C$76:$D100)</f>
        <v>2.6351635115271308</v>
      </c>
      <c r="X100" s="277">
        <f ca="1">DSUM($B$67:$AA$68,X$67,$C$76:$D100)</f>
        <v>2.6239969119100048</v>
      </c>
      <c r="Y100" s="278">
        <f ca="1">DSUM($B$67:$Y$68,Y$67,$C$76:$D100)</f>
        <v>8.4133728390346398</v>
      </c>
    </row>
    <row r="101" spans="1:26">
      <c r="B101" s="79" t="s">
        <v>600</v>
      </c>
      <c r="C101" s="276" t="s">
        <v>601</v>
      </c>
      <c r="D101" s="276" t="s">
        <v>602</v>
      </c>
      <c r="E101" s="277">
        <f>DSUM($B$67:$AA$68,E$67,$C$76:$D101)</f>
        <v>0.31228549412738982</v>
      </c>
      <c r="F101" s="277">
        <f ca="1">DSUM($B$67:$AA$68,F$67,$C$76:$D101)</f>
        <v>0.62188382445375068</v>
      </c>
      <c r="G101" s="277">
        <f ca="1">DSUM($B$67:$AA$68,G$67,$C$76:$D101)</f>
        <v>0.92881563204653739</v>
      </c>
      <c r="H101" s="277">
        <f ca="1">DSUM($B$67:$AA$68,H$67,$C$76:$D101)</f>
        <v>1.2331013883133874</v>
      </c>
      <c r="I101" s="277">
        <f ca="1">DSUM($B$67:$AA$68,I$67,$C$76:$D101)</f>
        <v>1.5347613965294968</v>
      </c>
      <c r="J101" s="277">
        <f ca="1">DSUM($B$67:$AA$68,J$67,$C$76:$D101)</f>
        <v>1.8032521967945101</v>
      </c>
      <c r="K101" s="277">
        <f ca="1">DSUM($B$67:$AA$68,K$67,$C$76:$D101)</f>
        <v>2.0146405318645599</v>
      </c>
      <c r="L101" s="277">
        <f ca="1">DSUM($B$67:$AA$68,L$67,$C$76:$D101)</f>
        <v>2.1805566340366038</v>
      </c>
      <c r="M101" s="277">
        <f ca="1">DSUM($B$67:$AA$68,M$67,$C$76:$D101)</f>
        <v>2.310264326470961</v>
      </c>
      <c r="N101" s="277">
        <f ca="1">DSUM($B$67:$AA$68,N$67,$C$76:$D101)</f>
        <v>2.4111425293771238</v>
      </c>
      <c r="O101" s="277">
        <f ca="1">DSUM($B$67:$AA$68,O$67,$C$76:$D101)</f>
        <v>2.4890687860912539</v>
      </c>
      <c r="P101" s="277">
        <f ca="1">DSUM($B$67:$AA$68,P$67,$C$76:$D101)</f>
        <v>2.5487247478312312</v>
      </c>
      <c r="Q101" s="277">
        <f ca="1">DSUM($B$67:$AA$68,Q$67,$C$76:$D101)</f>
        <v>2.5938394981719863</v>
      </c>
      <c r="R101" s="277">
        <f ca="1">DSUM($B$67:$AA$68,R$67,$C$76:$D101)</f>
        <v>2.6273833663802693</v>
      </c>
      <c r="S101" s="277">
        <f ca="1">DSUM($B$67:$AA$68,S$67,$C$76:$D101)</f>
        <v>2.6517223045977891</v>
      </c>
      <c r="T101" s="277">
        <f ca="1">DSUM($B$67:$AA$68,T$67,$C$76:$D101)</f>
        <v>2.6687408535916943</v>
      </c>
      <c r="U101" s="277">
        <f ca="1">DSUM($B$67:$AA$68,U$67,$C$76:$D101)</f>
        <v>2.6575895877513078</v>
      </c>
      <c r="V101" s="277">
        <f ca="1">DSUM($B$67:$AA$68,V$67,$C$76:$D101)</f>
        <v>2.6463708462029709</v>
      </c>
      <c r="W101" s="277">
        <f ca="1">DSUM($B$67:$AA$68,W$67,$C$76:$D101)</f>
        <v>2.6351635115271308</v>
      </c>
      <c r="X101" s="277">
        <f ca="1">DSUM($B$67:$AA$68,X$67,$C$76:$D101)</f>
        <v>2.6239969119100048</v>
      </c>
      <c r="Y101" s="278">
        <f ca="1">DSUM($B$67:$Y$68,Y$67,$C$76:$D101)</f>
        <v>8.4133728390346398</v>
      </c>
    </row>
    <row r="102" spans="1:26">
      <c r="B102" s="79" t="s">
        <v>603</v>
      </c>
      <c r="C102" s="276" t="s">
        <v>604</v>
      </c>
      <c r="D102" s="276" t="s">
        <v>605</v>
      </c>
      <c r="E102" s="277">
        <f>DSUM($B$67:$AA$68,E$67,$C$76:$D102)</f>
        <v>0.31228549412738982</v>
      </c>
      <c r="F102" s="277">
        <f ca="1">DSUM($B$67:$AA$68,F$67,$C$76:$D102)</f>
        <v>0.62188382445375068</v>
      </c>
      <c r="G102" s="277">
        <f ca="1">DSUM($B$67:$AA$68,G$67,$C$76:$D102)</f>
        <v>0.92881563204653739</v>
      </c>
      <c r="H102" s="277">
        <f ca="1">DSUM($B$67:$AA$68,H$67,$C$76:$D102)</f>
        <v>1.2331013883133874</v>
      </c>
      <c r="I102" s="277">
        <f ca="1">DSUM($B$67:$AA$68,I$67,$C$76:$D102)</f>
        <v>1.5347613965294968</v>
      </c>
      <c r="J102" s="277">
        <f ca="1">DSUM($B$67:$AA$68,J$67,$C$76:$D102)</f>
        <v>1.8032521967945101</v>
      </c>
      <c r="K102" s="277">
        <f ca="1">DSUM($B$67:$AA$68,K$67,$C$76:$D102)</f>
        <v>2.0146405318645599</v>
      </c>
      <c r="L102" s="277">
        <f ca="1">DSUM($B$67:$AA$68,L$67,$C$76:$D102)</f>
        <v>2.1805566340366038</v>
      </c>
      <c r="M102" s="277">
        <f ca="1">DSUM($B$67:$AA$68,M$67,$C$76:$D102)</f>
        <v>2.310264326470961</v>
      </c>
      <c r="N102" s="277">
        <f ca="1">DSUM($B$67:$AA$68,N$67,$C$76:$D102)</f>
        <v>2.4111425293771238</v>
      </c>
      <c r="O102" s="277">
        <f ca="1">DSUM($B$67:$AA$68,O$67,$C$76:$D102)</f>
        <v>2.4890687860912539</v>
      </c>
      <c r="P102" s="277">
        <f ca="1">DSUM($B$67:$AA$68,P$67,$C$76:$D102)</f>
        <v>2.5487247478312312</v>
      </c>
      <c r="Q102" s="277">
        <f ca="1">DSUM($B$67:$AA$68,Q$67,$C$76:$D102)</f>
        <v>2.5938394981719863</v>
      </c>
      <c r="R102" s="277">
        <f ca="1">DSUM($B$67:$AA$68,R$67,$C$76:$D102)</f>
        <v>2.6273833663802693</v>
      </c>
      <c r="S102" s="277">
        <f ca="1">DSUM($B$67:$AA$68,S$67,$C$76:$D102)</f>
        <v>2.6517223045977891</v>
      </c>
      <c r="T102" s="277">
        <f ca="1">DSUM($B$67:$AA$68,T$67,$C$76:$D102)</f>
        <v>2.6687408535916943</v>
      </c>
      <c r="U102" s="277">
        <f ca="1">DSUM($B$67:$AA$68,U$67,$C$76:$D102)</f>
        <v>2.6575895877513078</v>
      </c>
      <c r="V102" s="277">
        <f ca="1">DSUM($B$67:$AA$68,V$67,$C$76:$D102)</f>
        <v>2.6463708462029709</v>
      </c>
      <c r="W102" s="277">
        <f ca="1">DSUM($B$67:$AA$68,W$67,$C$76:$D102)</f>
        <v>2.6351635115271308</v>
      </c>
      <c r="X102" s="277">
        <f ca="1">DSUM($B$67:$AA$68,X$67,$C$76:$D102)</f>
        <v>2.6239969119100048</v>
      </c>
      <c r="Y102" s="278">
        <f ca="1">DSUM($B$67:$Y$68,Y$67,$C$76:$D102)</f>
        <v>8.4133728390346398</v>
      </c>
    </row>
    <row r="103" spans="1:26">
      <c r="B103" s="79" t="s">
        <v>606</v>
      </c>
      <c r="C103" s="276" t="s">
        <v>607</v>
      </c>
      <c r="D103" s="276" t="s">
        <v>608</v>
      </c>
      <c r="E103" s="277">
        <f>DSUM($B$67:$AA$68,E$67,$C$76:$D103)</f>
        <v>0.31228549412738982</v>
      </c>
      <c r="F103" s="277">
        <f ca="1">DSUM($B$67:$AA$68,F$67,$C$76:$D103)</f>
        <v>0.62188382445375068</v>
      </c>
      <c r="G103" s="277">
        <f ca="1">DSUM($B$67:$AA$68,G$67,$C$76:$D103)</f>
        <v>0.92881563204653739</v>
      </c>
      <c r="H103" s="277">
        <f ca="1">DSUM($B$67:$AA$68,H$67,$C$76:$D103)</f>
        <v>1.2331013883133874</v>
      </c>
      <c r="I103" s="277">
        <f ca="1">DSUM($B$67:$AA$68,I$67,$C$76:$D103)</f>
        <v>1.5347613965294968</v>
      </c>
      <c r="J103" s="277">
        <f ca="1">DSUM($B$67:$AA$68,J$67,$C$76:$D103)</f>
        <v>1.8032521967945101</v>
      </c>
      <c r="K103" s="277">
        <f ca="1">DSUM($B$67:$AA$68,K$67,$C$76:$D103)</f>
        <v>2.0146405318645599</v>
      </c>
      <c r="L103" s="277">
        <f ca="1">DSUM($B$67:$AA$68,L$67,$C$76:$D103)</f>
        <v>2.1805566340366038</v>
      </c>
      <c r="M103" s="277">
        <f ca="1">DSUM($B$67:$AA$68,M$67,$C$76:$D103)</f>
        <v>2.310264326470961</v>
      </c>
      <c r="N103" s="277">
        <f ca="1">DSUM($B$67:$AA$68,N$67,$C$76:$D103)</f>
        <v>2.4111425293771238</v>
      </c>
      <c r="O103" s="277">
        <f ca="1">DSUM($B$67:$AA$68,O$67,$C$76:$D103)</f>
        <v>2.4890687860912539</v>
      </c>
      <c r="P103" s="277">
        <f ca="1">DSUM($B$67:$AA$68,P$67,$C$76:$D103)</f>
        <v>2.5487247478312312</v>
      </c>
      <c r="Q103" s="277">
        <f ca="1">DSUM($B$67:$AA$68,Q$67,$C$76:$D103)</f>
        <v>2.5938394981719863</v>
      </c>
      <c r="R103" s="277">
        <f ca="1">DSUM($B$67:$AA$68,R$67,$C$76:$D103)</f>
        <v>2.6273833663802693</v>
      </c>
      <c r="S103" s="277">
        <f ca="1">DSUM($B$67:$AA$68,S$67,$C$76:$D103)</f>
        <v>2.6517223045977891</v>
      </c>
      <c r="T103" s="277">
        <f ca="1">DSUM($B$67:$AA$68,T$67,$C$76:$D103)</f>
        <v>2.6687408535916943</v>
      </c>
      <c r="U103" s="277">
        <f ca="1">DSUM($B$67:$AA$68,U$67,$C$76:$D103)</f>
        <v>2.6575895877513078</v>
      </c>
      <c r="V103" s="277">
        <f ca="1">DSUM($B$67:$AA$68,V$67,$C$76:$D103)</f>
        <v>2.6463708462029709</v>
      </c>
      <c r="W103" s="277">
        <f ca="1">DSUM($B$67:$AA$68,W$67,$C$76:$D103)</f>
        <v>2.6351635115271308</v>
      </c>
      <c r="X103" s="277">
        <f ca="1">DSUM($B$67:$AA$68,X$67,$C$76:$D103)</f>
        <v>2.6239969119100048</v>
      </c>
      <c r="Y103" s="278">
        <f ca="1">DSUM($B$67:$Y$68,Y$67,$C$76:$D103)</f>
        <v>8.4133728390346398</v>
      </c>
    </row>
    <row r="104" spans="1:26">
      <c r="B104" s="79" t="s">
        <v>609</v>
      </c>
      <c r="C104" s="276" t="s">
        <v>610</v>
      </c>
      <c r="D104" s="276" t="s">
        <v>611</v>
      </c>
      <c r="E104" s="277">
        <f>DSUM($B$67:$AA$68,E$67,$C$76:$D104)</f>
        <v>0.31228549412738982</v>
      </c>
      <c r="F104" s="277">
        <f ca="1">DSUM($B$67:$AA$68,F$67,$C$76:$D104)</f>
        <v>0.62188382445375068</v>
      </c>
      <c r="G104" s="277">
        <f ca="1">DSUM($B$67:$AA$68,G$67,$C$76:$D104)</f>
        <v>0.92881563204653739</v>
      </c>
      <c r="H104" s="277">
        <f ca="1">DSUM($B$67:$AA$68,H$67,$C$76:$D104)</f>
        <v>1.2331013883133874</v>
      </c>
      <c r="I104" s="277">
        <f ca="1">DSUM($B$67:$AA$68,I$67,$C$76:$D104)</f>
        <v>1.5347613965294968</v>
      </c>
      <c r="J104" s="277">
        <f ca="1">DSUM($B$67:$AA$68,J$67,$C$76:$D104)</f>
        <v>1.8032521967945101</v>
      </c>
      <c r="K104" s="277">
        <f ca="1">DSUM($B$67:$AA$68,K$67,$C$76:$D104)</f>
        <v>2.0146405318645599</v>
      </c>
      <c r="L104" s="277">
        <f ca="1">DSUM($B$67:$AA$68,L$67,$C$76:$D104)</f>
        <v>2.1805566340366038</v>
      </c>
      <c r="M104" s="277">
        <f ca="1">DSUM($B$67:$AA$68,M$67,$C$76:$D104)</f>
        <v>2.310264326470961</v>
      </c>
      <c r="N104" s="277">
        <f ca="1">DSUM($B$67:$AA$68,N$67,$C$76:$D104)</f>
        <v>2.4111425293771238</v>
      </c>
      <c r="O104" s="277">
        <f ca="1">DSUM($B$67:$AA$68,O$67,$C$76:$D104)</f>
        <v>2.4890687860912539</v>
      </c>
      <c r="P104" s="277">
        <f ca="1">DSUM($B$67:$AA$68,P$67,$C$76:$D104)</f>
        <v>2.5487247478312312</v>
      </c>
      <c r="Q104" s="277">
        <f ca="1">DSUM($B$67:$AA$68,Q$67,$C$76:$D104)</f>
        <v>2.5938394981719863</v>
      </c>
      <c r="R104" s="277">
        <f ca="1">DSUM($B$67:$AA$68,R$67,$C$76:$D104)</f>
        <v>2.6273833663802693</v>
      </c>
      <c r="S104" s="277">
        <f ca="1">DSUM($B$67:$AA$68,S$67,$C$76:$D104)</f>
        <v>2.6517223045977891</v>
      </c>
      <c r="T104" s="277">
        <f ca="1">DSUM($B$67:$AA$68,T$67,$C$76:$D104)</f>
        <v>2.6687408535916943</v>
      </c>
      <c r="U104" s="277">
        <f ca="1">DSUM($B$67:$AA$68,U$67,$C$76:$D104)</f>
        <v>2.6575895877513078</v>
      </c>
      <c r="V104" s="277">
        <f ca="1">DSUM($B$67:$AA$68,V$67,$C$76:$D104)</f>
        <v>2.6463708462029709</v>
      </c>
      <c r="W104" s="277">
        <f ca="1">DSUM($B$67:$AA$68,W$67,$C$76:$D104)</f>
        <v>2.6351635115271308</v>
      </c>
      <c r="X104" s="277">
        <f ca="1">DSUM($B$67:$AA$68,X$67,$C$76:$D104)</f>
        <v>2.6239969119100048</v>
      </c>
      <c r="Y104" s="278">
        <f ca="1">DSUM($B$67:$Y$68,Y$67,$C$76:$D104)</f>
        <v>8.4133728390346398</v>
      </c>
    </row>
    <row r="105" spans="1:26">
      <c r="B105" s="79" t="s">
        <v>612</v>
      </c>
      <c r="C105" s="276" t="s">
        <v>613</v>
      </c>
      <c r="D105" s="276" t="s">
        <v>614</v>
      </c>
      <c r="E105" s="277">
        <f>DSUM($B$67:$AA$68,E$67,$C$76:$D105)</f>
        <v>0.31228549412738982</v>
      </c>
      <c r="F105" s="277">
        <f ca="1">DSUM($B$67:$AA$68,F$67,$C$76:$D105)</f>
        <v>0.62188382445375068</v>
      </c>
      <c r="G105" s="277">
        <f ca="1">DSUM($B$67:$AA$68,G$67,$C$76:$D105)</f>
        <v>0.92881563204653739</v>
      </c>
      <c r="H105" s="277">
        <f ca="1">DSUM($B$67:$AA$68,H$67,$C$76:$D105)</f>
        <v>1.2331013883133874</v>
      </c>
      <c r="I105" s="277">
        <f ca="1">DSUM($B$67:$AA$68,I$67,$C$76:$D105)</f>
        <v>1.5347613965294968</v>
      </c>
      <c r="J105" s="277">
        <f ca="1">DSUM($B$67:$AA$68,J$67,$C$76:$D105)</f>
        <v>1.8032521967945101</v>
      </c>
      <c r="K105" s="277">
        <f ca="1">DSUM($B$67:$AA$68,K$67,$C$76:$D105)</f>
        <v>2.0146405318645599</v>
      </c>
      <c r="L105" s="277">
        <f ca="1">DSUM($B$67:$AA$68,L$67,$C$76:$D105)</f>
        <v>2.1805566340366038</v>
      </c>
      <c r="M105" s="277">
        <f ca="1">DSUM($B$67:$AA$68,M$67,$C$76:$D105)</f>
        <v>2.310264326470961</v>
      </c>
      <c r="N105" s="277">
        <f ca="1">DSUM($B$67:$AA$68,N$67,$C$76:$D105)</f>
        <v>2.4111425293771238</v>
      </c>
      <c r="O105" s="277">
        <f ca="1">DSUM($B$67:$AA$68,O$67,$C$76:$D105)</f>
        <v>2.4890687860912539</v>
      </c>
      <c r="P105" s="277">
        <f ca="1">DSUM($B$67:$AA$68,P$67,$C$76:$D105)</f>
        <v>2.5487247478312312</v>
      </c>
      <c r="Q105" s="277">
        <f ca="1">DSUM($B$67:$AA$68,Q$67,$C$76:$D105)</f>
        <v>2.5938394981719863</v>
      </c>
      <c r="R105" s="277">
        <f ca="1">DSUM($B$67:$AA$68,R$67,$C$76:$D105)</f>
        <v>2.6273833663802693</v>
      </c>
      <c r="S105" s="277">
        <f ca="1">DSUM($B$67:$AA$68,S$67,$C$76:$D105)</f>
        <v>2.6517223045977891</v>
      </c>
      <c r="T105" s="277">
        <f ca="1">DSUM($B$67:$AA$68,T$67,$C$76:$D105)</f>
        <v>2.6687408535916943</v>
      </c>
      <c r="U105" s="277">
        <f ca="1">DSUM($B$67:$AA$68,U$67,$C$76:$D105)</f>
        <v>2.6575895877513078</v>
      </c>
      <c r="V105" s="277">
        <f ca="1">DSUM($B$67:$AA$68,V$67,$C$76:$D105)</f>
        <v>2.6463708462029709</v>
      </c>
      <c r="W105" s="277">
        <f ca="1">DSUM($B$67:$AA$68,W$67,$C$76:$D105)</f>
        <v>2.6351635115271308</v>
      </c>
      <c r="X105" s="277">
        <f ca="1">DSUM($B$67:$AA$68,X$67,$C$76:$D105)</f>
        <v>2.6239969119100048</v>
      </c>
      <c r="Y105" s="278">
        <f ca="1">DSUM($B$67:$Y$68,Y$67,$C$76:$D105)</f>
        <v>8.4133728390346398</v>
      </c>
    </row>
    <row r="106" spans="1:26">
      <c r="B106" s="79" t="s">
        <v>615</v>
      </c>
      <c r="C106" s="276" t="s">
        <v>616</v>
      </c>
      <c r="D106" s="276" t="s">
        <v>617</v>
      </c>
      <c r="E106" s="277">
        <f>DSUM($B$67:$AA$68,E$67,$C$76:$D106)</f>
        <v>0.31228549412738982</v>
      </c>
      <c r="F106" s="277">
        <f ca="1">DSUM($B$67:$AA$68,F$67,$C$76:$D106)</f>
        <v>0.62188382445375068</v>
      </c>
      <c r="G106" s="277">
        <f ca="1">DSUM($B$67:$AA$68,G$67,$C$76:$D106)</f>
        <v>0.92881563204653739</v>
      </c>
      <c r="H106" s="277">
        <f ca="1">DSUM($B$67:$AA$68,H$67,$C$76:$D106)</f>
        <v>1.2331013883133874</v>
      </c>
      <c r="I106" s="277">
        <f ca="1">DSUM($B$67:$AA$68,I$67,$C$76:$D106)</f>
        <v>1.5347613965294968</v>
      </c>
      <c r="J106" s="277">
        <f ca="1">DSUM($B$67:$AA$68,J$67,$C$76:$D106)</f>
        <v>1.8032521967945101</v>
      </c>
      <c r="K106" s="277">
        <f ca="1">DSUM($B$67:$AA$68,K$67,$C$76:$D106)</f>
        <v>2.0146405318645599</v>
      </c>
      <c r="L106" s="277">
        <f ca="1">DSUM($B$67:$AA$68,L$67,$C$76:$D106)</f>
        <v>2.1805566340366038</v>
      </c>
      <c r="M106" s="277">
        <f ca="1">DSUM($B$67:$AA$68,M$67,$C$76:$D106)</f>
        <v>2.310264326470961</v>
      </c>
      <c r="N106" s="277">
        <f ca="1">DSUM($B$67:$AA$68,N$67,$C$76:$D106)</f>
        <v>2.4111425293771238</v>
      </c>
      <c r="O106" s="277">
        <f ca="1">DSUM($B$67:$AA$68,O$67,$C$76:$D106)</f>
        <v>2.4890687860912539</v>
      </c>
      <c r="P106" s="277">
        <f ca="1">DSUM($B$67:$AA$68,P$67,$C$76:$D106)</f>
        <v>2.5487247478312312</v>
      </c>
      <c r="Q106" s="277">
        <f ca="1">DSUM($B$67:$AA$68,Q$67,$C$76:$D106)</f>
        <v>2.5938394981719863</v>
      </c>
      <c r="R106" s="277">
        <f ca="1">DSUM($B$67:$AA$68,R$67,$C$76:$D106)</f>
        <v>2.6273833663802693</v>
      </c>
      <c r="S106" s="277">
        <f ca="1">DSUM($B$67:$AA$68,S$67,$C$76:$D106)</f>
        <v>2.6517223045977891</v>
      </c>
      <c r="T106" s="277">
        <f ca="1">DSUM($B$67:$AA$68,T$67,$C$76:$D106)</f>
        <v>2.6687408535916943</v>
      </c>
      <c r="U106" s="277">
        <f ca="1">DSUM($B$67:$AA$68,U$67,$C$76:$D106)</f>
        <v>2.6575895877513078</v>
      </c>
      <c r="V106" s="277">
        <f ca="1">DSUM($B$67:$AA$68,V$67,$C$76:$D106)</f>
        <v>2.6463708462029709</v>
      </c>
      <c r="W106" s="277">
        <f ca="1">DSUM($B$67:$AA$68,W$67,$C$76:$D106)</f>
        <v>2.6351635115271308</v>
      </c>
      <c r="X106" s="277">
        <f ca="1">DSUM($B$67:$AA$68,X$67,$C$76:$D106)</f>
        <v>2.6239969119100048</v>
      </c>
      <c r="Y106" s="278">
        <f ca="1">DSUM($B$67:$Y$68,Y$67,$C$76:$D106)</f>
        <v>8.4133728390346398</v>
      </c>
    </row>
    <row r="107" spans="1:26">
      <c r="B107" s="79" t="s">
        <v>618</v>
      </c>
      <c r="C107" s="276" t="s">
        <v>619</v>
      </c>
      <c r="D107" s="276" t="s">
        <v>620</v>
      </c>
      <c r="E107" s="277">
        <f>DSUM($B$67:$AA$68,E$67,$C$76:$D107)</f>
        <v>0.31228549412738982</v>
      </c>
      <c r="F107" s="277">
        <f ca="1">DSUM($B$67:$AA$68,F$67,$C$76:$D107)</f>
        <v>0.62188382445375068</v>
      </c>
      <c r="G107" s="277">
        <f ca="1">DSUM($B$67:$AA$68,G$67,$C$76:$D107)</f>
        <v>0.92881563204653739</v>
      </c>
      <c r="H107" s="277">
        <f ca="1">DSUM($B$67:$AA$68,H$67,$C$76:$D107)</f>
        <v>1.2331013883133874</v>
      </c>
      <c r="I107" s="277">
        <f ca="1">DSUM($B$67:$AA$68,I$67,$C$76:$D107)</f>
        <v>1.5347613965294968</v>
      </c>
      <c r="J107" s="277">
        <f ca="1">DSUM($B$67:$AA$68,J$67,$C$76:$D107)</f>
        <v>1.8032521967945101</v>
      </c>
      <c r="K107" s="277">
        <f ca="1">DSUM($B$67:$AA$68,K$67,$C$76:$D107)</f>
        <v>2.0146405318645599</v>
      </c>
      <c r="L107" s="277">
        <f ca="1">DSUM($B$67:$AA$68,L$67,$C$76:$D107)</f>
        <v>2.1805566340366038</v>
      </c>
      <c r="M107" s="277">
        <f ca="1">DSUM($B$67:$AA$68,M$67,$C$76:$D107)</f>
        <v>2.310264326470961</v>
      </c>
      <c r="N107" s="277">
        <f ca="1">DSUM($B$67:$AA$68,N$67,$C$76:$D107)</f>
        <v>2.4111425293771238</v>
      </c>
      <c r="O107" s="277">
        <f ca="1">DSUM($B$67:$AA$68,O$67,$C$76:$D107)</f>
        <v>2.4890687860912539</v>
      </c>
      <c r="P107" s="277">
        <f ca="1">DSUM($B$67:$AA$68,P$67,$C$76:$D107)</f>
        <v>2.5487247478312312</v>
      </c>
      <c r="Q107" s="277">
        <f ca="1">DSUM($B$67:$AA$68,Q$67,$C$76:$D107)</f>
        <v>2.5938394981719863</v>
      </c>
      <c r="R107" s="277">
        <f ca="1">DSUM($B$67:$AA$68,R$67,$C$76:$D107)</f>
        <v>2.6273833663802693</v>
      </c>
      <c r="S107" s="277">
        <f ca="1">DSUM($B$67:$AA$68,S$67,$C$76:$D107)</f>
        <v>2.6517223045977891</v>
      </c>
      <c r="T107" s="277">
        <f ca="1">DSUM($B$67:$AA$68,T$67,$C$76:$D107)</f>
        <v>2.6687408535916943</v>
      </c>
      <c r="U107" s="277">
        <f ca="1">DSUM($B$67:$AA$68,U$67,$C$76:$D107)</f>
        <v>2.6575895877513078</v>
      </c>
      <c r="V107" s="277">
        <f ca="1">DSUM($B$67:$AA$68,V$67,$C$76:$D107)</f>
        <v>2.6463708462029709</v>
      </c>
      <c r="W107" s="277">
        <f ca="1">DSUM($B$67:$AA$68,W$67,$C$76:$D107)</f>
        <v>2.6351635115271308</v>
      </c>
      <c r="X107" s="277">
        <f ca="1">DSUM($B$67:$AA$68,X$67,$C$76:$D107)</f>
        <v>2.6239969119100048</v>
      </c>
      <c r="Y107" s="278">
        <f ca="1">DSUM($B$67:$Y$68,Y$67,$C$76:$D107)</f>
        <v>8.4133728390346398</v>
      </c>
    </row>
    <row r="108" spans="1:26">
      <c r="B108" s="79" t="s">
        <v>621</v>
      </c>
      <c r="C108" s="276" t="s">
        <v>622</v>
      </c>
      <c r="D108" s="276" t="s">
        <v>623</v>
      </c>
      <c r="E108" s="277">
        <f>DSUM($B$67:$AA$68,E$67,$C$76:$D108)</f>
        <v>0.31228549412738982</v>
      </c>
      <c r="F108" s="277">
        <f ca="1">DSUM($B$67:$AA$68,F$67,$C$76:$D108)</f>
        <v>0.62188382445375068</v>
      </c>
      <c r="G108" s="277">
        <f ca="1">DSUM($B$67:$AA$68,G$67,$C$76:$D108)</f>
        <v>0.92881563204653739</v>
      </c>
      <c r="H108" s="277">
        <f ca="1">DSUM($B$67:$AA$68,H$67,$C$76:$D108)</f>
        <v>1.2331013883133874</v>
      </c>
      <c r="I108" s="277">
        <f ca="1">DSUM($B$67:$AA$68,I$67,$C$76:$D108)</f>
        <v>1.5347613965294968</v>
      </c>
      <c r="J108" s="277">
        <f ca="1">DSUM($B$67:$AA$68,J$67,$C$76:$D108)</f>
        <v>1.8032521967945101</v>
      </c>
      <c r="K108" s="277">
        <f ca="1">DSUM($B$67:$AA$68,K$67,$C$76:$D108)</f>
        <v>2.0146405318645599</v>
      </c>
      <c r="L108" s="277">
        <f ca="1">DSUM($B$67:$AA$68,L$67,$C$76:$D108)</f>
        <v>2.1805566340366038</v>
      </c>
      <c r="M108" s="277">
        <f ca="1">DSUM($B$67:$AA$68,M$67,$C$76:$D108)</f>
        <v>2.310264326470961</v>
      </c>
      <c r="N108" s="277">
        <f ca="1">DSUM($B$67:$AA$68,N$67,$C$76:$D108)</f>
        <v>2.4111425293771238</v>
      </c>
      <c r="O108" s="277">
        <f ca="1">DSUM($B$67:$AA$68,O$67,$C$76:$D108)</f>
        <v>2.4890687860912539</v>
      </c>
      <c r="P108" s="277">
        <f ca="1">DSUM($B$67:$AA$68,P$67,$C$76:$D108)</f>
        <v>2.5487247478312312</v>
      </c>
      <c r="Q108" s="277">
        <f ca="1">DSUM($B$67:$AA$68,Q$67,$C$76:$D108)</f>
        <v>2.5938394981719863</v>
      </c>
      <c r="R108" s="277">
        <f ca="1">DSUM($B$67:$AA$68,R$67,$C$76:$D108)</f>
        <v>2.6273833663802693</v>
      </c>
      <c r="S108" s="277">
        <f ca="1">DSUM($B$67:$AA$68,S$67,$C$76:$D108)</f>
        <v>2.6517223045977891</v>
      </c>
      <c r="T108" s="277">
        <f ca="1">DSUM($B$67:$AA$68,T$67,$C$76:$D108)</f>
        <v>2.6687408535916943</v>
      </c>
      <c r="U108" s="277">
        <f ca="1">DSUM($B$67:$AA$68,U$67,$C$76:$D108)</f>
        <v>2.6575895877513078</v>
      </c>
      <c r="V108" s="277">
        <f ca="1">DSUM($B$67:$AA$68,V$67,$C$76:$D108)</f>
        <v>2.6463708462029709</v>
      </c>
      <c r="W108" s="277">
        <f ca="1">DSUM($B$67:$AA$68,W$67,$C$76:$D108)</f>
        <v>2.6351635115271308</v>
      </c>
      <c r="X108" s="277">
        <f ca="1">DSUM($B$67:$AA$68,X$67,$C$76:$D108)</f>
        <v>2.6239969119100048</v>
      </c>
      <c r="Y108" s="278">
        <f ca="1">DSUM($B$67:$Y$68,Y$67,$C$76:$D108)</f>
        <v>8.4133728390346398</v>
      </c>
    </row>
    <row r="111" spans="1:26">
      <c r="A111" s="273" t="s">
        <v>624</v>
      </c>
      <c r="B111" s="273"/>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row>
    <row r="112" spans="1:26">
      <c r="A112" s="79"/>
      <c r="B112" s="79"/>
      <c r="C112" s="236" t="s">
        <v>625</v>
      </c>
      <c r="D112" s="236" t="str">
        <f>$C$8</f>
        <v>Parking Lighting-NR</v>
      </c>
      <c r="E112" s="265">
        <f>E45</f>
        <v>0</v>
      </c>
      <c r="F112" s="265">
        <f t="shared" ref="F112:X112" si="19">F45</f>
        <v>0</v>
      </c>
      <c r="G112" s="265">
        <f t="shared" si="19"/>
        <v>0</v>
      </c>
      <c r="H112" s="265">
        <f t="shared" si="19"/>
        <v>0</v>
      </c>
      <c r="I112" s="265">
        <f t="shared" si="19"/>
        <v>0</v>
      </c>
      <c r="J112" s="265">
        <f t="shared" si="19"/>
        <v>0</v>
      </c>
      <c r="K112" s="265">
        <f t="shared" si="19"/>
        <v>0</v>
      </c>
      <c r="L112" s="265">
        <f t="shared" si="19"/>
        <v>0</v>
      </c>
      <c r="M112" s="265">
        <f t="shared" si="19"/>
        <v>0</v>
      </c>
      <c r="N112" s="265">
        <f t="shared" si="19"/>
        <v>0</v>
      </c>
      <c r="O112" s="265">
        <f t="shared" si="19"/>
        <v>0</v>
      </c>
      <c r="P112" s="265">
        <f t="shared" si="19"/>
        <v>0</v>
      </c>
      <c r="Q112" s="265">
        <f t="shared" si="19"/>
        <v>0</v>
      </c>
      <c r="R112" s="265">
        <f t="shared" si="19"/>
        <v>0</v>
      </c>
      <c r="S112" s="265">
        <f t="shared" si="19"/>
        <v>0</v>
      </c>
      <c r="T112" s="265">
        <f t="shared" si="19"/>
        <v>0</v>
      </c>
      <c r="U112" s="265">
        <f t="shared" si="19"/>
        <v>0</v>
      </c>
      <c r="V112" s="265">
        <f t="shared" si="19"/>
        <v>0</v>
      </c>
      <c r="W112" s="265">
        <f t="shared" si="19"/>
        <v>0</v>
      </c>
      <c r="X112" s="265">
        <f t="shared" si="19"/>
        <v>0</v>
      </c>
      <c r="Y112" s="79"/>
      <c r="Z112" s="236"/>
    </row>
    <row r="113" spans="1:26">
      <c r="A113" s="79"/>
      <c r="B113" s="79"/>
      <c r="C113" s="236">
        <f>C43</f>
        <v>0</v>
      </c>
      <c r="D113" s="236"/>
      <c r="E113" s="266" t="str">
        <f>CONCATENATE("aMW_",E$11)</f>
        <v>aMW_2016</v>
      </c>
      <c r="F113" s="266" t="str">
        <f t="shared" ref="F113:X113" si="20">CONCATENATE("aMW_",F$11)</f>
        <v>aMW_2017</v>
      </c>
      <c r="G113" s="266" t="str">
        <f t="shared" si="20"/>
        <v>aMW_2018</v>
      </c>
      <c r="H113" s="266" t="str">
        <f t="shared" si="20"/>
        <v>aMW_2019</v>
      </c>
      <c r="I113" s="266" t="str">
        <f t="shared" si="20"/>
        <v>aMW_2020</v>
      </c>
      <c r="J113" s="266" t="str">
        <f t="shared" si="20"/>
        <v>aMW_2021</v>
      </c>
      <c r="K113" s="266" t="str">
        <f t="shared" si="20"/>
        <v>aMW_2022</v>
      </c>
      <c r="L113" s="266" t="str">
        <f t="shared" si="20"/>
        <v>aMW_2023</v>
      </c>
      <c r="M113" s="266" t="str">
        <f t="shared" si="20"/>
        <v>aMW_2024</v>
      </c>
      <c r="N113" s="266" t="str">
        <f t="shared" si="20"/>
        <v>aMW_2025</v>
      </c>
      <c r="O113" s="266" t="str">
        <f t="shared" si="20"/>
        <v>aMW_2026</v>
      </c>
      <c r="P113" s="266" t="str">
        <f t="shared" si="20"/>
        <v>aMW_2027</v>
      </c>
      <c r="Q113" s="266" t="str">
        <f t="shared" si="20"/>
        <v>aMW_2028</v>
      </c>
      <c r="R113" s="266" t="str">
        <f t="shared" si="20"/>
        <v>aMW_2029</v>
      </c>
      <c r="S113" s="266" t="str">
        <f t="shared" si="20"/>
        <v>aMW_2030</v>
      </c>
      <c r="T113" s="266" t="str">
        <f t="shared" si="20"/>
        <v>aMW_2031</v>
      </c>
      <c r="U113" s="266" t="str">
        <f t="shared" si="20"/>
        <v>aMW_2032</v>
      </c>
      <c r="V113" s="266" t="str">
        <f t="shared" si="20"/>
        <v>aMW_2033</v>
      </c>
      <c r="W113" s="266" t="str">
        <f t="shared" si="20"/>
        <v>aMW_2034</v>
      </c>
      <c r="X113" s="266" t="str">
        <f t="shared" si="20"/>
        <v>aMW_2035</v>
      </c>
      <c r="Y113" s="245" t="s">
        <v>522</v>
      </c>
      <c r="Z113" s="279"/>
    </row>
    <row r="114" spans="1:26">
      <c r="A114" s="79"/>
      <c r="B114" s="79"/>
      <c r="C114" s="79" t="s">
        <v>390</v>
      </c>
      <c r="D114" s="79"/>
      <c r="E114" s="280">
        <f t="shared" ref="E114:Y114" si="21">E77</f>
        <v>0</v>
      </c>
      <c r="F114" s="280">
        <f t="shared" si="21"/>
        <v>0</v>
      </c>
      <c r="G114" s="280">
        <f t="shared" si="21"/>
        <v>0</v>
      </c>
      <c r="H114" s="280">
        <f t="shared" si="21"/>
        <v>0</v>
      </c>
      <c r="I114" s="280">
        <f t="shared" si="21"/>
        <v>0</v>
      </c>
      <c r="J114" s="280">
        <f t="shared" si="21"/>
        <v>0</v>
      </c>
      <c r="K114" s="280">
        <f t="shared" si="21"/>
        <v>0</v>
      </c>
      <c r="L114" s="280">
        <f t="shared" si="21"/>
        <v>0</v>
      </c>
      <c r="M114" s="280">
        <f t="shared" si="21"/>
        <v>0</v>
      </c>
      <c r="N114" s="280">
        <f t="shared" si="21"/>
        <v>0</v>
      </c>
      <c r="O114" s="280">
        <f t="shared" si="21"/>
        <v>0</v>
      </c>
      <c r="P114" s="280">
        <f t="shared" si="21"/>
        <v>0</v>
      </c>
      <c r="Q114" s="280">
        <f t="shared" si="21"/>
        <v>0</v>
      </c>
      <c r="R114" s="280">
        <f t="shared" si="21"/>
        <v>0</v>
      </c>
      <c r="S114" s="280">
        <f t="shared" si="21"/>
        <v>0</v>
      </c>
      <c r="T114" s="280">
        <f t="shared" si="21"/>
        <v>0</v>
      </c>
      <c r="U114" s="280">
        <f t="shared" si="21"/>
        <v>0</v>
      </c>
      <c r="V114" s="280">
        <f t="shared" si="21"/>
        <v>0</v>
      </c>
      <c r="W114" s="280">
        <f t="shared" si="21"/>
        <v>0</v>
      </c>
      <c r="X114" s="280">
        <f t="shared" si="21"/>
        <v>0</v>
      </c>
      <c r="Y114" s="280">
        <f t="shared" si="21"/>
        <v>0</v>
      </c>
      <c r="Z114" s="280"/>
    </row>
    <row r="115" spans="1:26">
      <c r="A115" s="79"/>
      <c r="B115" s="79"/>
      <c r="C115" s="79" t="s">
        <v>391</v>
      </c>
      <c r="D115" s="79"/>
      <c r="E115" s="280">
        <f t="shared" ref="E115:Y127" si="22">E78-E77</f>
        <v>0</v>
      </c>
      <c r="F115" s="280">
        <f t="shared" si="22"/>
        <v>0</v>
      </c>
      <c r="G115" s="280">
        <f t="shared" si="22"/>
        <v>0</v>
      </c>
      <c r="H115" s="280">
        <f t="shared" si="22"/>
        <v>0</v>
      </c>
      <c r="I115" s="280">
        <f t="shared" si="22"/>
        <v>0</v>
      </c>
      <c r="J115" s="280">
        <f t="shared" si="22"/>
        <v>0</v>
      </c>
      <c r="K115" s="280">
        <f t="shared" si="22"/>
        <v>0</v>
      </c>
      <c r="L115" s="280">
        <f t="shared" si="22"/>
        <v>0</v>
      </c>
      <c r="M115" s="280">
        <f t="shared" si="22"/>
        <v>0</v>
      </c>
      <c r="N115" s="280">
        <f t="shared" si="22"/>
        <v>0</v>
      </c>
      <c r="O115" s="280">
        <f t="shared" si="22"/>
        <v>0</v>
      </c>
      <c r="P115" s="280">
        <f t="shared" si="22"/>
        <v>0</v>
      </c>
      <c r="Q115" s="280">
        <f t="shared" si="22"/>
        <v>0</v>
      </c>
      <c r="R115" s="280">
        <f t="shared" si="22"/>
        <v>0</v>
      </c>
      <c r="S115" s="280">
        <f t="shared" si="22"/>
        <v>0</v>
      </c>
      <c r="T115" s="280">
        <f t="shared" si="22"/>
        <v>0</v>
      </c>
      <c r="U115" s="280">
        <f t="shared" si="22"/>
        <v>0</v>
      </c>
      <c r="V115" s="280">
        <f t="shared" si="22"/>
        <v>0</v>
      </c>
      <c r="W115" s="280">
        <f t="shared" si="22"/>
        <v>0</v>
      </c>
      <c r="X115" s="280">
        <f t="shared" si="22"/>
        <v>0</v>
      </c>
      <c r="Y115" s="280">
        <f t="shared" si="22"/>
        <v>0</v>
      </c>
      <c r="Z115" s="280"/>
    </row>
    <row r="116" spans="1:26">
      <c r="A116" s="79"/>
      <c r="B116" s="79"/>
      <c r="C116" s="79" t="s">
        <v>392</v>
      </c>
      <c r="D116" s="79"/>
      <c r="E116" s="280">
        <f t="shared" si="22"/>
        <v>0</v>
      </c>
      <c r="F116" s="280">
        <f t="shared" si="22"/>
        <v>0</v>
      </c>
      <c r="G116" s="280">
        <f t="shared" si="22"/>
        <v>0</v>
      </c>
      <c r="H116" s="280">
        <f t="shared" si="22"/>
        <v>0</v>
      </c>
      <c r="I116" s="280">
        <f t="shared" si="22"/>
        <v>0</v>
      </c>
      <c r="J116" s="280">
        <f t="shared" si="22"/>
        <v>0</v>
      </c>
      <c r="K116" s="280">
        <f t="shared" si="22"/>
        <v>0</v>
      </c>
      <c r="L116" s="280">
        <f t="shared" si="22"/>
        <v>0</v>
      </c>
      <c r="M116" s="280">
        <f t="shared" si="22"/>
        <v>0</v>
      </c>
      <c r="N116" s="280">
        <f t="shared" si="22"/>
        <v>0</v>
      </c>
      <c r="O116" s="280">
        <f t="shared" si="22"/>
        <v>0</v>
      </c>
      <c r="P116" s="280">
        <f t="shared" si="22"/>
        <v>0</v>
      </c>
      <c r="Q116" s="280">
        <f t="shared" si="22"/>
        <v>0</v>
      </c>
      <c r="R116" s="280">
        <f t="shared" si="22"/>
        <v>0</v>
      </c>
      <c r="S116" s="280">
        <f t="shared" si="22"/>
        <v>0</v>
      </c>
      <c r="T116" s="280">
        <f t="shared" si="22"/>
        <v>0</v>
      </c>
      <c r="U116" s="280">
        <f t="shared" si="22"/>
        <v>0</v>
      </c>
      <c r="V116" s="280">
        <f t="shared" si="22"/>
        <v>0</v>
      </c>
      <c r="W116" s="280">
        <f t="shared" si="22"/>
        <v>0</v>
      </c>
      <c r="X116" s="280">
        <f t="shared" si="22"/>
        <v>0</v>
      </c>
      <c r="Y116" s="280">
        <f t="shared" si="22"/>
        <v>0</v>
      </c>
      <c r="Z116" s="280"/>
    </row>
    <row r="117" spans="1:26">
      <c r="A117" s="79"/>
      <c r="B117" s="79"/>
      <c r="C117" s="79" t="s">
        <v>393</v>
      </c>
      <c r="D117" s="79"/>
      <c r="E117" s="280">
        <f t="shared" si="22"/>
        <v>0.31228549412738982</v>
      </c>
      <c r="F117" s="280">
        <f t="shared" ca="1" si="22"/>
        <v>0.62188382445375068</v>
      </c>
      <c r="G117" s="280">
        <f t="shared" ca="1" si="22"/>
        <v>0.92881563204653739</v>
      </c>
      <c r="H117" s="280">
        <f t="shared" ca="1" si="22"/>
        <v>1.2331013883133874</v>
      </c>
      <c r="I117" s="280">
        <f t="shared" ca="1" si="22"/>
        <v>1.5347613965294968</v>
      </c>
      <c r="J117" s="280">
        <f t="shared" ca="1" si="22"/>
        <v>1.8032521967945101</v>
      </c>
      <c r="K117" s="280">
        <f t="shared" ca="1" si="22"/>
        <v>2.0146405318645599</v>
      </c>
      <c r="L117" s="280">
        <f t="shared" ca="1" si="22"/>
        <v>2.1805566340366038</v>
      </c>
      <c r="M117" s="280">
        <f t="shared" ca="1" si="22"/>
        <v>2.310264326470961</v>
      </c>
      <c r="N117" s="280">
        <f t="shared" ca="1" si="22"/>
        <v>2.4111425293771238</v>
      </c>
      <c r="O117" s="280">
        <f t="shared" ca="1" si="22"/>
        <v>2.4890687860912539</v>
      </c>
      <c r="P117" s="280">
        <f t="shared" ca="1" si="22"/>
        <v>2.5487247478312312</v>
      </c>
      <c r="Q117" s="280">
        <f t="shared" ca="1" si="22"/>
        <v>2.5938394981719863</v>
      </c>
      <c r="R117" s="280">
        <f t="shared" ca="1" si="22"/>
        <v>2.6273833663802693</v>
      </c>
      <c r="S117" s="280">
        <f t="shared" ca="1" si="22"/>
        <v>2.6517223045977891</v>
      </c>
      <c r="T117" s="280">
        <f t="shared" ca="1" si="22"/>
        <v>2.6687408535916943</v>
      </c>
      <c r="U117" s="280">
        <f t="shared" ca="1" si="22"/>
        <v>2.6575895877513078</v>
      </c>
      <c r="V117" s="280">
        <f t="shared" ca="1" si="22"/>
        <v>2.6463708462029709</v>
      </c>
      <c r="W117" s="280">
        <f t="shared" ca="1" si="22"/>
        <v>2.6351635115271308</v>
      </c>
      <c r="X117" s="280">
        <f t="shared" ca="1" si="22"/>
        <v>2.6239969119100048</v>
      </c>
      <c r="Y117" s="280">
        <f t="shared" ca="1" si="22"/>
        <v>8.4133728390346398</v>
      </c>
      <c r="Z117" s="280"/>
    </row>
    <row r="118" spans="1:26">
      <c r="A118" s="79"/>
      <c r="B118" s="79"/>
      <c r="C118" s="79" t="s">
        <v>394</v>
      </c>
      <c r="D118" s="79"/>
      <c r="E118" s="280">
        <f t="shared" si="22"/>
        <v>0</v>
      </c>
      <c r="F118" s="280">
        <f t="shared" ca="1" si="22"/>
        <v>0</v>
      </c>
      <c r="G118" s="280">
        <f t="shared" ca="1" si="22"/>
        <v>0</v>
      </c>
      <c r="H118" s="280">
        <f t="shared" ca="1" si="22"/>
        <v>0</v>
      </c>
      <c r="I118" s="280">
        <f t="shared" ca="1" si="22"/>
        <v>0</v>
      </c>
      <c r="J118" s="280">
        <f t="shared" ca="1" si="22"/>
        <v>0</v>
      </c>
      <c r="K118" s="280">
        <f t="shared" ca="1" si="22"/>
        <v>0</v>
      </c>
      <c r="L118" s="280">
        <f t="shared" ca="1" si="22"/>
        <v>0</v>
      </c>
      <c r="M118" s="280">
        <f t="shared" ca="1" si="22"/>
        <v>0</v>
      </c>
      <c r="N118" s="280">
        <f t="shared" ca="1" si="22"/>
        <v>0</v>
      </c>
      <c r="O118" s="280">
        <f t="shared" ca="1" si="22"/>
        <v>0</v>
      </c>
      <c r="P118" s="280">
        <f t="shared" ca="1" si="22"/>
        <v>0</v>
      </c>
      <c r="Q118" s="280">
        <f t="shared" ca="1" si="22"/>
        <v>0</v>
      </c>
      <c r="R118" s="280">
        <f t="shared" ca="1" si="22"/>
        <v>0</v>
      </c>
      <c r="S118" s="280">
        <f t="shared" ca="1" si="22"/>
        <v>0</v>
      </c>
      <c r="T118" s="280">
        <f t="shared" ca="1" si="22"/>
        <v>0</v>
      </c>
      <c r="U118" s="280">
        <f t="shared" ca="1" si="22"/>
        <v>0</v>
      </c>
      <c r="V118" s="280">
        <f t="shared" ca="1" si="22"/>
        <v>0</v>
      </c>
      <c r="W118" s="280">
        <f t="shared" ca="1" si="22"/>
        <v>0</v>
      </c>
      <c r="X118" s="280">
        <f t="shared" ca="1" si="22"/>
        <v>0</v>
      </c>
      <c r="Y118" s="280">
        <f t="shared" ca="1" si="22"/>
        <v>0</v>
      </c>
      <c r="Z118" s="280"/>
    </row>
    <row r="119" spans="1:26">
      <c r="A119" s="79"/>
      <c r="B119" s="79"/>
      <c r="C119" s="79" t="s">
        <v>395</v>
      </c>
      <c r="D119" s="79"/>
      <c r="E119" s="280">
        <f t="shared" si="22"/>
        <v>0</v>
      </c>
      <c r="F119" s="280">
        <f t="shared" ca="1" si="22"/>
        <v>0</v>
      </c>
      <c r="G119" s="280">
        <f t="shared" ca="1" si="22"/>
        <v>0</v>
      </c>
      <c r="H119" s="280">
        <f t="shared" ca="1" si="22"/>
        <v>0</v>
      </c>
      <c r="I119" s="280">
        <f t="shared" ca="1" si="22"/>
        <v>0</v>
      </c>
      <c r="J119" s="280">
        <f t="shared" ca="1" si="22"/>
        <v>0</v>
      </c>
      <c r="K119" s="280">
        <f t="shared" ca="1" si="22"/>
        <v>0</v>
      </c>
      <c r="L119" s="280">
        <f t="shared" ca="1" si="22"/>
        <v>0</v>
      </c>
      <c r="M119" s="280">
        <f t="shared" ca="1" si="22"/>
        <v>0</v>
      </c>
      <c r="N119" s="280">
        <f t="shared" ca="1" si="22"/>
        <v>0</v>
      </c>
      <c r="O119" s="280">
        <f t="shared" ca="1" si="22"/>
        <v>0</v>
      </c>
      <c r="P119" s="280">
        <f t="shared" ca="1" si="22"/>
        <v>0</v>
      </c>
      <c r="Q119" s="280">
        <f t="shared" ca="1" si="22"/>
        <v>0</v>
      </c>
      <c r="R119" s="280">
        <f t="shared" ca="1" si="22"/>
        <v>0</v>
      </c>
      <c r="S119" s="280">
        <f t="shared" ca="1" si="22"/>
        <v>0</v>
      </c>
      <c r="T119" s="280">
        <f t="shared" ca="1" si="22"/>
        <v>0</v>
      </c>
      <c r="U119" s="280">
        <f t="shared" ca="1" si="22"/>
        <v>0</v>
      </c>
      <c r="V119" s="280">
        <f t="shared" ca="1" si="22"/>
        <v>0</v>
      </c>
      <c r="W119" s="280">
        <f t="shared" ca="1" si="22"/>
        <v>0</v>
      </c>
      <c r="X119" s="280">
        <f t="shared" ca="1" si="22"/>
        <v>0</v>
      </c>
      <c r="Y119" s="280">
        <f t="shared" ca="1" si="22"/>
        <v>0</v>
      </c>
      <c r="Z119" s="280"/>
    </row>
    <row r="120" spans="1:26">
      <c r="A120" s="79"/>
      <c r="B120" s="79"/>
      <c r="C120" s="79" t="s">
        <v>396</v>
      </c>
      <c r="D120" s="79"/>
      <c r="E120" s="280">
        <f t="shared" si="22"/>
        <v>0</v>
      </c>
      <c r="F120" s="280">
        <f t="shared" ca="1" si="22"/>
        <v>0</v>
      </c>
      <c r="G120" s="280">
        <f t="shared" ca="1" si="22"/>
        <v>0</v>
      </c>
      <c r="H120" s="280">
        <f t="shared" ca="1" si="22"/>
        <v>0</v>
      </c>
      <c r="I120" s="280">
        <f t="shared" ca="1" si="22"/>
        <v>0</v>
      </c>
      <c r="J120" s="280">
        <f t="shared" ca="1" si="22"/>
        <v>0</v>
      </c>
      <c r="K120" s="280">
        <f t="shared" ca="1" si="22"/>
        <v>0</v>
      </c>
      <c r="L120" s="280">
        <f t="shared" ca="1" si="22"/>
        <v>0</v>
      </c>
      <c r="M120" s="280">
        <f t="shared" ca="1" si="22"/>
        <v>0</v>
      </c>
      <c r="N120" s="280">
        <f t="shared" ca="1" si="22"/>
        <v>0</v>
      </c>
      <c r="O120" s="280">
        <f t="shared" ca="1" si="22"/>
        <v>0</v>
      </c>
      <c r="P120" s="280">
        <f t="shared" ca="1" si="22"/>
        <v>0</v>
      </c>
      <c r="Q120" s="280">
        <f t="shared" ca="1" si="22"/>
        <v>0</v>
      </c>
      <c r="R120" s="280">
        <f t="shared" ca="1" si="22"/>
        <v>0</v>
      </c>
      <c r="S120" s="280">
        <f t="shared" ca="1" si="22"/>
        <v>0</v>
      </c>
      <c r="T120" s="280">
        <f t="shared" ca="1" si="22"/>
        <v>0</v>
      </c>
      <c r="U120" s="280">
        <f t="shared" ca="1" si="22"/>
        <v>0</v>
      </c>
      <c r="V120" s="280">
        <f t="shared" ca="1" si="22"/>
        <v>0</v>
      </c>
      <c r="W120" s="280">
        <f t="shared" ca="1" si="22"/>
        <v>0</v>
      </c>
      <c r="X120" s="280">
        <f t="shared" ca="1" si="22"/>
        <v>0</v>
      </c>
      <c r="Y120" s="280">
        <f t="shared" ca="1" si="22"/>
        <v>0</v>
      </c>
      <c r="Z120" s="280"/>
    </row>
    <row r="121" spans="1:26">
      <c r="A121" s="79"/>
      <c r="B121" s="79"/>
      <c r="C121" s="79" t="s">
        <v>397</v>
      </c>
      <c r="D121" s="79"/>
      <c r="E121" s="280">
        <f t="shared" si="22"/>
        <v>0</v>
      </c>
      <c r="F121" s="280">
        <f t="shared" ca="1" si="22"/>
        <v>0</v>
      </c>
      <c r="G121" s="280">
        <f t="shared" ca="1" si="22"/>
        <v>0</v>
      </c>
      <c r="H121" s="280">
        <f t="shared" ca="1" si="22"/>
        <v>0</v>
      </c>
      <c r="I121" s="280">
        <f t="shared" ca="1" si="22"/>
        <v>0</v>
      </c>
      <c r="J121" s="280">
        <f t="shared" ca="1" si="22"/>
        <v>0</v>
      </c>
      <c r="K121" s="280">
        <f t="shared" ca="1" si="22"/>
        <v>0</v>
      </c>
      <c r="L121" s="280">
        <f t="shared" ca="1" si="22"/>
        <v>0</v>
      </c>
      <c r="M121" s="280">
        <f t="shared" ca="1" si="22"/>
        <v>0</v>
      </c>
      <c r="N121" s="280">
        <f t="shared" ca="1" si="22"/>
        <v>0</v>
      </c>
      <c r="O121" s="280">
        <f t="shared" ca="1" si="22"/>
        <v>0</v>
      </c>
      <c r="P121" s="280">
        <f t="shared" ca="1" si="22"/>
        <v>0</v>
      </c>
      <c r="Q121" s="280">
        <f t="shared" ca="1" si="22"/>
        <v>0</v>
      </c>
      <c r="R121" s="280">
        <f t="shared" ca="1" si="22"/>
        <v>0</v>
      </c>
      <c r="S121" s="280">
        <f t="shared" ca="1" si="22"/>
        <v>0</v>
      </c>
      <c r="T121" s="280">
        <f t="shared" ca="1" si="22"/>
        <v>0</v>
      </c>
      <c r="U121" s="280">
        <f t="shared" ca="1" si="22"/>
        <v>0</v>
      </c>
      <c r="V121" s="280">
        <f t="shared" ca="1" si="22"/>
        <v>0</v>
      </c>
      <c r="W121" s="280">
        <f t="shared" ca="1" si="22"/>
        <v>0</v>
      </c>
      <c r="X121" s="280">
        <f t="shared" ca="1" si="22"/>
        <v>0</v>
      </c>
      <c r="Y121" s="280">
        <f t="shared" ca="1" si="22"/>
        <v>0</v>
      </c>
      <c r="Z121" s="280"/>
    </row>
    <row r="122" spans="1:26">
      <c r="A122" s="79"/>
      <c r="B122" s="79"/>
      <c r="C122" s="79" t="s">
        <v>398</v>
      </c>
      <c r="D122" s="79"/>
      <c r="E122" s="280">
        <f t="shared" si="22"/>
        <v>0</v>
      </c>
      <c r="F122" s="280">
        <f t="shared" ca="1" si="22"/>
        <v>0</v>
      </c>
      <c r="G122" s="280">
        <f t="shared" ca="1" si="22"/>
        <v>0</v>
      </c>
      <c r="H122" s="280">
        <f t="shared" ca="1" si="22"/>
        <v>0</v>
      </c>
      <c r="I122" s="280">
        <f t="shared" ca="1" si="22"/>
        <v>0</v>
      </c>
      <c r="J122" s="280">
        <f t="shared" ca="1" si="22"/>
        <v>0</v>
      </c>
      <c r="K122" s="280">
        <f t="shared" ca="1" si="22"/>
        <v>0</v>
      </c>
      <c r="L122" s="280">
        <f t="shared" ca="1" si="22"/>
        <v>0</v>
      </c>
      <c r="M122" s="280">
        <f t="shared" ca="1" si="22"/>
        <v>0</v>
      </c>
      <c r="N122" s="280">
        <f t="shared" ca="1" si="22"/>
        <v>0</v>
      </c>
      <c r="O122" s="280">
        <f t="shared" ca="1" si="22"/>
        <v>0</v>
      </c>
      <c r="P122" s="280">
        <f t="shared" ca="1" si="22"/>
        <v>0</v>
      </c>
      <c r="Q122" s="280">
        <f t="shared" ca="1" si="22"/>
        <v>0</v>
      </c>
      <c r="R122" s="280">
        <f t="shared" ca="1" si="22"/>
        <v>0</v>
      </c>
      <c r="S122" s="280">
        <f t="shared" ca="1" si="22"/>
        <v>0</v>
      </c>
      <c r="T122" s="280">
        <f t="shared" ca="1" si="22"/>
        <v>0</v>
      </c>
      <c r="U122" s="280">
        <f t="shared" ca="1" si="22"/>
        <v>0</v>
      </c>
      <c r="V122" s="280">
        <f t="shared" ca="1" si="22"/>
        <v>0</v>
      </c>
      <c r="W122" s="280">
        <f t="shared" ca="1" si="22"/>
        <v>0</v>
      </c>
      <c r="X122" s="280">
        <f t="shared" ca="1" si="22"/>
        <v>0</v>
      </c>
      <c r="Y122" s="280">
        <f t="shared" ca="1" si="22"/>
        <v>0</v>
      </c>
      <c r="Z122" s="280"/>
    </row>
    <row r="123" spans="1:26">
      <c r="A123" s="79"/>
      <c r="B123" s="79"/>
      <c r="C123" s="79" t="s">
        <v>399</v>
      </c>
      <c r="D123" s="79"/>
      <c r="E123" s="280">
        <f t="shared" si="22"/>
        <v>0</v>
      </c>
      <c r="F123" s="280">
        <f t="shared" ca="1" si="22"/>
        <v>0</v>
      </c>
      <c r="G123" s="280">
        <f t="shared" ca="1" si="22"/>
        <v>0</v>
      </c>
      <c r="H123" s="280">
        <f t="shared" ca="1" si="22"/>
        <v>0</v>
      </c>
      <c r="I123" s="280">
        <f t="shared" ca="1" si="22"/>
        <v>0</v>
      </c>
      <c r="J123" s="280">
        <f t="shared" ca="1" si="22"/>
        <v>0</v>
      </c>
      <c r="K123" s="280">
        <f t="shared" ca="1" si="22"/>
        <v>0</v>
      </c>
      <c r="L123" s="280">
        <f t="shared" ca="1" si="22"/>
        <v>0</v>
      </c>
      <c r="M123" s="280">
        <f t="shared" ca="1" si="22"/>
        <v>0</v>
      </c>
      <c r="N123" s="280">
        <f t="shared" ca="1" si="22"/>
        <v>0</v>
      </c>
      <c r="O123" s="280">
        <f t="shared" ca="1" si="22"/>
        <v>0</v>
      </c>
      <c r="P123" s="280">
        <f t="shared" ca="1" si="22"/>
        <v>0</v>
      </c>
      <c r="Q123" s="280">
        <f t="shared" ca="1" si="22"/>
        <v>0</v>
      </c>
      <c r="R123" s="280">
        <f t="shared" ca="1" si="22"/>
        <v>0</v>
      </c>
      <c r="S123" s="280">
        <f t="shared" ca="1" si="22"/>
        <v>0</v>
      </c>
      <c r="T123" s="280">
        <f t="shared" ca="1" si="22"/>
        <v>0</v>
      </c>
      <c r="U123" s="280">
        <f t="shared" ca="1" si="22"/>
        <v>0</v>
      </c>
      <c r="V123" s="280">
        <f t="shared" ca="1" si="22"/>
        <v>0</v>
      </c>
      <c r="W123" s="280">
        <f t="shared" ca="1" si="22"/>
        <v>0</v>
      </c>
      <c r="X123" s="280">
        <f t="shared" ca="1" si="22"/>
        <v>0</v>
      </c>
      <c r="Y123" s="280">
        <f t="shared" ca="1" si="22"/>
        <v>0</v>
      </c>
      <c r="Z123" s="280"/>
    </row>
    <row r="124" spans="1:26">
      <c r="A124" s="79"/>
      <c r="B124" s="79"/>
      <c r="C124" s="79" t="s">
        <v>400</v>
      </c>
      <c r="D124" s="79"/>
      <c r="E124" s="280">
        <f t="shared" si="22"/>
        <v>0</v>
      </c>
      <c r="F124" s="280">
        <f t="shared" ca="1" si="22"/>
        <v>0</v>
      </c>
      <c r="G124" s="280">
        <f t="shared" ca="1" si="22"/>
        <v>0</v>
      </c>
      <c r="H124" s="280">
        <f t="shared" ca="1" si="22"/>
        <v>0</v>
      </c>
      <c r="I124" s="280">
        <f t="shared" ca="1" si="22"/>
        <v>0</v>
      </c>
      <c r="J124" s="280">
        <f t="shared" ca="1" si="22"/>
        <v>0</v>
      </c>
      <c r="K124" s="280">
        <f t="shared" ca="1" si="22"/>
        <v>0</v>
      </c>
      <c r="L124" s="280">
        <f t="shared" ca="1" si="22"/>
        <v>0</v>
      </c>
      <c r="M124" s="280">
        <f t="shared" ca="1" si="22"/>
        <v>0</v>
      </c>
      <c r="N124" s="280">
        <f t="shared" ca="1" si="22"/>
        <v>0</v>
      </c>
      <c r="O124" s="280">
        <f t="shared" ca="1" si="22"/>
        <v>0</v>
      </c>
      <c r="P124" s="280">
        <f t="shared" ca="1" si="22"/>
        <v>0</v>
      </c>
      <c r="Q124" s="280">
        <f t="shared" ca="1" si="22"/>
        <v>0</v>
      </c>
      <c r="R124" s="280">
        <f t="shared" ca="1" si="22"/>
        <v>0</v>
      </c>
      <c r="S124" s="280">
        <f t="shared" ca="1" si="22"/>
        <v>0</v>
      </c>
      <c r="T124" s="280">
        <f t="shared" ca="1" si="22"/>
        <v>0</v>
      </c>
      <c r="U124" s="280">
        <f t="shared" ca="1" si="22"/>
        <v>0</v>
      </c>
      <c r="V124" s="280">
        <f t="shared" ca="1" si="22"/>
        <v>0</v>
      </c>
      <c r="W124" s="280">
        <f t="shared" ca="1" si="22"/>
        <v>0</v>
      </c>
      <c r="X124" s="280">
        <f t="shared" ca="1" si="22"/>
        <v>0</v>
      </c>
      <c r="Y124" s="280">
        <f t="shared" ca="1" si="22"/>
        <v>0</v>
      </c>
      <c r="Z124" s="280"/>
    </row>
    <row r="125" spans="1:26">
      <c r="A125" s="79"/>
      <c r="B125" s="79"/>
      <c r="C125" s="79" t="s">
        <v>401</v>
      </c>
      <c r="D125" s="79"/>
      <c r="E125" s="280">
        <f t="shared" si="22"/>
        <v>0</v>
      </c>
      <c r="F125" s="280">
        <f t="shared" ca="1" si="22"/>
        <v>0</v>
      </c>
      <c r="G125" s="280">
        <f t="shared" ca="1" si="22"/>
        <v>0</v>
      </c>
      <c r="H125" s="280">
        <f t="shared" ca="1" si="22"/>
        <v>0</v>
      </c>
      <c r="I125" s="280">
        <f t="shared" ca="1" si="22"/>
        <v>0</v>
      </c>
      <c r="J125" s="280">
        <f t="shared" ca="1" si="22"/>
        <v>0</v>
      </c>
      <c r="K125" s="280">
        <f t="shared" ca="1" si="22"/>
        <v>0</v>
      </c>
      <c r="L125" s="280">
        <f t="shared" ca="1" si="22"/>
        <v>0</v>
      </c>
      <c r="M125" s="280">
        <f t="shared" ca="1" si="22"/>
        <v>0</v>
      </c>
      <c r="N125" s="280">
        <f t="shared" ca="1" si="22"/>
        <v>0</v>
      </c>
      <c r="O125" s="280">
        <f t="shared" ca="1" si="22"/>
        <v>0</v>
      </c>
      <c r="P125" s="280">
        <f t="shared" ca="1" si="22"/>
        <v>0</v>
      </c>
      <c r="Q125" s="280">
        <f t="shared" ca="1" si="22"/>
        <v>0</v>
      </c>
      <c r="R125" s="280">
        <f t="shared" ca="1" si="22"/>
        <v>0</v>
      </c>
      <c r="S125" s="280">
        <f t="shared" ca="1" si="22"/>
        <v>0</v>
      </c>
      <c r="T125" s="280">
        <f t="shared" ca="1" si="22"/>
        <v>0</v>
      </c>
      <c r="U125" s="280">
        <f t="shared" ca="1" si="22"/>
        <v>0</v>
      </c>
      <c r="V125" s="280">
        <f t="shared" ca="1" si="22"/>
        <v>0</v>
      </c>
      <c r="W125" s="280">
        <f t="shared" ca="1" si="22"/>
        <v>0</v>
      </c>
      <c r="X125" s="280">
        <f t="shared" ca="1" si="22"/>
        <v>0</v>
      </c>
      <c r="Y125" s="280">
        <f t="shared" ca="1" si="22"/>
        <v>0</v>
      </c>
      <c r="Z125" s="280"/>
    </row>
    <row r="126" spans="1:26">
      <c r="A126" s="79"/>
      <c r="B126" s="79"/>
      <c r="C126" s="79" t="s">
        <v>402</v>
      </c>
      <c r="D126" s="79"/>
      <c r="E126" s="280">
        <f t="shared" si="22"/>
        <v>0</v>
      </c>
      <c r="F126" s="280">
        <f t="shared" ca="1" si="22"/>
        <v>0</v>
      </c>
      <c r="G126" s="280">
        <f t="shared" ca="1" si="22"/>
        <v>0</v>
      </c>
      <c r="H126" s="280">
        <f t="shared" ca="1" si="22"/>
        <v>0</v>
      </c>
      <c r="I126" s="280">
        <f t="shared" ca="1" si="22"/>
        <v>0</v>
      </c>
      <c r="J126" s="280">
        <f t="shared" ca="1" si="22"/>
        <v>0</v>
      </c>
      <c r="K126" s="280">
        <f t="shared" ca="1" si="22"/>
        <v>0</v>
      </c>
      <c r="L126" s="280">
        <f t="shared" ca="1" si="22"/>
        <v>0</v>
      </c>
      <c r="M126" s="280">
        <f t="shared" ca="1" si="22"/>
        <v>0</v>
      </c>
      <c r="N126" s="280">
        <f t="shared" ca="1" si="22"/>
        <v>0</v>
      </c>
      <c r="O126" s="280">
        <f t="shared" ca="1" si="22"/>
        <v>0</v>
      </c>
      <c r="P126" s="280">
        <f t="shared" ca="1" si="22"/>
        <v>0</v>
      </c>
      <c r="Q126" s="280">
        <f t="shared" ca="1" si="22"/>
        <v>0</v>
      </c>
      <c r="R126" s="280">
        <f t="shared" ca="1" si="22"/>
        <v>0</v>
      </c>
      <c r="S126" s="280">
        <f t="shared" ca="1" si="22"/>
        <v>0</v>
      </c>
      <c r="T126" s="280">
        <f t="shared" ca="1" si="22"/>
        <v>0</v>
      </c>
      <c r="U126" s="280">
        <f t="shared" ca="1" si="22"/>
        <v>0</v>
      </c>
      <c r="V126" s="280">
        <f t="shared" ca="1" si="22"/>
        <v>0</v>
      </c>
      <c r="W126" s="280">
        <f t="shared" ca="1" si="22"/>
        <v>0</v>
      </c>
      <c r="X126" s="280">
        <f t="shared" ca="1" si="22"/>
        <v>0</v>
      </c>
      <c r="Y126" s="280">
        <f t="shared" ca="1" si="22"/>
        <v>0</v>
      </c>
      <c r="Z126" s="280"/>
    </row>
    <row r="127" spans="1:26">
      <c r="A127" s="79"/>
      <c r="B127" s="79"/>
      <c r="C127" s="79" t="s">
        <v>403</v>
      </c>
      <c r="D127" s="79"/>
      <c r="E127" s="280">
        <f t="shared" si="22"/>
        <v>0</v>
      </c>
      <c r="F127" s="280">
        <f t="shared" ca="1" si="22"/>
        <v>0</v>
      </c>
      <c r="G127" s="280">
        <f t="shared" ca="1" si="22"/>
        <v>0</v>
      </c>
      <c r="H127" s="280">
        <f t="shared" ref="H127:Y142" ca="1" si="23">H90-H89</f>
        <v>0</v>
      </c>
      <c r="I127" s="280">
        <f t="shared" ca="1" si="23"/>
        <v>0</v>
      </c>
      <c r="J127" s="280">
        <f t="shared" ca="1" si="23"/>
        <v>0</v>
      </c>
      <c r="K127" s="280">
        <f t="shared" ca="1" si="23"/>
        <v>0</v>
      </c>
      <c r="L127" s="280">
        <f t="shared" ca="1" si="23"/>
        <v>0</v>
      </c>
      <c r="M127" s="280">
        <f t="shared" ca="1" si="23"/>
        <v>0</v>
      </c>
      <c r="N127" s="280">
        <f t="shared" ca="1" si="23"/>
        <v>0</v>
      </c>
      <c r="O127" s="280">
        <f t="shared" ca="1" si="23"/>
        <v>0</v>
      </c>
      <c r="P127" s="280">
        <f t="shared" ca="1" si="23"/>
        <v>0</v>
      </c>
      <c r="Q127" s="280">
        <f t="shared" ca="1" si="23"/>
        <v>0</v>
      </c>
      <c r="R127" s="280">
        <f t="shared" ca="1" si="23"/>
        <v>0</v>
      </c>
      <c r="S127" s="280">
        <f t="shared" ca="1" si="23"/>
        <v>0</v>
      </c>
      <c r="T127" s="280">
        <f t="shared" ca="1" si="23"/>
        <v>0</v>
      </c>
      <c r="U127" s="280">
        <f t="shared" ca="1" si="23"/>
        <v>0</v>
      </c>
      <c r="V127" s="280">
        <f t="shared" ca="1" si="23"/>
        <v>0</v>
      </c>
      <c r="W127" s="280">
        <f t="shared" ca="1" si="23"/>
        <v>0</v>
      </c>
      <c r="X127" s="280">
        <f t="shared" ca="1" si="23"/>
        <v>0</v>
      </c>
      <c r="Y127" s="280">
        <f t="shared" ca="1" si="23"/>
        <v>0</v>
      </c>
      <c r="Z127" s="280"/>
    </row>
    <row r="128" spans="1:26">
      <c r="A128" s="79"/>
      <c r="B128" s="79"/>
      <c r="C128" s="79" t="s">
        <v>404</v>
      </c>
      <c r="D128" s="79"/>
      <c r="E128" s="280">
        <f t="shared" ref="E128:X140" si="24">E91-E90</f>
        <v>0</v>
      </c>
      <c r="F128" s="280">
        <f t="shared" ca="1" si="24"/>
        <v>0</v>
      </c>
      <c r="G128" s="280">
        <f t="shared" ca="1" si="24"/>
        <v>0</v>
      </c>
      <c r="H128" s="280">
        <f t="shared" ca="1" si="24"/>
        <v>0</v>
      </c>
      <c r="I128" s="280">
        <f t="shared" ca="1" si="24"/>
        <v>0</v>
      </c>
      <c r="J128" s="280">
        <f t="shared" ca="1" si="24"/>
        <v>0</v>
      </c>
      <c r="K128" s="280">
        <f t="shared" ca="1" si="24"/>
        <v>0</v>
      </c>
      <c r="L128" s="280">
        <f t="shared" ca="1" si="24"/>
        <v>0</v>
      </c>
      <c r="M128" s="280">
        <f t="shared" ca="1" si="24"/>
        <v>0</v>
      </c>
      <c r="N128" s="280">
        <f t="shared" ca="1" si="24"/>
        <v>0</v>
      </c>
      <c r="O128" s="280">
        <f t="shared" ca="1" si="24"/>
        <v>0</v>
      </c>
      <c r="P128" s="280">
        <f t="shared" ca="1" si="24"/>
        <v>0</v>
      </c>
      <c r="Q128" s="280">
        <f t="shared" ca="1" si="24"/>
        <v>0</v>
      </c>
      <c r="R128" s="280">
        <f t="shared" ca="1" si="24"/>
        <v>0</v>
      </c>
      <c r="S128" s="280">
        <f t="shared" ca="1" si="24"/>
        <v>0</v>
      </c>
      <c r="T128" s="280">
        <f t="shared" ca="1" si="24"/>
        <v>0</v>
      </c>
      <c r="U128" s="280">
        <f t="shared" ca="1" si="24"/>
        <v>0</v>
      </c>
      <c r="V128" s="280">
        <f t="shared" ca="1" si="24"/>
        <v>0</v>
      </c>
      <c r="W128" s="280">
        <f t="shared" ca="1" si="24"/>
        <v>0</v>
      </c>
      <c r="X128" s="280">
        <f t="shared" ca="1" si="24"/>
        <v>0</v>
      </c>
      <c r="Y128" s="280">
        <f t="shared" ca="1" si="23"/>
        <v>0</v>
      </c>
      <c r="Z128" s="280"/>
    </row>
    <row r="129" spans="1:26">
      <c r="A129" s="79"/>
      <c r="B129" s="79"/>
      <c r="C129" s="79" t="s">
        <v>405</v>
      </c>
      <c r="D129" s="79"/>
      <c r="E129" s="280">
        <f t="shared" si="24"/>
        <v>0</v>
      </c>
      <c r="F129" s="280">
        <f t="shared" ca="1" si="24"/>
        <v>0</v>
      </c>
      <c r="G129" s="280">
        <f t="shared" ca="1" si="24"/>
        <v>0</v>
      </c>
      <c r="H129" s="280">
        <f t="shared" ca="1" si="24"/>
        <v>0</v>
      </c>
      <c r="I129" s="280">
        <f t="shared" ca="1" si="24"/>
        <v>0</v>
      </c>
      <c r="J129" s="280">
        <f t="shared" ca="1" si="24"/>
        <v>0</v>
      </c>
      <c r="K129" s="280">
        <f t="shared" ca="1" si="24"/>
        <v>0</v>
      </c>
      <c r="L129" s="280">
        <f t="shared" ca="1" si="24"/>
        <v>0</v>
      </c>
      <c r="M129" s="280">
        <f t="shared" ca="1" si="24"/>
        <v>0</v>
      </c>
      <c r="N129" s="280">
        <f t="shared" ca="1" si="24"/>
        <v>0</v>
      </c>
      <c r="O129" s="280">
        <f t="shared" ca="1" si="24"/>
        <v>0</v>
      </c>
      <c r="P129" s="280">
        <f t="shared" ca="1" si="24"/>
        <v>0</v>
      </c>
      <c r="Q129" s="280">
        <f t="shared" ca="1" si="24"/>
        <v>0</v>
      </c>
      <c r="R129" s="280">
        <f t="shared" ca="1" si="24"/>
        <v>0</v>
      </c>
      <c r="S129" s="280">
        <f t="shared" ca="1" si="24"/>
        <v>0</v>
      </c>
      <c r="T129" s="280">
        <f t="shared" ca="1" si="24"/>
        <v>0</v>
      </c>
      <c r="U129" s="280">
        <f t="shared" ca="1" si="24"/>
        <v>0</v>
      </c>
      <c r="V129" s="280">
        <f t="shared" ca="1" si="24"/>
        <v>0</v>
      </c>
      <c r="W129" s="280">
        <f t="shared" ca="1" si="24"/>
        <v>0</v>
      </c>
      <c r="X129" s="280">
        <f t="shared" ca="1" si="24"/>
        <v>0</v>
      </c>
      <c r="Y129" s="280">
        <f t="shared" ca="1" si="23"/>
        <v>0</v>
      </c>
      <c r="Z129" s="280"/>
    </row>
    <row r="130" spans="1:26">
      <c r="A130" s="79"/>
      <c r="B130" s="79"/>
      <c r="C130" s="79" t="s">
        <v>406</v>
      </c>
      <c r="D130" s="79"/>
      <c r="E130" s="280">
        <f t="shared" si="24"/>
        <v>0</v>
      </c>
      <c r="F130" s="280">
        <f t="shared" ca="1" si="24"/>
        <v>0</v>
      </c>
      <c r="G130" s="280">
        <f t="shared" ca="1" si="24"/>
        <v>0</v>
      </c>
      <c r="H130" s="280">
        <f t="shared" ca="1" si="24"/>
        <v>0</v>
      </c>
      <c r="I130" s="280">
        <f t="shared" ca="1" si="24"/>
        <v>0</v>
      </c>
      <c r="J130" s="280">
        <f t="shared" ca="1" si="24"/>
        <v>0</v>
      </c>
      <c r="K130" s="280">
        <f t="shared" ca="1" si="24"/>
        <v>0</v>
      </c>
      <c r="L130" s="280">
        <f t="shared" ca="1" si="24"/>
        <v>0</v>
      </c>
      <c r="M130" s="280">
        <f t="shared" ca="1" si="24"/>
        <v>0</v>
      </c>
      <c r="N130" s="280">
        <f t="shared" ca="1" si="24"/>
        <v>0</v>
      </c>
      <c r="O130" s="280">
        <f t="shared" ca="1" si="24"/>
        <v>0</v>
      </c>
      <c r="P130" s="280">
        <f t="shared" ca="1" si="24"/>
        <v>0</v>
      </c>
      <c r="Q130" s="280">
        <f t="shared" ca="1" si="24"/>
        <v>0</v>
      </c>
      <c r="R130" s="280">
        <f t="shared" ca="1" si="24"/>
        <v>0</v>
      </c>
      <c r="S130" s="280">
        <f t="shared" ca="1" si="24"/>
        <v>0</v>
      </c>
      <c r="T130" s="280">
        <f t="shared" ca="1" si="24"/>
        <v>0</v>
      </c>
      <c r="U130" s="280">
        <f t="shared" ca="1" si="24"/>
        <v>0</v>
      </c>
      <c r="V130" s="280">
        <f t="shared" ca="1" si="24"/>
        <v>0</v>
      </c>
      <c r="W130" s="280">
        <f t="shared" ca="1" si="24"/>
        <v>0</v>
      </c>
      <c r="X130" s="280">
        <f t="shared" ca="1" si="24"/>
        <v>0</v>
      </c>
      <c r="Y130" s="280">
        <f t="shared" ca="1" si="23"/>
        <v>0</v>
      </c>
      <c r="Z130" s="280"/>
    </row>
    <row r="131" spans="1:26">
      <c r="A131" s="79"/>
      <c r="B131" s="79"/>
      <c r="C131" s="79" t="s">
        <v>407</v>
      </c>
      <c r="D131" s="79"/>
      <c r="E131" s="280">
        <f t="shared" si="24"/>
        <v>0</v>
      </c>
      <c r="F131" s="280">
        <f t="shared" ca="1" si="24"/>
        <v>0</v>
      </c>
      <c r="G131" s="280">
        <f t="shared" ca="1" si="24"/>
        <v>0</v>
      </c>
      <c r="H131" s="280">
        <f t="shared" ca="1" si="24"/>
        <v>0</v>
      </c>
      <c r="I131" s="280">
        <f t="shared" ca="1" si="24"/>
        <v>0</v>
      </c>
      <c r="J131" s="280">
        <f t="shared" ca="1" si="24"/>
        <v>0</v>
      </c>
      <c r="K131" s="280">
        <f t="shared" ca="1" si="24"/>
        <v>0</v>
      </c>
      <c r="L131" s="280">
        <f t="shared" ca="1" si="24"/>
        <v>0</v>
      </c>
      <c r="M131" s="280">
        <f t="shared" ca="1" si="24"/>
        <v>0</v>
      </c>
      <c r="N131" s="280">
        <f t="shared" ca="1" si="24"/>
        <v>0</v>
      </c>
      <c r="O131" s="280">
        <f t="shared" ca="1" si="24"/>
        <v>0</v>
      </c>
      <c r="P131" s="280">
        <f t="shared" ca="1" si="24"/>
        <v>0</v>
      </c>
      <c r="Q131" s="280">
        <f t="shared" ca="1" si="24"/>
        <v>0</v>
      </c>
      <c r="R131" s="280">
        <f t="shared" ca="1" si="24"/>
        <v>0</v>
      </c>
      <c r="S131" s="280">
        <f t="shared" ca="1" si="24"/>
        <v>0</v>
      </c>
      <c r="T131" s="280">
        <f t="shared" ca="1" si="24"/>
        <v>0</v>
      </c>
      <c r="U131" s="280">
        <f t="shared" ca="1" si="24"/>
        <v>0</v>
      </c>
      <c r="V131" s="280">
        <f t="shared" ca="1" si="24"/>
        <v>0</v>
      </c>
      <c r="W131" s="280">
        <f t="shared" ca="1" si="24"/>
        <v>0</v>
      </c>
      <c r="X131" s="280">
        <f t="shared" ca="1" si="24"/>
        <v>0</v>
      </c>
      <c r="Y131" s="280">
        <f t="shared" ca="1" si="23"/>
        <v>0</v>
      </c>
      <c r="Z131" s="280"/>
    </row>
    <row r="132" spans="1:26">
      <c r="A132" s="79"/>
      <c r="B132" s="79"/>
      <c r="C132" s="79" t="s">
        <v>408</v>
      </c>
      <c r="D132" s="79"/>
      <c r="E132" s="280">
        <f t="shared" si="24"/>
        <v>0</v>
      </c>
      <c r="F132" s="280">
        <f t="shared" ca="1" si="24"/>
        <v>0</v>
      </c>
      <c r="G132" s="280">
        <f t="shared" ca="1" si="24"/>
        <v>0</v>
      </c>
      <c r="H132" s="280">
        <f t="shared" ca="1" si="24"/>
        <v>0</v>
      </c>
      <c r="I132" s="280">
        <f t="shared" ca="1" si="24"/>
        <v>0</v>
      </c>
      <c r="J132" s="280">
        <f t="shared" ca="1" si="24"/>
        <v>0</v>
      </c>
      <c r="K132" s="280">
        <f t="shared" ca="1" si="24"/>
        <v>0</v>
      </c>
      <c r="L132" s="280">
        <f t="shared" ca="1" si="24"/>
        <v>0</v>
      </c>
      <c r="M132" s="280">
        <f t="shared" ca="1" si="24"/>
        <v>0</v>
      </c>
      <c r="N132" s="280">
        <f t="shared" ca="1" si="24"/>
        <v>0</v>
      </c>
      <c r="O132" s="280">
        <f t="shared" ca="1" si="24"/>
        <v>0</v>
      </c>
      <c r="P132" s="280">
        <f t="shared" ca="1" si="24"/>
        <v>0</v>
      </c>
      <c r="Q132" s="280">
        <f t="shared" ca="1" si="24"/>
        <v>0</v>
      </c>
      <c r="R132" s="280">
        <f t="shared" ca="1" si="24"/>
        <v>0</v>
      </c>
      <c r="S132" s="280">
        <f t="shared" ca="1" si="24"/>
        <v>0</v>
      </c>
      <c r="T132" s="280">
        <f t="shared" ca="1" si="24"/>
        <v>0</v>
      </c>
      <c r="U132" s="280">
        <f t="shared" ca="1" si="24"/>
        <v>0</v>
      </c>
      <c r="V132" s="280">
        <f t="shared" ca="1" si="24"/>
        <v>0</v>
      </c>
      <c r="W132" s="280">
        <f t="shared" ca="1" si="24"/>
        <v>0</v>
      </c>
      <c r="X132" s="280">
        <f t="shared" ca="1" si="24"/>
        <v>0</v>
      </c>
      <c r="Y132" s="280">
        <f t="shared" ca="1" si="23"/>
        <v>0</v>
      </c>
      <c r="Z132" s="280"/>
    </row>
    <row r="133" spans="1:26">
      <c r="A133" s="79"/>
      <c r="B133" s="79"/>
      <c r="C133" s="79" t="s">
        <v>409</v>
      </c>
      <c r="D133" s="79"/>
      <c r="E133" s="280">
        <f t="shared" si="24"/>
        <v>0</v>
      </c>
      <c r="F133" s="280">
        <f t="shared" ca="1" si="24"/>
        <v>0</v>
      </c>
      <c r="G133" s="280">
        <f t="shared" ca="1" si="24"/>
        <v>0</v>
      </c>
      <c r="H133" s="280">
        <f t="shared" ca="1" si="24"/>
        <v>0</v>
      </c>
      <c r="I133" s="280">
        <f t="shared" ca="1" si="24"/>
        <v>0</v>
      </c>
      <c r="J133" s="280">
        <f t="shared" ca="1" si="24"/>
        <v>0</v>
      </c>
      <c r="K133" s="280">
        <f t="shared" ca="1" si="24"/>
        <v>0</v>
      </c>
      <c r="L133" s="280">
        <f t="shared" ca="1" si="24"/>
        <v>0</v>
      </c>
      <c r="M133" s="280">
        <f t="shared" ca="1" si="24"/>
        <v>0</v>
      </c>
      <c r="N133" s="280">
        <f t="shared" ca="1" si="24"/>
        <v>0</v>
      </c>
      <c r="O133" s="280">
        <f t="shared" ca="1" si="24"/>
        <v>0</v>
      </c>
      <c r="P133" s="280">
        <f t="shared" ca="1" si="24"/>
        <v>0</v>
      </c>
      <c r="Q133" s="280">
        <f t="shared" ca="1" si="24"/>
        <v>0</v>
      </c>
      <c r="R133" s="280">
        <f t="shared" ca="1" si="24"/>
        <v>0</v>
      </c>
      <c r="S133" s="280">
        <f t="shared" ca="1" si="24"/>
        <v>0</v>
      </c>
      <c r="T133" s="280">
        <f t="shared" ca="1" si="24"/>
        <v>0</v>
      </c>
      <c r="U133" s="280">
        <f t="shared" ca="1" si="24"/>
        <v>0</v>
      </c>
      <c r="V133" s="280">
        <f t="shared" ca="1" si="24"/>
        <v>0</v>
      </c>
      <c r="W133" s="280">
        <f t="shared" ca="1" si="24"/>
        <v>0</v>
      </c>
      <c r="X133" s="280">
        <f t="shared" ca="1" si="24"/>
        <v>0</v>
      </c>
      <c r="Y133" s="280">
        <f t="shared" ca="1" si="23"/>
        <v>0</v>
      </c>
      <c r="Z133" s="280"/>
    </row>
    <row r="134" spans="1:26">
      <c r="A134" s="79"/>
      <c r="B134" s="79"/>
      <c r="C134" s="79" t="s">
        <v>410</v>
      </c>
      <c r="D134" s="79"/>
      <c r="E134" s="280">
        <f t="shared" si="24"/>
        <v>0</v>
      </c>
      <c r="F134" s="280">
        <f t="shared" ca="1" si="24"/>
        <v>0</v>
      </c>
      <c r="G134" s="280">
        <f t="shared" ca="1" si="24"/>
        <v>0</v>
      </c>
      <c r="H134" s="280">
        <f t="shared" ca="1" si="24"/>
        <v>0</v>
      </c>
      <c r="I134" s="280">
        <f t="shared" ca="1" si="24"/>
        <v>0</v>
      </c>
      <c r="J134" s="280">
        <f t="shared" ca="1" si="24"/>
        <v>0</v>
      </c>
      <c r="K134" s="280">
        <f t="shared" ca="1" si="24"/>
        <v>0</v>
      </c>
      <c r="L134" s="280">
        <f t="shared" ca="1" si="24"/>
        <v>0</v>
      </c>
      <c r="M134" s="280">
        <f t="shared" ca="1" si="24"/>
        <v>0</v>
      </c>
      <c r="N134" s="280">
        <f t="shared" ca="1" si="24"/>
        <v>0</v>
      </c>
      <c r="O134" s="280">
        <f t="shared" ca="1" si="24"/>
        <v>0</v>
      </c>
      <c r="P134" s="280">
        <f t="shared" ca="1" si="24"/>
        <v>0</v>
      </c>
      <c r="Q134" s="280">
        <f t="shared" ca="1" si="24"/>
        <v>0</v>
      </c>
      <c r="R134" s="280">
        <f t="shared" ca="1" si="24"/>
        <v>0</v>
      </c>
      <c r="S134" s="280">
        <f t="shared" ca="1" si="24"/>
        <v>0</v>
      </c>
      <c r="T134" s="280">
        <f t="shared" ca="1" si="24"/>
        <v>0</v>
      </c>
      <c r="U134" s="280">
        <f t="shared" ca="1" si="24"/>
        <v>0</v>
      </c>
      <c r="V134" s="280">
        <f t="shared" ca="1" si="24"/>
        <v>0</v>
      </c>
      <c r="W134" s="280">
        <f t="shared" ca="1" si="24"/>
        <v>0</v>
      </c>
      <c r="X134" s="280">
        <f t="shared" ca="1" si="24"/>
        <v>0</v>
      </c>
      <c r="Y134" s="280">
        <f t="shared" ca="1" si="23"/>
        <v>0</v>
      </c>
      <c r="Z134" s="280"/>
    </row>
    <row r="135" spans="1:26">
      <c r="A135" s="79"/>
      <c r="B135" s="79"/>
      <c r="C135" s="79" t="s">
        <v>591</v>
      </c>
      <c r="D135" s="79"/>
      <c r="E135" s="280">
        <f t="shared" si="24"/>
        <v>0</v>
      </c>
      <c r="F135" s="280">
        <f t="shared" ca="1" si="24"/>
        <v>0</v>
      </c>
      <c r="G135" s="280">
        <f t="shared" ca="1" si="24"/>
        <v>0</v>
      </c>
      <c r="H135" s="280">
        <f t="shared" ca="1" si="24"/>
        <v>0</v>
      </c>
      <c r="I135" s="280">
        <f t="shared" ca="1" si="24"/>
        <v>0</v>
      </c>
      <c r="J135" s="280">
        <f t="shared" ca="1" si="24"/>
        <v>0</v>
      </c>
      <c r="K135" s="280">
        <f t="shared" ca="1" si="24"/>
        <v>0</v>
      </c>
      <c r="L135" s="280">
        <f t="shared" ca="1" si="24"/>
        <v>0</v>
      </c>
      <c r="M135" s="280">
        <f t="shared" ca="1" si="24"/>
        <v>0</v>
      </c>
      <c r="N135" s="280">
        <f t="shared" ca="1" si="24"/>
        <v>0</v>
      </c>
      <c r="O135" s="280">
        <f t="shared" ca="1" si="24"/>
        <v>0</v>
      </c>
      <c r="P135" s="280">
        <f t="shared" ca="1" si="24"/>
        <v>0</v>
      </c>
      <c r="Q135" s="280">
        <f t="shared" ca="1" si="24"/>
        <v>0</v>
      </c>
      <c r="R135" s="280">
        <f t="shared" ca="1" si="24"/>
        <v>0</v>
      </c>
      <c r="S135" s="280">
        <f t="shared" ca="1" si="24"/>
        <v>0</v>
      </c>
      <c r="T135" s="280">
        <f t="shared" ca="1" si="24"/>
        <v>0</v>
      </c>
      <c r="U135" s="280">
        <f t="shared" ca="1" si="24"/>
        <v>0</v>
      </c>
      <c r="V135" s="280">
        <f t="shared" ca="1" si="24"/>
        <v>0</v>
      </c>
      <c r="W135" s="280">
        <f t="shared" ca="1" si="24"/>
        <v>0</v>
      </c>
      <c r="X135" s="280">
        <f t="shared" ca="1" si="24"/>
        <v>0</v>
      </c>
      <c r="Y135" s="280">
        <f t="shared" ca="1" si="23"/>
        <v>0</v>
      </c>
      <c r="Z135" s="280"/>
    </row>
    <row r="136" spans="1:26">
      <c r="A136" s="79"/>
      <c r="B136" s="79"/>
      <c r="C136" s="79" t="s">
        <v>594</v>
      </c>
      <c r="D136" s="79"/>
      <c r="E136" s="280">
        <f t="shared" si="24"/>
        <v>0</v>
      </c>
      <c r="F136" s="280">
        <f t="shared" ca="1" si="24"/>
        <v>0</v>
      </c>
      <c r="G136" s="280">
        <f t="shared" ca="1" si="24"/>
        <v>0</v>
      </c>
      <c r="H136" s="280">
        <f t="shared" ca="1" si="24"/>
        <v>0</v>
      </c>
      <c r="I136" s="280">
        <f t="shared" ca="1" si="24"/>
        <v>0</v>
      </c>
      <c r="J136" s="280">
        <f t="shared" ca="1" si="24"/>
        <v>0</v>
      </c>
      <c r="K136" s="280">
        <f t="shared" ca="1" si="24"/>
        <v>0</v>
      </c>
      <c r="L136" s="280">
        <f t="shared" ca="1" si="24"/>
        <v>0</v>
      </c>
      <c r="M136" s="280">
        <f t="shared" ca="1" si="24"/>
        <v>0</v>
      </c>
      <c r="N136" s="280">
        <f t="shared" ca="1" si="24"/>
        <v>0</v>
      </c>
      <c r="O136" s="280">
        <f t="shared" ca="1" si="24"/>
        <v>0</v>
      </c>
      <c r="P136" s="280">
        <f t="shared" ca="1" si="24"/>
        <v>0</v>
      </c>
      <c r="Q136" s="280">
        <f t="shared" ca="1" si="24"/>
        <v>0</v>
      </c>
      <c r="R136" s="280">
        <f t="shared" ca="1" si="24"/>
        <v>0</v>
      </c>
      <c r="S136" s="280">
        <f t="shared" ca="1" si="24"/>
        <v>0</v>
      </c>
      <c r="T136" s="280">
        <f t="shared" ca="1" si="24"/>
        <v>0</v>
      </c>
      <c r="U136" s="280">
        <f t="shared" ca="1" si="24"/>
        <v>0</v>
      </c>
      <c r="V136" s="280">
        <f t="shared" ca="1" si="24"/>
        <v>0</v>
      </c>
      <c r="W136" s="280">
        <f t="shared" ca="1" si="24"/>
        <v>0</v>
      </c>
      <c r="X136" s="280">
        <f t="shared" ca="1" si="24"/>
        <v>0</v>
      </c>
      <c r="Y136" s="280">
        <f t="shared" ca="1" si="23"/>
        <v>0</v>
      </c>
      <c r="Z136" s="280"/>
    </row>
    <row r="137" spans="1:26">
      <c r="A137" s="79"/>
      <c r="B137" s="79"/>
      <c r="C137" s="79" t="s">
        <v>597</v>
      </c>
      <c r="D137" s="79"/>
      <c r="E137" s="280">
        <f t="shared" si="24"/>
        <v>0</v>
      </c>
      <c r="F137" s="280">
        <f t="shared" ca="1" si="24"/>
        <v>0</v>
      </c>
      <c r="G137" s="280">
        <f t="shared" ca="1" si="24"/>
        <v>0</v>
      </c>
      <c r="H137" s="280">
        <f t="shared" ca="1" si="24"/>
        <v>0</v>
      </c>
      <c r="I137" s="280">
        <f t="shared" ca="1" si="24"/>
        <v>0</v>
      </c>
      <c r="J137" s="280">
        <f t="shared" ca="1" si="24"/>
        <v>0</v>
      </c>
      <c r="K137" s="280">
        <f t="shared" ca="1" si="24"/>
        <v>0</v>
      </c>
      <c r="L137" s="280">
        <f t="shared" ca="1" si="24"/>
        <v>0</v>
      </c>
      <c r="M137" s="280">
        <f t="shared" ca="1" si="24"/>
        <v>0</v>
      </c>
      <c r="N137" s="280">
        <f t="shared" ca="1" si="24"/>
        <v>0</v>
      </c>
      <c r="O137" s="280">
        <f t="shared" ca="1" si="24"/>
        <v>0</v>
      </c>
      <c r="P137" s="280">
        <f t="shared" ca="1" si="24"/>
        <v>0</v>
      </c>
      <c r="Q137" s="280">
        <f t="shared" ca="1" si="24"/>
        <v>0</v>
      </c>
      <c r="R137" s="280">
        <f t="shared" ca="1" si="24"/>
        <v>0</v>
      </c>
      <c r="S137" s="280">
        <f t="shared" ca="1" si="24"/>
        <v>0</v>
      </c>
      <c r="T137" s="280">
        <f t="shared" ca="1" si="24"/>
        <v>0</v>
      </c>
      <c r="U137" s="280">
        <f t="shared" ca="1" si="24"/>
        <v>0</v>
      </c>
      <c r="V137" s="280">
        <f t="shared" ca="1" si="24"/>
        <v>0</v>
      </c>
      <c r="W137" s="280">
        <f t="shared" ca="1" si="24"/>
        <v>0</v>
      </c>
      <c r="X137" s="280">
        <f t="shared" ca="1" si="24"/>
        <v>0</v>
      </c>
      <c r="Y137" s="280">
        <f t="shared" ca="1" si="23"/>
        <v>0</v>
      </c>
      <c r="Z137" s="280"/>
    </row>
    <row r="138" spans="1:26">
      <c r="A138" s="79"/>
      <c r="B138" s="79"/>
      <c r="C138" s="79" t="s">
        <v>600</v>
      </c>
      <c r="D138" s="79"/>
      <c r="E138" s="280">
        <f t="shared" si="24"/>
        <v>0</v>
      </c>
      <c r="F138" s="280">
        <f t="shared" ca="1" si="24"/>
        <v>0</v>
      </c>
      <c r="G138" s="280">
        <f t="shared" ca="1" si="24"/>
        <v>0</v>
      </c>
      <c r="H138" s="280">
        <f t="shared" ca="1" si="24"/>
        <v>0</v>
      </c>
      <c r="I138" s="280">
        <f t="shared" ca="1" si="24"/>
        <v>0</v>
      </c>
      <c r="J138" s="280">
        <f t="shared" ca="1" si="24"/>
        <v>0</v>
      </c>
      <c r="K138" s="280">
        <f t="shared" ca="1" si="24"/>
        <v>0</v>
      </c>
      <c r="L138" s="280">
        <f t="shared" ca="1" si="24"/>
        <v>0</v>
      </c>
      <c r="M138" s="280">
        <f t="shared" ca="1" si="24"/>
        <v>0</v>
      </c>
      <c r="N138" s="280">
        <f t="shared" ca="1" si="24"/>
        <v>0</v>
      </c>
      <c r="O138" s="280">
        <f t="shared" ca="1" si="24"/>
        <v>0</v>
      </c>
      <c r="P138" s="280">
        <f t="shared" ca="1" si="24"/>
        <v>0</v>
      </c>
      <c r="Q138" s="280">
        <f t="shared" ca="1" si="24"/>
        <v>0</v>
      </c>
      <c r="R138" s="280">
        <f t="shared" ca="1" si="24"/>
        <v>0</v>
      </c>
      <c r="S138" s="280">
        <f t="shared" ca="1" si="24"/>
        <v>0</v>
      </c>
      <c r="T138" s="280">
        <f t="shared" ca="1" si="24"/>
        <v>0</v>
      </c>
      <c r="U138" s="280">
        <f t="shared" ca="1" si="24"/>
        <v>0</v>
      </c>
      <c r="V138" s="280">
        <f t="shared" ca="1" si="24"/>
        <v>0</v>
      </c>
      <c r="W138" s="280">
        <f t="shared" ca="1" si="24"/>
        <v>0</v>
      </c>
      <c r="X138" s="280">
        <f t="shared" ca="1" si="24"/>
        <v>0</v>
      </c>
      <c r="Y138" s="280">
        <f t="shared" ca="1" si="23"/>
        <v>0</v>
      </c>
      <c r="Z138" s="280"/>
    </row>
    <row r="139" spans="1:26">
      <c r="A139" s="79"/>
      <c r="B139" s="79"/>
      <c r="C139" s="79" t="s">
        <v>603</v>
      </c>
      <c r="D139" s="79"/>
      <c r="E139" s="280">
        <f t="shared" si="24"/>
        <v>0</v>
      </c>
      <c r="F139" s="280">
        <f t="shared" ca="1" si="24"/>
        <v>0</v>
      </c>
      <c r="G139" s="280">
        <f t="shared" ca="1" si="24"/>
        <v>0</v>
      </c>
      <c r="H139" s="280">
        <f t="shared" ca="1" si="24"/>
        <v>0</v>
      </c>
      <c r="I139" s="280">
        <f t="shared" ca="1" si="24"/>
        <v>0</v>
      </c>
      <c r="J139" s="280">
        <f t="shared" ca="1" si="24"/>
        <v>0</v>
      </c>
      <c r="K139" s="280">
        <f t="shared" ca="1" si="24"/>
        <v>0</v>
      </c>
      <c r="L139" s="280">
        <f t="shared" ca="1" si="24"/>
        <v>0</v>
      </c>
      <c r="M139" s="280">
        <f t="shared" ca="1" si="24"/>
        <v>0</v>
      </c>
      <c r="N139" s="280">
        <f t="shared" ca="1" si="24"/>
        <v>0</v>
      </c>
      <c r="O139" s="280">
        <f t="shared" ca="1" si="24"/>
        <v>0</v>
      </c>
      <c r="P139" s="280">
        <f t="shared" ca="1" si="24"/>
        <v>0</v>
      </c>
      <c r="Q139" s="280">
        <f t="shared" ca="1" si="24"/>
        <v>0</v>
      </c>
      <c r="R139" s="280">
        <f t="shared" ca="1" si="24"/>
        <v>0</v>
      </c>
      <c r="S139" s="280">
        <f t="shared" ca="1" si="24"/>
        <v>0</v>
      </c>
      <c r="T139" s="280">
        <f t="shared" ca="1" si="24"/>
        <v>0</v>
      </c>
      <c r="U139" s="280">
        <f t="shared" ca="1" si="24"/>
        <v>0</v>
      </c>
      <c r="V139" s="280">
        <f t="shared" ca="1" si="24"/>
        <v>0</v>
      </c>
      <c r="W139" s="280">
        <f t="shared" ca="1" si="24"/>
        <v>0</v>
      </c>
      <c r="X139" s="280">
        <f t="shared" ca="1" si="24"/>
        <v>0</v>
      </c>
      <c r="Y139" s="280">
        <f t="shared" ca="1" si="23"/>
        <v>0</v>
      </c>
      <c r="Z139" s="280"/>
    </row>
    <row r="140" spans="1:26">
      <c r="A140" s="79"/>
      <c r="B140" s="79"/>
      <c r="C140" s="79" t="s">
        <v>606</v>
      </c>
      <c r="D140" s="79"/>
      <c r="E140" s="280">
        <f t="shared" si="24"/>
        <v>0</v>
      </c>
      <c r="F140" s="280">
        <f t="shared" ca="1" si="24"/>
        <v>0</v>
      </c>
      <c r="G140" s="280">
        <f t="shared" ca="1" si="24"/>
        <v>0</v>
      </c>
      <c r="H140" s="280">
        <f t="shared" ca="1" si="24"/>
        <v>0</v>
      </c>
      <c r="I140" s="280">
        <f t="shared" ca="1" si="24"/>
        <v>0</v>
      </c>
      <c r="J140" s="280">
        <f t="shared" ca="1" si="24"/>
        <v>0</v>
      </c>
      <c r="K140" s="280">
        <f t="shared" ca="1" si="24"/>
        <v>0</v>
      </c>
      <c r="L140" s="280">
        <f t="shared" ca="1" si="24"/>
        <v>0</v>
      </c>
      <c r="M140" s="280">
        <f t="shared" ca="1" si="24"/>
        <v>0</v>
      </c>
      <c r="N140" s="280">
        <f t="shared" ca="1" si="24"/>
        <v>0</v>
      </c>
      <c r="O140" s="280">
        <f t="shared" ca="1" si="24"/>
        <v>0</v>
      </c>
      <c r="P140" s="280">
        <f t="shared" ca="1" si="24"/>
        <v>0</v>
      </c>
      <c r="Q140" s="280">
        <f t="shared" ca="1" si="24"/>
        <v>0</v>
      </c>
      <c r="R140" s="280">
        <f t="shared" ca="1" si="24"/>
        <v>0</v>
      </c>
      <c r="S140" s="280">
        <f t="shared" ca="1" si="24"/>
        <v>0</v>
      </c>
      <c r="T140" s="280">
        <f t="shared" ref="T140:X140" ca="1" si="25">T103-T102</f>
        <v>0</v>
      </c>
      <c r="U140" s="280">
        <f t="shared" ca="1" si="25"/>
        <v>0</v>
      </c>
      <c r="V140" s="280">
        <f t="shared" ca="1" si="25"/>
        <v>0</v>
      </c>
      <c r="W140" s="280">
        <f t="shared" ca="1" si="25"/>
        <v>0</v>
      </c>
      <c r="X140" s="280">
        <f t="shared" ca="1" si="25"/>
        <v>0</v>
      </c>
      <c r="Y140" s="280">
        <f t="shared" ca="1" si="23"/>
        <v>0</v>
      </c>
      <c r="Z140" s="280"/>
    </row>
    <row r="141" spans="1:26">
      <c r="A141" s="79"/>
      <c r="B141" s="79"/>
      <c r="C141" s="79" t="s">
        <v>609</v>
      </c>
      <c r="D141" s="79"/>
      <c r="E141" s="280">
        <f t="shared" ref="E141:X145" si="26">E104-E103</f>
        <v>0</v>
      </c>
      <c r="F141" s="280">
        <f t="shared" ca="1" si="26"/>
        <v>0</v>
      </c>
      <c r="G141" s="280">
        <f t="shared" ca="1" si="26"/>
        <v>0</v>
      </c>
      <c r="H141" s="280">
        <f t="shared" ca="1" si="26"/>
        <v>0</v>
      </c>
      <c r="I141" s="280">
        <f t="shared" ca="1" si="26"/>
        <v>0</v>
      </c>
      <c r="J141" s="280">
        <f t="shared" ca="1" si="26"/>
        <v>0</v>
      </c>
      <c r="K141" s="280">
        <f t="shared" ca="1" si="26"/>
        <v>0</v>
      </c>
      <c r="L141" s="280">
        <f t="shared" ca="1" si="26"/>
        <v>0</v>
      </c>
      <c r="M141" s="280">
        <f t="shared" ca="1" si="26"/>
        <v>0</v>
      </c>
      <c r="N141" s="280">
        <f t="shared" ca="1" si="26"/>
        <v>0</v>
      </c>
      <c r="O141" s="280">
        <f t="shared" ca="1" si="26"/>
        <v>0</v>
      </c>
      <c r="P141" s="280">
        <f t="shared" ca="1" si="26"/>
        <v>0</v>
      </c>
      <c r="Q141" s="280">
        <f t="shared" ca="1" si="26"/>
        <v>0</v>
      </c>
      <c r="R141" s="280">
        <f t="shared" ca="1" si="26"/>
        <v>0</v>
      </c>
      <c r="S141" s="280">
        <f t="shared" ca="1" si="26"/>
        <v>0</v>
      </c>
      <c r="T141" s="280">
        <f t="shared" ca="1" si="26"/>
        <v>0</v>
      </c>
      <c r="U141" s="280">
        <f t="shared" ca="1" si="26"/>
        <v>0</v>
      </c>
      <c r="V141" s="280">
        <f t="shared" ca="1" si="26"/>
        <v>0</v>
      </c>
      <c r="W141" s="280">
        <f t="shared" ca="1" si="26"/>
        <v>0</v>
      </c>
      <c r="X141" s="280">
        <f t="shared" ca="1" si="26"/>
        <v>0</v>
      </c>
      <c r="Y141" s="280">
        <f t="shared" ca="1" si="23"/>
        <v>0</v>
      </c>
      <c r="Z141" s="280"/>
    </row>
    <row r="142" spans="1:26">
      <c r="A142" s="79"/>
      <c r="B142" s="79"/>
      <c r="C142" s="79" t="s">
        <v>612</v>
      </c>
      <c r="D142" s="79"/>
      <c r="E142" s="280">
        <f t="shared" si="26"/>
        <v>0</v>
      </c>
      <c r="F142" s="280">
        <f t="shared" ca="1" si="26"/>
        <v>0</v>
      </c>
      <c r="G142" s="280">
        <f t="shared" ca="1" si="26"/>
        <v>0</v>
      </c>
      <c r="H142" s="280">
        <f t="shared" ca="1" si="26"/>
        <v>0</v>
      </c>
      <c r="I142" s="280">
        <f t="shared" ca="1" si="26"/>
        <v>0</v>
      </c>
      <c r="J142" s="280">
        <f t="shared" ca="1" si="26"/>
        <v>0</v>
      </c>
      <c r="K142" s="280">
        <f t="shared" ca="1" si="26"/>
        <v>0</v>
      </c>
      <c r="L142" s="280">
        <f t="shared" ca="1" si="26"/>
        <v>0</v>
      </c>
      <c r="M142" s="280">
        <f t="shared" ca="1" si="26"/>
        <v>0</v>
      </c>
      <c r="N142" s="280">
        <f t="shared" ca="1" si="26"/>
        <v>0</v>
      </c>
      <c r="O142" s="280">
        <f t="shared" ca="1" si="26"/>
        <v>0</v>
      </c>
      <c r="P142" s="280">
        <f t="shared" ca="1" si="26"/>
        <v>0</v>
      </c>
      <c r="Q142" s="280">
        <f t="shared" ca="1" si="26"/>
        <v>0</v>
      </c>
      <c r="R142" s="280">
        <f t="shared" ca="1" si="26"/>
        <v>0</v>
      </c>
      <c r="S142" s="280">
        <f t="shared" ca="1" si="26"/>
        <v>0</v>
      </c>
      <c r="T142" s="280">
        <f t="shared" ca="1" si="26"/>
        <v>0</v>
      </c>
      <c r="U142" s="280">
        <f t="shared" ca="1" si="26"/>
        <v>0</v>
      </c>
      <c r="V142" s="280">
        <f t="shared" ca="1" si="26"/>
        <v>0</v>
      </c>
      <c r="W142" s="280">
        <f t="shared" ca="1" si="26"/>
        <v>0</v>
      </c>
      <c r="X142" s="280">
        <f t="shared" ca="1" si="26"/>
        <v>0</v>
      </c>
      <c r="Y142" s="280">
        <f t="shared" ca="1" si="23"/>
        <v>0</v>
      </c>
      <c r="Z142" s="280"/>
    </row>
    <row r="143" spans="1:26">
      <c r="A143" s="79"/>
      <c r="B143" s="79"/>
      <c r="C143" s="79" t="s">
        <v>615</v>
      </c>
      <c r="D143" s="79"/>
      <c r="E143" s="280">
        <f t="shared" si="26"/>
        <v>0</v>
      </c>
      <c r="F143" s="280">
        <f t="shared" ca="1" si="26"/>
        <v>0</v>
      </c>
      <c r="G143" s="280">
        <f t="shared" ca="1" si="26"/>
        <v>0</v>
      </c>
      <c r="H143" s="280">
        <f t="shared" ca="1" si="26"/>
        <v>0</v>
      </c>
      <c r="I143" s="280">
        <f t="shared" ca="1" si="26"/>
        <v>0</v>
      </c>
      <c r="J143" s="280">
        <f t="shared" ca="1" si="26"/>
        <v>0</v>
      </c>
      <c r="K143" s="280">
        <f t="shared" ca="1" si="26"/>
        <v>0</v>
      </c>
      <c r="L143" s="280">
        <f t="shared" ca="1" si="26"/>
        <v>0</v>
      </c>
      <c r="M143" s="280">
        <f t="shared" ca="1" si="26"/>
        <v>0</v>
      </c>
      <c r="N143" s="280">
        <f t="shared" ca="1" si="26"/>
        <v>0</v>
      </c>
      <c r="O143" s="280">
        <f t="shared" ca="1" si="26"/>
        <v>0</v>
      </c>
      <c r="P143" s="280">
        <f t="shared" ca="1" si="26"/>
        <v>0</v>
      </c>
      <c r="Q143" s="280">
        <f t="shared" ca="1" si="26"/>
        <v>0</v>
      </c>
      <c r="R143" s="280">
        <f t="shared" ca="1" si="26"/>
        <v>0</v>
      </c>
      <c r="S143" s="280">
        <f t="shared" ca="1" si="26"/>
        <v>0</v>
      </c>
      <c r="T143" s="280">
        <f t="shared" ca="1" si="26"/>
        <v>0</v>
      </c>
      <c r="U143" s="280">
        <f t="shared" ca="1" si="26"/>
        <v>0</v>
      </c>
      <c r="V143" s="280">
        <f t="shared" ca="1" si="26"/>
        <v>0</v>
      </c>
      <c r="W143" s="280">
        <f t="shared" ca="1" si="26"/>
        <v>0</v>
      </c>
      <c r="X143" s="280">
        <f t="shared" ca="1" si="26"/>
        <v>0</v>
      </c>
      <c r="Y143" s="280">
        <f t="shared" ref="Y143:Y145" ca="1" si="27">Y106-Y105</f>
        <v>0</v>
      </c>
      <c r="Z143" s="280"/>
    </row>
    <row r="144" spans="1:26">
      <c r="A144" s="79"/>
      <c r="B144" s="79"/>
      <c r="C144" s="79" t="s">
        <v>618</v>
      </c>
      <c r="D144" s="79"/>
      <c r="E144" s="280">
        <f t="shared" si="26"/>
        <v>0</v>
      </c>
      <c r="F144" s="280">
        <f t="shared" ca="1" si="26"/>
        <v>0</v>
      </c>
      <c r="G144" s="280">
        <f t="shared" ca="1" si="26"/>
        <v>0</v>
      </c>
      <c r="H144" s="280">
        <f t="shared" ca="1" si="26"/>
        <v>0</v>
      </c>
      <c r="I144" s="280">
        <f t="shared" ca="1" si="26"/>
        <v>0</v>
      </c>
      <c r="J144" s="280">
        <f t="shared" ca="1" si="26"/>
        <v>0</v>
      </c>
      <c r="K144" s="280">
        <f t="shared" ca="1" si="26"/>
        <v>0</v>
      </c>
      <c r="L144" s="280">
        <f t="shared" ca="1" si="26"/>
        <v>0</v>
      </c>
      <c r="M144" s="280">
        <f t="shared" ca="1" si="26"/>
        <v>0</v>
      </c>
      <c r="N144" s="280">
        <f t="shared" ca="1" si="26"/>
        <v>0</v>
      </c>
      <c r="O144" s="280">
        <f t="shared" ca="1" si="26"/>
        <v>0</v>
      </c>
      <c r="P144" s="280">
        <f t="shared" ca="1" si="26"/>
        <v>0</v>
      </c>
      <c r="Q144" s="280">
        <f t="shared" ca="1" si="26"/>
        <v>0</v>
      </c>
      <c r="R144" s="280">
        <f t="shared" ca="1" si="26"/>
        <v>0</v>
      </c>
      <c r="S144" s="280">
        <f t="shared" ca="1" si="26"/>
        <v>0</v>
      </c>
      <c r="T144" s="280">
        <f t="shared" ca="1" si="26"/>
        <v>0</v>
      </c>
      <c r="U144" s="280">
        <f t="shared" ca="1" si="26"/>
        <v>0</v>
      </c>
      <c r="V144" s="280">
        <f t="shared" ca="1" si="26"/>
        <v>0</v>
      </c>
      <c r="W144" s="280">
        <f t="shared" ca="1" si="26"/>
        <v>0</v>
      </c>
      <c r="X144" s="280">
        <f t="shared" ca="1" si="26"/>
        <v>0</v>
      </c>
      <c r="Y144" s="280">
        <f t="shared" ca="1" si="27"/>
        <v>0</v>
      </c>
      <c r="Z144" s="280"/>
    </row>
    <row r="145" spans="1:26">
      <c r="A145" s="79"/>
      <c r="B145" s="79"/>
      <c r="C145" s="79" t="s">
        <v>621</v>
      </c>
      <c r="D145" s="79"/>
      <c r="E145" s="280">
        <f t="shared" si="26"/>
        <v>0</v>
      </c>
      <c r="F145" s="280">
        <f t="shared" ca="1" si="26"/>
        <v>0</v>
      </c>
      <c r="G145" s="280">
        <f t="shared" ca="1" si="26"/>
        <v>0</v>
      </c>
      <c r="H145" s="280">
        <f t="shared" ca="1" si="26"/>
        <v>0</v>
      </c>
      <c r="I145" s="280">
        <f t="shared" ca="1" si="26"/>
        <v>0</v>
      </c>
      <c r="J145" s="280">
        <f t="shared" ca="1" si="26"/>
        <v>0</v>
      </c>
      <c r="K145" s="280">
        <f t="shared" ca="1" si="26"/>
        <v>0</v>
      </c>
      <c r="L145" s="280">
        <f t="shared" ca="1" si="26"/>
        <v>0</v>
      </c>
      <c r="M145" s="280">
        <f t="shared" ca="1" si="26"/>
        <v>0</v>
      </c>
      <c r="N145" s="280">
        <f t="shared" ca="1" si="26"/>
        <v>0</v>
      </c>
      <c r="O145" s="280">
        <f t="shared" ca="1" si="26"/>
        <v>0</v>
      </c>
      <c r="P145" s="280">
        <f t="shared" ca="1" si="26"/>
        <v>0</v>
      </c>
      <c r="Q145" s="280">
        <f t="shared" ca="1" si="26"/>
        <v>0</v>
      </c>
      <c r="R145" s="280">
        <f t="shared" ca="1" si="26"/>
        <v>0</v>
      </c>
      <c r="S145" s="280">
        <f t="shared" ca="1" si="26"/>
        <v>0</v>
      </c>
      <c r="T145" s="280">
        <f t="shared" ca="1" si="26"/>
        <v>0</v>
      </c>
      <c r="U145" s="280">
        <f t="shared" ca="1" si="26"/>
        <v>0</v>
      </c>
      <c r="V145" s="280">
        <f t="shared" ca="1" si="26"/>
        <v>0</v>
      </c>
      <c r="W145" s="280">
        <f t="shared" ca="1" si="26"/>
        <v>0</v>
      </c>
      <c r="X145" s="280">
        <f t="shared" ca="1" si="26"/>
        <v>0</v>
      </c>
      <c r="Y145" s="280">
        <f t="shared" ca="1" si="27"/>
        <v>0</v>
      </c>
      <c r="Z145" s="280"/>
    </row>
    <row r="146" spans="1:26">
      <c r="A146" s="79"/>
      <c r="B146" s="79"/>
      <c r="C146" s="79"/>
      <c r="D146" s="79"/>
      <c r="E146" s="281"/>
      <c r="F146" s="79"/>
      <c r="G146" s="79"/>
      <c r="H146" s="79"/>
      <c r="I146" s="79"/>
      <c r="J146" s="79"/>
      <c r="K146" s="79"/>
      <c r="L146" s="79"/>
      <c r="M146" s="79"/>
      <c r="N146" s="79"/>
      <c r="O146" s="79"/>
      <c r="P146" s="79"/>
      <c r="Q146" s="79"/>
      <c r="R146" s="79"/>
      <c r="S146" s="79"/>
      <c r="T146" s="79"/>
      <c r="U146" s="79"/>
      <c r="V146" s="79"/>
      <c r="W146" s="79"/>
      <c r="X146" s="79"/>
      <c r="Y146" s="79"/>
      <c r="Z146" s="79"/>
    </row>
    <row r="147" spans="1:26">
      <c r="A147" s="79"/>
      <c r="B147" s="79"/>
      <c r="C147" s="282" t="s">
        <v>626</v>
      </c>
      <c r="D147" s="283"/>
      <c r="E147" s="283">
        <f t="shared" ref="E147:X147" si="28">SUM(E114:E145)</f>
        <v>0.31228549412738982</v>
      </c>
      <c r="F147" s="283">
        <f t="shared" ca="1" si="28"/>
        <v>0.62188382445375068</v>
      </c>
      <c r="G147" s="283">
        <f t="shared" ca="1" si="28"/>
        <v>0.92881563204653739</v>
      </c>
      <c r="H147" s="283">
        <f t="shared" ca="1" si="28"/>
        <v>1.2331013883133874</v>
      </c>
      <c r="I147" s="283">
        <f t="shared" ca="1" si="28"/>
        <v>1.5347613965294968</v>
      </c>
      <c r="J147" s="283">
        <f t="shared" ca="1" si="28"/>
        <v>1.8032521967945101</v>
      </c>
      <c r="K147" s="283">
        <f t="shared" ca="1" si="28"/>
        <v>2.0146405318645599</v>
      </c>
      <c r="L147" s="283">
        <f t="shared" ca="1" si="28"/>
        <v>2.1805566340366038</v>
      </c>
      <c r="M147" s="283">
        <f t="shared" ca="1" si="28"/>
        <v>2.310264326470961</v>
      </c>
      <c r="N147" s="283">
        <f t="shared" ca="1" si="28"/>
        <v>2.4111425293771238</v>
      </c>
      <c r="O147" s="283">
        <f t="shared" ca="1" si="28"/>
        <v>2.4890687860912539</v>
      </c>
      <c r="P147" s="283">
        <f t="shared" ca="1" si="28"/>
        <v>2.5487247478312312</v>
      </c>
      <c r="Q147" s="283">
        <f t="shared" ca="1" si="28"/>
        <v>2.5938394981719863</v>
      </c>
      <c r="R147" s="283">
        <f t="shared" ca="1" si="28"/>
        <v>2.6273833663802693</v>
      </c>
      <c r="S147" s="283">
        <f t="shared" ca="1" si="28"/>
        <v>2.6517223045977891</v>
      </c>
      <c r="T147" s="283">
        <f t="shared" ca="1" si="28"/>
        <v>2.6687408535916943</v>
      </c>
      <c r="U147" s="283">
        <f t="shared" ca="1" si="28"/>
        <v>2.6575895877513078</v>
      </c>
      <c r="V147" s="283">
        <f t="shared" ca="1" si="28"/>
        <v>2.6463708462029709</v>
      </c>
      <c r="W147" s="283">
        <f t="shared" ca="1" si="28"/>
        <v>2.6351635115271308</v>
      </c>
      <c r="X147" s="283">
        <f t="shared" ca="1" si="28"/>
        <v>2.6239969119100048</v>
      </c>
      <c r="Y147" s="283"/>
      <c r="Z147" s="283"/>
    </row>
    <row r="148" spans="1:26">
      <c r="A148" s="79"/>
      <c r="B148" s="79"/>
      <c r="C148" s="282" t="s">
        <v>627</v>
      </c>
      <c r="D148" s="283"/>
      <c r="E148" s="283">
        <f t="shared" ref="E148:X148" ca="1" si="29">IF((D148+E147)&lt;$Y$106,(D148+E147),$Y$106)</f>
        <v>0.31228549412738982</v>
      </c>
      <c r="F148" s="283">
        <f t="shared" ca="1" si="29"/>
        <v>0.9341693185811405</v>
      </c>
      <c r="G148" s="283">
        <f t="shared" ca="1" si="29"/>
        <v>1.8629849506276779</v>
      </c>
      <c r="H148" s="283">
        <f t="shared" ca="1" si="29"/>
        <v>3.0960863389410651</v>
      </c>
      <c r="I148" s="283">
        <f t="shared" ca="1" si="29"/>
        <v>4.6308477354705619</v>
      </c>
      <c r="J148" s="283">
        <f t="shared" ca="1" si="29"/>
        <v>6.434099932265072</v>
      </c>
      <c r="K148" s="283">
        <f t="shared" ca="1" si="29"/>
        <v>8.4133728390346398</v>
      </c>
      <c r="L148" s="283">
        <f t="shared" ca="1" si="29"/>
        <v>8.4133728390346398</v>
      </c>
      <c r="M148" s="283">
        <f t="shared" ca="1" si="29"/>
        <v>8.4133728390346398</v>
      </c>
      <c r="N148" s="283">
        <f t="shared" ca="1" si="29"/>
        <v>8.4133728390346398</v>
      </c>
      <c r="O148" s="283">
        <f t="shared" ca="1" si="29"/>
        <v>8.4133728390346398</v>
      </c>
      <c r="P148" s="283">
        <f t="shared" ca="1" si="29"/>
        <v>8.4133728390346398</v>
      </c>
      <c r="Q148" s="283">
        <f t="shared" ca="1" si="29"/>
        <v>8.4133728390346398</v>
      </c>
      <c r="R148" s="283">
        <f t="shared" ca="1" si="29"/>
        <v>8.4133728390346398</v>
      </c>
      <c r="S148" s="283">
        <f t="shared" ca="1" si="29"/>
        <v>8.4133728390346398</v>
      </c>
      <c r="T148" s="283">
        <f t="shared" ca="1" si="29"/>
        <v>8.4133728390346398</v>
      </c>
      <c r="U148" s="283">
        <f t="shared" ca="1" si="29"/>
        <v>8.4133728390346398</v>
      </c>
      <c r="V148" s="283">
        <f t="shared" ca="1" si="29"/>
        <v>8.4133728390346398</v>
      </c>
      <c r="W148" s="283">
        <f t="shared" ca="1" si="29"/>
        <v>8.4133728390346398</v>
      </c>
      <c r="X148" s="283">
        <f t="shared" ca="1" si="29"/>
        <v>8.4133728390346398</v>
      </c>
      <c r="Y148" s="283">
        <f ca="1">SUM(Y114:Y145)</f>
        <v>8.4133728390346398</v>
      </c>
      <c r="Z148" s="283"/>
    </row>
  </sheetData>
  <mergeCells count="1">
    <mergeCell ref="B1:S5"/>
  </mergeCells>
  <dataValidations disablePrompts="1" count="1">
    <dataValidation type="list" allowBlank="1" showInputMessage="1" showErrorMessage="1" sqref="D8">
      <formula1>"ID, MT, OR, WA, Region"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C1:F14"/>
  <sheetViews>
    <sheetView workbookViewId="0">
      <selection activeCell="D20" sqref="D20"/>
    </sheetView>
  </sheetViews>
  <sheetFormatPr defaultRowHeight="15"/>
  <cols>
    <col min="1" max="1" width="4" style="313" customWidth="1"/>
    <col min="2" max="2" width="4.28515625" style="313" customWidth="1"/>
    <col min="3" max="3" width="28.140625" style="313" customWidth="1"/>
    <col min="4" max="4" width="70.7109375" style="313" customWidth="1"/>
    <col min="5" max="5" width="70.140625" style="313" customWidth="1"/>
    <col min="6" max="6" width="61.42578125" style="313" customWidth="1"/>
    <col min="7" max="16384" width="9.140625" style="313"/>
  </cols>
  <sheetData>
    <row r="1" spans="3:6" ht="15.75" thickBot="1"/>
    <row r="2" spans="3:6" ht="19.5" thickBot="1">
      <c r="C2" s="314" t="s">
        <v>666</v>
      </c>
      <c r="D2" s="328" t="str">
        <f>[3]MLIST!$B$70</f>
        <v>Parking Lighting</v>
      </c>
      <c r="E2" s="315"/>
      <c r="F2" s="316"/>
    </row>
    <row r="3" spans="3:6">
      <c r="C3" s="317" t="s">
        <v>667</v>
      </c>
      <c r="D3" s="317" t="s">
        <v>668</v>
      </c>
      <c r="E3" s="317" t="s">
        <v>669</v>
      </c>
      <c r="F3" s="317" t="s">
        <v>670</v>
      </c>
    </row>
    <row r="4" spans="3:6" ht="30">
      <c r="C4" s="318" t="s">
        <v>671</v>
      </c>
      <c r="D4" s="319" t="s">
        <v>685</v>
      </c>
      <c r="E4" s="320"/>
      <c r="F4" s="327" t="s">
        <v>664</v>
      </c>
    </row>
    <row r="5" spans="3:6" ht="30">
      <c r="C5" s="318" t="s">
        <v>672</v>
      </c>
      <c r="D5" s="322" t="s">
        <v>681</v>
      </c>
      <c r="E5" s="323" t="s">
        <v>682</v>
      </c>
      <c r="F5" s="321"/>
    </row>
    <row r="6" spans="3:6">
      <c r="C6" s="318" t="s">
        <v>673</v>
      </c>
      <c r="D6" s="322" t="s">
        <v>686</v>
      </c>
      <c r="E6" s="323"/>
      <c r="F6" s="321"/>
    </row>
    <row r="7" spans="3:6">
      <c r="C7" s="318" t="s">
        <v>674</v>
      </c>
      <c r="D7" s="322" t="s">
        <v>683</v>
      </c>
      <c r="E7" s="322" t="s">
        <v>684</v>
      </c>
      <c r="F7" s="321"/>
    </row>
    <row r="8" spans="3:6">
      <c r="C8" s="318" t="s">
        <v>675</v>
      </c>
      <c r="D8" s="322" t="s">
        <v>691</v>
      </c>
      <c r="E8" s="322" t="s">
        <v>684</v>
      </c>
      <c r="F8" s="321"/>
    </row>
    <row r="9" spans="3:6">
      <c r="C9" s="318" t="s">
        <v>676</v>
      </c>
      <c r="D9" s="322" t="s">
        <v>692</v>
      </c>
      <c r="E9" s="324" t="s">
        <v>693</v>
      </c>
      <c r="F9" s="321"/>
    </row>
    <row r="10" spans="3:6" ht="15" customHeight="1">
      <c r="C10" s="318" t="s">
        <v>677</v>
      </c>
      <c r="D10" s="322"/>
      <c r="E10" s="324" t="s">
        <v>694</v>
      </c>
      <c r="F10" s="321"/>
    </row>
    <row r="11" spans="3:6">
      <c r="C11" s="318" t="s">
        <v>678</v>
      </c>
      <c r="D11" s="322" t="s">
        <v>687</v>
      </c>
      <c r="E11" s="322"/>
      <c r="F11" s="321"/>
    </row>
    <row r="12" spans="3:6">
      <c r="C12" s="318" t="s">
        <v>300</v>
      </c>
      <c r="D12" s="325" t="s">
        <v>695</v>
      </c>
      <c r="E12" s="324"/>
      <c r="F12" s="321"/>
    </row>
    <row r="13" spans="3:6">
      <c r="C13" s="318" t="s">
        <v>679</v>
      </c>
      <c r="D13" s="325" t="s">
        <v>688</v>
      </c>
      <c r="E13" s="326"/>
      <c r="F13" s="321"/>
    </row>
    <row r="14" spans="3:6">
      <c r="C14" s="318" t="s">
        <v>680</v>
      </c>
      <c r="D14" s="325" t="s">
        <v>690</v>
      </c>
      <c r="E14" s="324" t="s">
        <v>689</v>
      </c>
      <c r="F14" s="32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FFC000"/>
  </sheetPr>
  <dimension ref="A1:EA10"/>
  <sheetViews>
    <sheetView workbookViewId="0">
      <selection sqref="A1:EA10"/>
    </sheetView>
  </sheetViews>
  <sheetFormatPr defaultRowHeight="15"/>
  <cols>
    <col min="1" max="1" width="60.42578125" customWidth="1"/>
    <col min="9" max="9" width="12.85546875" customWidth="1"/>
    <col min="10" max="10" width="16" customWidth="1"/>
    <col min="11" max="11" width="13.85546875" customWidth="1"/>
  </cols>
  <sheetData>
    <row r="1" spans="1:131" ht="15.75" thickBot="1">
      <c r="A1" s="101" t="s">
        <v>175</v>
      </c>
      <c r="B1" s="10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row>
    <row r="2" spans="1:131" ht="15.75" thickBot="1">
      <c r="A2" s="104"/>
      <c r="B2" s="105"/>
      <c r="C2" s="106"/>
      <c r="D2" s="106"/>
      <c r="E2" s="106"/>
      <c r="F2" s="106"/>
      <c r="G2" s="106"/>
      <c r="H2" s="106"/>
      <c r="I2" s="106"/>
      <c r="J2" s="106"/>
      <c r="K2" s="106"/>
      <c r="L2" s="106"/>
      <c r="M2" s="106"/>
      <c r="N2" s="106"/>
      <c r="O2" s="107" t="s">
        <v>176</v>
      </c>
      <c r="P2" s="108"/>
      <c r="Q2" s="108"/>
      <c r="R2" s="108"/>
      <c r="S2" s="108"/>
      <c r="T2" s="108"/>
      <c r="U2" s="108"/>
      <c r="V2" s="108"/>
      <c r="W2" s="108"/>
      <c r="X2" s="108"/>
      <c r="Y2" s="108"/>
      <c r="Z2" s="109"/>
      <c r="AA2" s="106"/>
      <c r="AB2" s="107" t="s">
        <v>177</v>
      </c>
      <c r="AC2" s="108"/>
      <c r="AD2" s="108"/>
      <c r="AE2" s="108"/>
      <c r="AF2" s="108"/>
      <c r="AG2" s="108"/>
      <c r="AH2" s="108"/>
      <c r="AI2" s="108"/>
      <c r="AJ2" s="108"/>
      <c r="AK2" s="108"/>
      <c r="AL2" s="108"/>
      <c r="AM2" s="109"/>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row>
    <row r="3" spans="1:131" ht="102.75">
      <c r="A3" s="110" t="s">
        <v>178</v>
      </c>
      <c r="B3" s="111" t="s">
        <v>179</v>
      </c>
      <c r="C3" s="112" t="s">
        <v>180</v>
      </c>
      <c r="D3" s="112" t="s">
        <v>12</v>
      </c>
      <c r="E3" s="112" t="s">
        <v>181</v>
      </c>
      <c r="F3" s="112" t="s">
        <v>182</v>
      </c>
      <c r="G3" s="112" t="s">
        <v>183</v>
      </c>
      <c r="H3" s="112" t="s">
        <v>184</v>
      </c>
      <c r="I3" s="112" t="s">
        <v>185</v>
      </c>
      <c r="J3" s="112" t="s">
        <v>186</v>
      </c>
      <c r="K3" s="112" t="s">
        <v>187</v>
      </c>
      <c r="L3" s="112" t="s">
        <v>188</v>
      </c>
      <c r="M3" s="112" t="s">
        <v>189</v>
      </c>
      <c r="N3" s="112" t="s">
        <v>190</v>
      </c>
      <c r="O3" s="112" t="s">
        <v>191</v>
      </c>
      <c r="P3" s="112" t="s">
        <v>192</v>
      </c>
      <c r="Q3" s="112" t="s">
        <v>193</v>
      </c>
      <c r="R3" s="112" t="s">
        <v>194</v>
      </c>
      <c r="S3" s="112" t="s">
        <v>195</v>
      </c>
      <c r="T3" s="112" t="s">
        <v>196</v>
      </c>
      <c r="U3" s="112" t="s">
        <v>197</v>
      </c>
      <c r="V3" s="112" t="s">
        <v>198</v>
      </c>
      <c r="W3" s="112" t="s">
        <v>199</v>
      </c>
      <c r="X3" s="112" t="s">
        <v>200</v>
      </c>
      <c r="Y3" s="112" t="s">
        <v>201</v>
      </c>
      <c r="Z3" s="112" t="s">
        <v>202</v>
      </c>
      <c r="AA3" s="112"/>
      <c r="AB3" s="112" t="s">
        <v>191</v>
      </c>
      <c r="AC3" s="112" t="s">
        <v>192</v>
      </c>
      <c r="AD3" s="112" t="s">
        <v>193</v>
      </c>
      <c r="AE3" s="112" t="s">
        <v>194</v>
      </c>
      <c r="AF3" s="112" t="s">
        <v>195</v>
      </c>
      <c r="AG3" s="112" t="s">
        <v>196</v>
      </c>
      <c r="AH3" s="112" t="s">
        <v>197</v>
      </c>
      <c r="AI3" s="112" t="s">
        <v>198</v>
      </c>
      <c r="AJ3" s="112" t="s">
        <v>199</v>
      </c>
      <c r="AK3" s="112" t="s">
        <v>200</v>
      </c>
      <c r="AL3" s="112" t="s">
        <v>201</v>
      </c>
      <c r="AM3" s="112" t="s">
        <v>202</v>
      </c>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row>
    <row r="4" spans="1:131">
      <c r="A4" s="79" t="s">
        <v>203</v>
      </c>
      <c r="B4" s="79"/>
      <c r="C4" s="113">
        <v>1658.8489688773964</v>
      </c>
      <c r="D4" s="113">
        <v>356.58923434217837</v>
      </c>
      <c r="E4" s="113">
        <v>71.31784686843568</v>
      </c>
      <c r="F4" s="113">
        <v>427.90708121061402</v>
      </c>
      <c r="G4" s="113">
        <v>830.31718788400326</v>
      </c>
      <c r="H4" s="113">
        <v>995.88744206600791</v>
      </c>
      <c r="I4" s="113">
        <v>2259.6789109388919</v>
      </c>
      <c r="J4" s="113">
        <v>6.4755631858574585</v>
      </c>
      <c r="K4" s="113">
        <v>29.699589688181337</v>
      </c>
      <c r="L4" s="134">
        <v>1.1994060301268088</v>
      </c>
      <c r="M4" s="113">
        <v>15.759194720379217</v>
      </c>
      <c r="N4" s="113">
        <v>0.2083451628546675</v>
      </c>
      <c r="O4" s="113">
        <v>80.114820583742315</v>
      </c>
      <c r="P4" s="113">
        <v>75.276235480578862</v>
      </c>
      <c r="Q4" s="113">
        <v>85.380663470248152</v>
      </c>
      <c r="R4" s="113">
        <v>77.794487668881743</v>
      </c>
      <c r="S4" s="113">
        <v>79.791118945435272</v>
      </c>
      <c r="T4" s="113">
        <v>79.536821389854666</v>
      </c>
      <c r="U4" s="113">
        <v>76.156286541187455</v>
      </c>
      <c r="V4" s="113">
        <v>86.8750726301881</v>
      </c>
      <c r="W4" s="113">
        <v>74.826608915807711</v>
      </c>
      <c r="X4" s="113">
        <v>85.010618673183387</v>
      </c>
      <c r="Y4" s="113">
        <v>73.465954614449188</v>
      </c>
      <c r="Z4" s="113">
        <v>74.801163461287786</v>
      </c>
      <c r="AA4" s="113"/>
      <c r="AB4" s="113">
        <v>64.498354299608351</v>
      </c>
      <c r="AC4" s="113">
        <v>58.016562779748021</v>
      </c>
      <c r="AD4" s="113">
        <v>57.703911153071353</v>
      </c>
      <c r="AE4" s="113">
        <v>57.983918613796597</v>
      </c>
      <c r="AF4" s="113">
        <v>58.732966212783417</v>
      </c>
      <c r="AG4" s="113">
        <v>54.447339341574377</v>
      </c>
      <c r="AH4" s="113">
        <v>61.216070699572775</v>
      </c>
      <c r="AI4" s="113">
        <v>58.338770127816346</v>
      </c>
      <c r="AJ4" s="113">
        <v>61.013344525619971</v>
      </c>
      <c r="AK4" s="113">
        <v>57.236678520878947</v>
      </c>
      <c r="AL4" s="113">
        <v>60.197394865299678</v>
      </c>
      <c r="AM4" s="103">
        <v>60.433805362781712</v>
      </c>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row>
    <row r="5" spans="1:131">
      <c r="A5" s="79" t="s">
        <v>204</v>
      </c>
      <c r="B5" s="79"/>
      <c r="C5" s="113">
        <v>1658.8489688773964</v>
      </c>
      <c r="D5" s="113">
        <v>484.7925975406369</v>
      </c>
      <c r="E5" s="113">
        <v>96.958519508127381</v>
      </c>
      <c r="F5" s="113">
        <v>581.75111704876429</v>
      </c>
      <c r="G5" s="113">
        <v>1128.8384155497495</v>
      </c>
      <c r="H5" s="113">
        <v>995.88744206600791</v>
      </c>
      <c r="I5" s="113">
        <v>3072.0938921859288</v>
      </c>
      <c r="J5" s="113">
        <v>11.367444439786548</v>
      </c>
      <c r="K5" s="113">
        <v>42.941129366601679</v>
      </c>
      <c r="L5" s="114">
        <v>0.88222320249528907</v>
      </c>
      <c r="M5" s="113">
        <v>15.759194720379217</v>
      </c>
      <c r="N5" s="113">
        <v>0.2083451628546675</v>
      </c>
      <c r="O5" s="113">
        <v>80.114820583742315</v>
      </c>
      <c r="P5" s="113">
        <v>75.276235480578862</v>
      </c>
      <c r="Q5" s="113">
        <v>85.380663470248152</v>
      </c>
      <c r="R5" s="113">
        <v>77.794487668881743</v>
      </c>
      <c r="S5" s="113">
        <v>79.791118945435272</v>
      </c>
      <c r="T5" s="113">
        <v>79.536821389854666</v>
      </c>
      <c r="U5" s="113">
        <v>76.156286541187455</v>
      </c>
      <c r="V5" s="113">
        <v>86.8750726301881</v>
      </c>
      <c r="W5" s="113">
        <v>74.826608915807711</v>
      </c>
      <c r="X5" s="113">
        <v>85.010618673183387</v>
      </c>
      <c r="Y5" s="113">
        <v>73.465954614449188</v>
      </c>
      <c r="Z5" s="113">
        <v>74.801163461287786</v>
      </c>
      <c r="AA5" s="113"/>
      <c r="AB5" s="113">
        <v>64.498354299608351</v>
      </c>
      <c r="AC5" s="113">
        <v>58.016562779748021</v>
      </c>
      <c r="AD5" s="113">
        <v>57.703911153071353</v>
      </c>
      <c r="AE5" s="113">
        <v>57.983918613796597</v>
      </c>
      <c r="AF5" s="113">
        <v>58.732966212783417</v>
      </c>
      <c r="AG5" s="113">
        <v>54.447339341574377</v>
      </c>
      <c r="AH5" s="113">
        <v>61.216070699572775</v>
      </c>
      <c r="AI5" s="113">
        <v>58.338770127816346</v>
      </c>
      <c r="AJ5" s="113">
        <v>61.013344525619971</v>
      </c>
      <c r="AK5" s="113">
        <v>57.236678520878947</v>
      </c>
      <c r="AL5" s="113">
        <v>60.197394865299678</v>
      </c>
      <c r="AM5" s="103">
        <v>60.433805362781712</v>
      </c>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row>
    <row r="6" spans="1:131">
      <c r="A6" s="79" t="s">
        <v>205</v>
      </c>
      <c r="B6" s="79"/>
      <c r="C6" s="113">
        <v>1443.3335761052115</v>
      </c>
      <c r="D6" s="113">
        <v>447.49652763248179</v>
      </c>
      <c r="E6" s="113">
        <v>89.499305526496357</v>
      </c>
      <c r="F6" s="113">
        <v>536.99583315897814</v>
      </c>
      <c r="G6" s="113">
        <v>1041.9946050729911</v>
      </c>
      <c r="H6" s="113">
        <v>866.50310554079113</v>
      </c>
      <c r="I6" s="113">
        <v>3259.179704782081</v>
      </c>
      <c r="J6" s="113">
        <v>12.493964261110371</v>
      </c>
      <c r="K6" s="113">
        <v>45.990438239462286</v>
      </c>
      <c r="L6" s="114">
        <v>0.83158118220784172</v>
      </c>
      <c r="M6" s="113">
        <v>13.711781662495888</v>
      </c>
      <c r="N6" s="113">
        <v>0.18127724380523469</v>
      </c>
      <c r="O6" s="113">
        <v>69.706412495414142</v>
      </c>
      <c r="P6" s="113">
        <v>65.496449761456248</v>
      </c>
      <c r="Q6" s="113">
        <v>74.288124264950397</v>
      </c>
      <c r="R6" s="113">
        <v>67.687534064289252</v>
      </c>
      <c r="S6" s="113">
        <v>69.424765731920658</v>
      </c>
      <c r="T6" s="113">
        <v>69.203506167501516</v>
      </c>
      <c r="U6" s="113">
        <v>66.26216579003659</v>
      </c>
      <c r="V6" s="113">
        <v>75.58838182754225</v>
      </c>
      <c r="W6" s="113">
        <v>65.105238065986342</v>
      </c>
      <c r="X6" s="113">
        <v>73.96615518260046</v>
      </c>
      <c r="Y6" s="113">
        <v>63.921358113399847</v>
      </c>
      <c r="Z6" s="113">
        <v>65.083098450170255</v>
      </c>
      <c r="AA6" s="113"/>
      <c r="AB6" s="113">
        <v>56.118816185631331</v>
      </c>
      <c r="AC6" s="113">
        <v>50.479130168730357</v>
      </c>
      <c r="AD6" s="113">
        <v>50.207097814445731</v>
      </c>
      <c r="AE6" s="113">
        <v>50.450727088241649</v>
      </c>
      <c r="AF6" s="113">
        <v>51.102459446040505</v>
      </c>
      <c r="AG6" s="113">
        <v>47.373615365641342</v>
      </c>
      <c r="AH6" s="113">
        <v>53.262962388744185</v>
      </c>
      <c r="AI6" s="113">
        <v>50.759476778132388</v>
      </c>
      <c r="AJ6" s="113">
        <v>53.086574122475774</v>
      </c>
      <c r="AK6" s="113">
        <v>49.800567407791718</v>
      </c>
      <c r="AL6" s="113">
        <v>52.376631527792838</v>
      </c>
      <c r="AM6" s="103">
        <v>52.582327896275665</v>
      </c>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row>
    <row r="7" spans="1:131">
      <c r="A7" s="79" t="s">
        <v>206</v>
      </c>
      <c r="B7" s="79"/>
      <c r="C7" s="113">
        <v>1443.3335761052115</v>
      </c>
      <c r="D7" s="113">
        <v>581.53386844220199</v>
      </c>
      <c r="E7" s="113">
        <v>116.3067736884404</v>
      </c>
      <c r="F7" s="113">
        <v>697.84064213064244</v>
      </c>
      <c r="G7" s="113">
        <v>1354.10023579369</v>
      </c>
      <c r="H7" s="113">
        <v>866.50310554079113</v>
      </c>
      <c r="I7" s="113">
        <v>4235.3923765567661</v>
      </c>
      <c r="J7" s="113">
        <v>18.372138075153426</v>
      </c>
      <c r="K7" s="113">
        <v>61.901714036025368</v>
      </c>
      <c r="L7" s="114">
        <v>0.63991060826667712</v>
      </c>
      <c r="M7" s="113">
        <v>13.711781662495888</v>
      </c>
      <c r="N7" s="113">
        <v>0.18127724380523469</v>
      </c>
      <c r="O7" s="113">
        <v>69.706412495414142</v>
      </c>
      <c r="P7" s="113">
        <v>65.496449761456248</v>
      </c>
      <c r="Q7" s="113">
        <v>74.288124264950397</v>
      </c>
      <c r="R7" s="113">
        <v>67.687534064289252</v>
      </c>
      <c r="S7" s="113">
        <v>69.424765731920658</v>
      </c>
      <c r="T7" s="113">
        <v>69.203506167501516</v>
      </c>
      <c r="U7" s="113">
        <v>66.26216579003659</v>
      </c>
      <c r="V7" s="113">
        <v>75.58838182754225</v>
      </c>
      <c r="W7" s="113">
        <v>65.105238065986342</v>
      </c>
      <c r="X7" s="113">
        <v>73.96615518260046</v>
      </c>
      <c r="Y7" s="113">
        <v>63.921358113399847</v>
      </c>
      <c r="Z7" s="113">
        <v>65.083098450170255</v>
      </c>
      <c r="AA7" s="113"/>
      <c r="AB7" s="113">
        <v>56.118816185631331</v>
      </c>
      <c r="AC7" s="113">
        <v>50.479130168730357</v>
      </c>
      <c r="AD7" s="113">
        <v>50.207097814445731</v>
      </c>
      <c r="AE7" s="113">
        <v>50.450727088241649</v>
      </c>
      <c r="AF7" s="113">
        <v>51.102459446040505</v>
      </c>
      <c r="AG7" s="113">
        <v>47.373615365641342</v>
      </c>
      <c r="AH7" s="113">
        <v>53.262962388744185</v>
      </c>
      <c r="AI7" s="113">
        <v>50.759476778132388</v>
      </c>
      <c r="AJ7" s="113">
        <v>53.086574122475774</v>
      </c>
      <c r="AK7" s="113">
        <v>49.800567407791718</v>
      </c>
      <c r="AL7" s="113">
        <v>52.376631527792838</v>
      </c>
      <c r="AM7" s="103">
        <v>52.582327896275665</v>
      </c>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row>
    <row r="8" spans="1:131">
      <c r="A8" s="79" t="s">
        <v>207</v>
      </c>
      <c r="B8" s="79"/>
      <c r="C8" s="113">
        <v>1282.3061694466355</v>
      </c>
      <c r="D8" s="113">
        <v>545.41057057919818</v>
      </c>
      <c r="E8" s="113">
        <v>109.08211411583964</v>
      </c>
      <c r="F8" s="113">
        <v>654.49268469503784</v>
      </c>
      <c r="G8" s="113">
        <v>1269.9872222473418</v>
      </c>
      <c r="H8" s="113">
        <v>769.8305481661082</v>
      </c>
      <c r="I8" s="113">
        <v>4471.128701192084</v>
      </c>
      <c r="J8" s="113">
        <v>19.791602430160179</v>
      </c>
      <c r="K8" s="113">
        <v>65.743976879962702</v>
      </c>
      <c r="L8" s="114">
        <v>0.60617188478781125</v>
      </c>
      <c r="M8" s="113">
        <v>12.182008726887725</v>
      </c>
      <c r="N8" s="113">
        <v>0.16105280993947424</v>
      </c>
      <c r="O8" s="113">
        <v>61.929525005622054</v>
      </c>
      <c r="P8" s="113">
        <v>58.189252295094384</v>
      </c>
      <c r="Q8" s="113">
        <v>66.000072082172792</v>
      </c>
      <c r="R8" s="113">
        <v>60.135885399052349</v>
      </c>
      <c r="S8" s="113">
        <v>61.679300533323037</v>
      </c>
      <c r="T8" s="113">
        <v>61.482726082897408</v>
      </c>
      <c r="U8" s="113">
        <v>58.869540208954412</v>
      </c>
      <c r="V8" s="113">
        <v>67.155264701525837</v>
      </c>
      <c r="W8" s="113">
        <v>57.841686646400454</v>
      </c>
      <c r="X8" s="113">
        <v>65.714023903495701</v>
      </c>
      <c r="Y8" s="113">
        <v>56.789887816096517</v>
      </c>
      <c r="Z8" s="113">
        <v>57.822017065909733</v>
      </c>
      <c r="AA8" s="113"/>
      <c r="AB8" s="113">
        <v>49.857846729418242</v>
      </c>
      <c r="AC8" s="113">
        <v>44.847359692368343</v>
      </c>
      <c r="AD8" s="113">
        <v>44.605676985083463</v>
      </c>
      <c r="AE8" s="113">
        <v>44.822125438870103</v>
      </c>
      <c r="AF8" s="113">
        <v>45.401146419930235</v>
      </c>
      <c r="AG8" s="113">
        <v>42.088315728287085</v>
      </c>
      <c r="AH8" s="113">
        <v>47.320610013379259</v>
      </c>
      <c r="AI8" s="113">
        <v>45.096429063975243</v>
      </c>
      <c r="AJ8" s="113">
        <v>47.163900735774611</v>
      </c>
      <c r="AK8" s="113">
        <v>44.244501677344289</v>
      </c>
      <c r="AL8" s="113">
        <v>46.533163819384527</v>
      </c>
      <c r="AM8" s="103">
        <v>46.715911402275282</v>
      </c>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row>
    <row r="9" spans="1:131">
      <c r="A9" s="79" t="s">
        <v>208</v>
      </c>
      <c r="B9" s="79"/>
      <c r="C9" s="113">
        <v>1282.3061694466355</v>
      </c>
      <c r="D9" s="113">
        <v>678.27513934376702</v>
      </c>
      <c r="E9" s="113">
        <v>135.65502786875342</v>
      </c>
      <c r="F9" s="113">
        <v>813.93016721252047</v>
      </c>
      <c r="G9" s="113">
        <v>1579.3620560376301</v>
      </c>
      <c r="H9" s="113">
        <v>769.8305481661082</v>
      </c>
      <c r="I9" s="113">
        <v>5560.3165879320077</v>
      </c>
      <c r="J9" s="113">
        <v>26.350045994274488</v>
      </c>
      <c r="K9" s="113">
        <v>83.496634022477835</v>
      </c>
      <c r="L9" s="114">
        <v>0.48743133040532294</v>
      </c>
      <c r="M9" s="113">
        <v>12.182008726887725</v>
      </c>
      <c r="N9" s="113">
        <v>0.16105280993947424</v>
      </c>
      <c r="O9" s="113">
        <v>61.929525005622054</v>
      </c>
      <c r="P9" s="113">
        <v>58.189252295094384</v>
      </c>
      <c r="Q9" s="113">
        <v>66.000072082172792</v>
      </c>
      <c r="R9" s="113">
        <v>60.135885399052349</v>
      </c>
      <c r="S9" s="113">
        <v>61.679300533323037</v>
      </c>
      <c r="T9" s="113">
        <v>61.482726082897408</v>
      </c>
      <c r="U9" s="113">
        <v>58.869540208954412</v>
      </c>
      <c r="V9" s="113">
        <v>67.155264701525837</v>
      </c>
      <c r="W9" s="113">
        <v>57.841686646400454</v>
      </c>
      <c r="X9" s="113">
        <v>65.714023903495701</v>
      </c>
      <c r="Y9" s="113">
        <v>56.789887816096517</v>
      </c>
      <c r="Z9" s="113">
        <v>57.822017065909733</v>
      </c>
      <c r="AA9" s="113"/>
      <c r="AB9" s="113">
        <v>49.857846729418242</v>
      </c>
      <c r="AC9" s="113">
        <v>44.847359692368343</v>
      </c>
      <c r="AD9" s="113">
        <v>44.605676985083463</v>
      </c>
      <c r="AE9" s="113">
        <v>44.822125438870103</v>
      </c>
      <c r="AF9" s="113">
        <v>45.401146419930235</v>
      </c>
      <c r="AG9" s="113">
        <v>42.088315728287085</v>
      </c>
      <c r="AH9" s="113">
        <v>47.320610013379259</v>
      </c>
      <c r="AI9" s="113">
        <v>45.096429063975243</v>
      </c>
      <c r="AJ9" s="113">
        <v>47.163900735774611</v>
      </c>
      <c r="AK9" s="113">
        <v>44.244501677344289</v>
      </c>
      <c r="AL9" s="113">
        <v>46.533163819384527</v>
      </c>
      <c r="AM9" s="103">
        <v>46.715911402275282</v>
      </c>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row>
    <row r="10" spans="1:131">
      <c r="A10" s="79"/>
      <c r="B10" s="79"/>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FFC000"/>
  </sheetPr>
  <dimension ref="A1:EA100"/>
  <sheetViews>
    <sheetView workbookViewId="0">
      <selection activeCell="A16" sqref="A16:EA100"/>
    </sheetView>
  </sheetViews>
  <sheetFormatPr defaultRowHeight="15"/>
  <cols>
    <col min="1" max="1" width="60.7109375" customWidth="1"/>
    <col min="2" max="2" width="60.140625" customWidth="1"/>
    <col min="3" max="3" width="17.42578125" bestFit="1" customWidth="1"/>
    <col min="4" max="4" width="10.7109375" customWidth="1"/>
    <col min="5" max="5" width="12.5703125" customWidth="1"/>
    <col min="6" max="6" width="13.7109375" customWidth="1"/>
    <col min="7" max="7" width="31.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70" t="s">
        <v>150</v>
      </c>
      <c r="B1" s="71"/>
      <c r="C1" s="71"/>
      <c r="D1" s="71"/>
      <c r="E1" s="71"/>
      <c r="F1" s="71"/>
      <c r="G1" s="71"/>
      <c r="H1" s="72"/>
      <c r="I1" s="73"/>
      <c r="J1" s="73"/>
      <c r="K1" s="73"/>
      <c r="L1" s="73"/>
      <c r="M1" s="73"/>
      <c r="N1" s="74"/>
      <c r="O1" s="75"/>
      <c r="P1" s="74"/>
      <c r="Q1" s="74"/>
      <c r="R1" s="74"/>
      <c r="S1" s="72"/>
      <c r="T1" s="72"/>
      <c r="U1" s="72"/>
      <c r="V1" s="74"/>
      <c r="W1" s="72"/>
      <c r="X1" s="72"/>
      <c r="Y1" s="72"/>
      <c r="Z1" s="72"/>
      <c r="AA1" s="72"/>
      <c r="AB1" s="72"/>
      <c r="AC1" s="72"/>
      <c r="AD1" s="72"/>
      <c r="AE1" s="72"/>
      <c r="AF1" s="72"/>
      <c r="AG1" s="72"/>
      <c r="AH1" s="72"/>
      <c r="AI1" s="72"/>
      <c r="AJ1" s="72"/>
      <c r="AK1" s="72"/>
      <c r="AL1" s="72"/>
      <c r="AM1" s="72"/>
      <c r="AN1" s="72"/>
      <c r="AO1" s="72"/>
      <c r="AP1" s="76"/>
      <c r="AQ1" s="72"/>
      <c r="AR1" s="72"/>
      <c r="AS1" s="72"/>
      <c r="AT1" s="72"/>
      <c r="AU1" s="72"/>
      <c r="AV1" s="76"/>
      <c r="AW1" s="72"/>
      <c r="AX1" s="72"/>
      <c r="AY1" s="72"/>
      <c r="AZ1" s="72"/>
      <c r="BA1" s="72"/>
      <c r="BB1" s="72"/>
      <c r="BC1" s="72"/>
      <c r="BD1" s="72"/>
      <c r="BE1" s="72"/>
      <c r="BF1" s="72"/>
      <c r="BG1" s="72"/>
      <c r="BH1" s="72"/>
      <c r="BI1" s="72"/>
      <c r="BJ1" s="72"/>
      <c r="BK1" s="72"/>
      <c r="BL1" s="72"/>
      <c r="BM1" s="77"/>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6"/>
      <c r="CQ1" s="72"/>
      <c r="CR1" s="72"/>
      <c r="CS1" s="72"/>
      <c r="CT1" s="72"/>
      <c r="CU1" s="72"/>
      <c r="CV1" s="72"/>
      <c r="CW1" s="72"/>
      <c r="CX1" s="72"/>
      <c r="CY1" s="72"/>
      <c r="CZ1" s="72"/>
      <c r="DA1" s="72"/>
    </row>
    <row r="2" spans="1:131">
      <c r="A2" s="78" t="s">
        <v>151</v>
      </c>
      <c r="B2" s="72"/>
      <c r="C2" s="72"/>
      <c r="D2" s="72"/>
      <c r="E2" s="72"/>
      <c r="F2" s="72"/>
      <c r="G2" s="72"/>
      <c r="H2" s="72"/>
      <c r="I2" s="73"/>
      <c r="J2" s="73"/>
      <c r="K2" s="73"/>
      <c r="L2" s="73"/>
      <c r="M2" s="73"/>
      <c r="N2" s="74"/>
      <c r="O2" s="74"/>
      <c r="P2" s="74"/>
      <c r="Q2" s="74"/>
      <c r="R2" s="74"/>
      <c r="S2" s="72"/>
      <c r="T2" s="72"/>
      <c r="U2" s="72"/>
      <c r="V2" s="74"/>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6"/>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row>
    <row r="3" spans="1:131">
      <c r="A3" s="78" t="s">
        <v>152</v>
      </c>
      <c r="B3" s="79"/>
      <c r="C3" s="78">
        <v>2012</v>
      </c>
      <c r="D3" s="79"/>
      <c r="E3" s="79"/>
      <c r="F3" s="79"/>
      <c r="G3" s="79"/>
      <c r="H3" s="79"/>
      <c r="I3" s="79"/>
      <c r="J3" s="80"/>
      <c r="K3" s="81"/>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81"/>
      <c r="CP3" s="81"/>
      <c r="CQ3" s="79"/>
      <c r="CR3" s="79"/>
      <c r="CS3" s="79"/>
      <c r="CT3" s="79"/>
      <c r="CU3" s="79"/>
      <c r="CV3" s="79"/>
      <c r="CW3" s="79"/>
      <c r="CX3" s="79"/>
      <c r="CY3" s="79"/>
      <c r="CZ3" s="79"/>
      <c r="DA3" s="79"/>
    </row>
    <row r="4" spans="1:131">
      <c r="A4" s="79"/>
      <c r="B4" s="82"/>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row>
    <row r="5" spans="1:131">
      <c r="A5" s="83">
        <v>1</v>
      </c>
      <c r="B5" s="83">
        <v>2</v>
      </c>
      <c r="C5" s="83">
        <v>3</v>
      </c>
      <c r="D5" s="83">
        <v>4</v>
      </c>
      <c r="E5" s="83">
        <v>5</v>
      </c>
      <c r="F5" s="83">
        <v>6</v>
      </c>
      <c r="G5" s="83">
        <v>7</v>
      </c>
      <c r="H5" s="83">
        <v>8</v>
      </c>
      <c r="I5" s="83">
        <v>9</v>
      </c>
      <c r="J5" s="83">
        <v>10</v>
      </c>
      <c r="K5" s="83">
        <v>11</v>
      </c>
      <c r="L5" s="83">
        <v>12</v>
      </c>
      <c r="M5" s="83">
        <v>13</v>
      </c>
      <c r="N5" s="83">
        <v>14</v>
      </c>
      <c r="O5" s="83">
        <v>15</v>
      </c>
      <c r="P5" s="83">
        <v>16</v>
      </c>
      <c r="Q5" s="83">
        <v>17</v>
      </c>
      <c r="R5" s="83">
        <v>18</v>
      </c>
      <c r="S5" s="83">
        <v>19</v>
      </c>
      <c r="T5" s="83">
        <v>20</v>
      </c>
      <c r="U5" s="83">
        <v>21</v>
      </c>
      <c r="V5" s="83">
        <v>22</v>
      </c>
      <c r="W5" s="83">
        <v>23</v>
      </c>
      <c r="X5" s="83">
        <v>24</v>
      </c>
      <c r="Y5" s="83">
        <v>25</v>
      </c>
      <c r="Z5" s="83">
        <v>26</v>
      </c>
      <c r="AA5" s="83">
        <v>27</v>
      </c>
      <c r="AB5" s="83">
        <v>28</v>
      </c>
      <c r="AC5" s="83">
        <v>29</v>
      </c>
      <c r="AD5" s="83">
        <v>30</v>
      </c>
      <c r="AE5" s="83">
        <v>31</v>
      </c>
      <c r="AF5" s="83">
        <v>32</v>
      </c>
      <c r="AG5" s="83">
        <v>33</v>
      </c>
      <c r="AH5" s="83">
        <v>34</v>
      </c>
      <c r="AI5" s="83">
        <v>35</v>
      </c>
      <c r="AJ5" s="83">
        <v>36</v>
      </c>
      <c r="AK5" s="83">
        <v>37</v>
      </c>
      <c r="AL5" s="83">
        <v>38</v>
      </c>
      <c r="AM5" s="83">
        <v>39</v>
      </c>
      <c r="AN5" s="83">
        <v>40</v>
      </c>
      <c r="AO5" s="83">
        <v>41</v>
      </c>
      <c r="AP5" s="83">
        <v>42</v>
      </c>
      <c r="AQ5" s="83">
        <v>43</v>
      </c>
      <c r="AR5" s="83">
        <v>44</v>
      </c>
      <c r="AS5" s="83">
        <v>45</v>
      </c>
      <c r="AT5" s="83">
        <v>46</v>
      </c>
      <c r="AU5" s="83">
        <v>47</v>
      </c>
      <c r="AV5" s="83">
        <v>48</v>
      </c>
      <c r="AW5" s="83">
        <v>49</v>
      </c>
      <c r="AX5" s="83">
        <v>50</v>
      </c>
      <c r="AY5" s="83">
        <v>51</v>
      </c>
      <c r="AZ5" s="83">
        <v>52</v>
      </c>
      <c r="BA5" s="83">
        <v>53</v>
      </c>
      <c r="BB5" s="83">
        <v>54</v>
      </c>
      <c r="BC5" s="83">
        <v>55</v>
      </c>
      <c r="BD5" s="83">
        <v>56</v>
      </c>
      <c r="BE5" s="83">
        <v>57</v>
      </c>
      <c r="BF5" s="83">
        <v>58</v>
      </c>
      <c r="BG5" s="83">
        <v>59</v>
      </c>
      <c r="BH5" s="83">
        <v>60</v>
      </c>
      <c r="BI5" s="83">
        <v>61</v>
      </c>
      <c r="BJ5" s="83">
        <v>62</v>
      </c>
      <c r="BK5" s="83">
        <v>63</v>
      </c>
      <c r="BL5" s="83">
        <v>64</v>
      </c>
      <c r="BM5" s="83">
        <v>65</v>
      </c>
      <c r="BN5" s="83">
        <v>66</v>
      </c>
      <c r="BO5" s="83">
        <v>67</v>
      </c>
      <c r="BP5" s="83">
        <v>68</v>
      </c>
      <c r="BQ5" s="83">
        <v>69</v>
      </c>
      <c r="BR5" s="83">
        <v>70</v>
      </c>
      <c r="BS5" s="83">
        <v>71</v>
      </c>
      <c r="BT5" s="83">
        <v>72</v>
      </c>
      <c r="BU5" s="83">
        <v>73</v>
      </c>
      <c r="BV5" s="83">
        <v>74</v>
      </c>
      <c r="BW5" s="83">
        <v>75</v>
      </c>
      <c r="BX5" s="83">
        <v>76</v>
      </c>
      <c r="BY5" s="83">
        <v>77</v>
      </c>
      <c r="BZ5" s="83">
        <v>78</v>
      </c>
      <c r="CA5" s="83">
        <v>79</v>
      </c>
      <c r="CB5" s="83">
        <v>80</v>
      </c>
      <c r="CC5" s="83">
        <v>81</v>
      </c>
      <c r="CD5" s="83">
        <v>82</v>
      </c>
      <c r="CE5" s="83">
        <v>83</v>
      </c>
      <c r="CF5" s="83">
        <v>84</v>
      </c>
      <c r="CG5" s="83">
        <v>85</v>
      </c>
      <c r="CH5" s="83">
        <v>86</v>
      </c>
      <c r="CI5" s="83">
        <v>87</v>
      </c>
      <c r="CJ5" s="83">
        <v>88</v>
      </c>
      <c r="CK5" s="83">
        <v>89</v>
      </c>
      <c r="CL5" s="83">
        <v>90</v>
      </c>
      <c r="CM5" s="83">
        <v>91</v>
      </c>
      <c r="CN5" s="83">
        <v>92</v>
      </c>
      <c r="CO5" s="83">
        <v>93</v>
      </c>
      <c r="CP5" s="83">
        <v>94</v>
      </c>
      <c r="CQ5" s="83">
        <v>95</v>
      </c>
      <c r="CR5" s="83">
        <v>96</v>
      </c>
      <c r="CS5" s="83">
        <v>97</v>
      </c>
      <c r="CT5" s="83">
        <v>98</v>
      </c>
      <c r="CU5" s="83">
        <v>99</v>
      </c>
      <c r="CV5" s="83">
        <v>100</v>
      </c>
      <c r="CW5" s="83">
        <v>101</v>
      </c>
      <c r="CX5" s="83">
        <v>102</v>
      </c>
      <c r="CY5" s="83">
        <v>103</v>
      </c>
      <c r="CZ5" s="83">
        <v>104</v>
      </c>
      <c r="DA5" s="83">
        <v>105</v>
      </c>
    </row>
    <row r="6" spans="1:131">
      <c r="A6" s="84" t="s">
        <v>153</v>
      </c>
      <c r="B6" s="85"/>
      <c r="C6" s="85"/>
      <c r="D6" s="85"/>
      <c r="E6" s="85"/>
      <c r="F6" s="85"/>
      <c r="G6" s="86"/>
      <c r="H6" s="87"/>
      <c r="I6" s="347" t="s">
        <v>154</v>
      </c>
      <c r="J6" s="348"/>
      <c r="K6" s="348"/>
      <c r="L6" s="348"/>
      <c r="M6" s="348"/>
      <c r="N6" s="349"/>
      <c r="O6" s="350" t="s">
        <v>155</v>
      </c>
      <c r="P6" s="351"/>
      <c r="Q6" s="88" t="s">
        <v>156</v>
      </c>
      <c r="R6" s="352" t="s">
        <v>157</v>
      </c>
      <c r="S6" s="352"/>
      <c r="T6" s="352"/>
      <c r="U6" s="89"/>
      <c r="V6" s="89"/>
      <c r="W6" s="89"/>
      <c r="X6" s="90"/>
      <c r="Y6" s="91"/>
      <c r="Z6" s="89"/>
      <c r="AA6" s="89"/>
      <c r="AB6" s="89"/>
      <c r="AC6" s="89"/>
      <c r="AD6" s="89"/>
      <c r="AE6" s="92"/>
      <c r="AF6" s="92"/>
      <c r="AG6" s="92"/>
      <c r="AH6" s="92"/>
      <c r="AI6" s="92"/>
      <c r="AJ6" s="92"/>
      <c r="AK6" s="92"/>
      <c r="AL6" s="92"/>
      <c r="AM6" s="92"/>
      <c r="AN6" s="92"/>
      <c r="AO6" s="9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row>
    <row r="7" spans="1:131" ht="26.25">
      <c r="A7" s="93" t="s">
        <v>64</v>
      </c>
      <c r="B7" s="93" t="s">
        <v>73</v>
      </c>
      <c r="C7" s="93" t="s">
        <v>158</v>
      </c>
      <c r="D7" s="93" t="s">
        <v>159</v>
      </c>
      <c r="E7" s="93" t="s">
        <v>160</v>
      </c>
      <c r="F7" s="94" t="s">
        <v>161</v>
      </c>
      <c r="G7" s="93" t="s">
        <v>162</v>
      </c>
      <c r="H7" s="95" t="s">
        <v>163</v>
      </c>
      <c r="I7" s="95" t="s">
        <v>164</v>
      </c>
      <c r="J7" s="95" t="s">
        <v>165</v>
      </c>
      <c r="K7" s="95" t="s">
        <v>166</v>
      </c>
      <c r="L7" s="95" t="s">
        <v>167</v>
      </c>
      <c r="M7" s="95" t="s">
        <v>168</v>
      </c>
      <c r="N7" s="95" t="s">
        <v>169</v>
      </c>
      <c r="O7" s="96" t="s">
        <v>170</v>
      </c>
      <c r="P7" s="95" t="s">
        <v>162</v>
      </c>
      <c r="Q7" s="97" t="s">
        <v>171</v>
      </c>
      <c r="R7" s="98" t="s">
        <v>172</v>
      </c>
      <c r="S7" s="98" t="s">
        <v>173</v>
      </c>
      <c r="T7" s="98" t="s">
        <v>174</v>
      </c>
      <c r="U7" s="99"/>
      <c r="V7" s="99"/>
      <c r="W7" s="99"/>
      <c r="X7" s="99"/>
      <c r="Y7" s="99"/>
      <c r="Z7" s="99"/>
      <c r="AA7" s="99"/>
      <c r="AB7" s="99"/>
      <c r="AC7" s="99"/>
      <c r="AD7" s="99"/>
      <c r="AE7" s="92"/>
      <c r="AF7" s="92"/>
      <c r="AG7" s="92"/>
      <c r="AH7" s="92"/>
      <c r="AI7" s="92"/>
      <c r="AJ7" s="92"/>
      <c r="AK7" s="92"/>
      <c r="AL7" s="92"/>
      <c r="AM7" s="92"/>
      <c r="AN7" s="92"/>
      <c r="AO7" s="9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row>
    <row r="8" spans="1:131">
      <c r="A8" t="str">
        <f>'Measure Development'!B9</f>
        <v>NR_PARKING_GARAGE_FIX_REPL_from HPS to BI-LEVEL_LED_FIX</v>
      </c>
      <c r="B8" t="str">
        <f>'Measure Development'!C9</f>
        <v>NR_PARKING_GARAGE_FIX_REPL_from HPS to BI-LEVEL_LED_FIX</v>
      </c>
      <c r="C8" s="3">
        <f>'Measure Development'!Z9</f>
        <v>1194.6579392555182</v>
      </c>
      <c r="D8" s="100">
        <f>'Measure Development'!AN9</f>
        <v>8.5616438356164384</v>
      </c>
      <c r="E8" s="7">
        <f>'Measure Development'!AT9</f>
        <v>545.41057057919818</v>
      </c>
      <c r="G8" t="str">
        <f>'Measure Development'!AY9</f>
        <v>Total Industrial-Total Industrial</v>
      </c>
      <c r="I8" s="6"/>
      <c r="J8" s="100"/>
      <c r="Q8" t="str">
        <f>'Measure Development'!BF9</f>
        <v>L</v>
      </c>
    </row>
    <row r="9" spans="1:131">
      <c r="A9" t="str">
        <f>'Measure Development'!B10</f>
        <v>NR_PARKING_GARAGE_FIX_REPL_from MH to BI-LEVEL_LED_FIX</v>
      </c>
      <c r="B9" t="str">
        <f>'Measure Development'!C10</f>
        <v>NR_PARKING_GARAGE_FIX_REPL_from MH to BI-LEVEL_LED_FIX</v>
      </c>
      <c r="C9" s="3">
        <f>'Measure Development'!Z10</f>
        <v>1545.4632738376483</v>
      </c>
      <c r="D9" s="100">
        <f>'Measure Development'!AN10</f>
        <v>8.5616438356164384</v>
      </c>
      <c r="E9" s="7">
        <f>'Measure Development'!AT10</f>
        <v>356.58923434217837</v>
      </c>
      <c r="G9" t="str">
        <f>'Measure Development'!AY10</f>
        <v>Total Industrial-Total Industrial</v>
      </c>
      <c r="I9" s="6"/>
      <c r="J9" s="100"/>
      <c r="Q9" t="str">
        <f>'Measure Development'!BF10</f>
        <v>L</v>
      </c>
    </row>
    <row r="10" spans="1:131">
      <c r="A10" t="str">
        <f>'Measure Development'!B11</f>
        <v>NR_PARKING_GARAGE_FIX_REPL_from HID to BI-LEVEL_LED_FIX</v>
      </c>
      <c r="B10" t="str">
        <f>'Measure Development'!C11</f>
        <v>NR_PARKING_GARAGE_FIX_REPL_from HID to BI-LEVEL_LED_FIX</v>
      </c>
      <c r="C10" s="3">
        <f>'Measure Development'!Z11</f>
        <v>1344.678795729609</v>
      </c>
      <c r="D10" s="100">
        <f>'Measure Development'!AN11</f>
        <v>8.5616438356164384</v>
      </c>
      <c r="E10" s="7">
        <f>'Measure Development'!AT11</f>
        <v>447.49652763248179</v>
      </c>
      <c r="G10" t="str">
        <f>'Measure Development'!AY11</f>
        <v>Total Industrial-Total Industrial</v>
      </c>
      <c r="I10" s="6"/>
      <c r="J10" s="100"/>
      <c r="Q10" t="str">
        <f>'Measure Development'!BF11</f>
        <v>L</v>
      </c>
    </row>
    <row r="11" spans="1:131">
      <c r="A11" t="str">
        <f>'Measure Development'!B12</f>
        <v>Retro_PARKING_GARAGE_FIX_REPL_from HPS to BI-LEVEL_LED_FIX</v>
      </c>
      <c r="B11" t="str">
        <f>'Measure Development'!C12</f>
        <v>Retro_PARKING_GARAGE_FIX_REPL_from HPS to BI-LEVEL_LED_FIX</v>
      </c>
      <c r="C11" s="3">
        <f>'Measure Development'!Z12</f>
        <v>1194.6579392555182</v>
      </c>
      <c r="D11" s="100">
        <f>'Measure Development'!AN12</f>
        <v>8.5616438356164384</v>
      </c>
      <c r="E11" s="7">
        <f>'Measure Development'!AT12</f>
        <v>678.27513934376702</v>
      </c>
      <c r="G11" t="str">
        <f>'Measure Development'!AY12</f>
        <v>Total Industrial-Total Industrial</v>
      </c>
      <c r="I11" s="6"/>
      <c r="J11" s="100"/>
      <c r="Q11" t="str">
        <f>'Measure Development'!BF12</f>
        <v>R</v>
      </c>
    </row>
    <row r="12" spans="1:131">
      <c r="A12" t="str">
        <f>'Measure Development'!B13</f>
        <v>Retro_PARKING_GARAGE_FIX_REPL_from MH to BI-LEVEL_LED_FIX</v>
      </c>
      <c r="B12" t="str">
        <f>'Measure Development'!C13</f>
        <v>Retro_PARKING_GARAGE_FIX_REPL_from MH to BI-LEVEL_LED_FIX</v>
      </c>
      <c r="C12" s="3">
        <f>'Measure Development'!Z13</f>
        <v>1545.4632738376483</v>
      </c>
      <c r="D12" s="100">
        <f>'Measure Development'!AN13</f>
        <v>8.5616438356164384</v>
      </c>
      <c r="E12" s="7">
        <f>'Measure Development'!AT13</f>
        <v>484.7925975406369</v>
      </c>
      <c r="G12" t="str">
        <f>'Measure Development'!AY13</f>
        <v>Total Industrial-Total Industrial</v>
      </c>
      <c r="I12" s="6"/>
      <c r="J12" s="100"/>
      <c r="Q12" t="str">
        <f>'Measure Development'!BF13</f>
        <v>R</v>
      </c>
    </row>
    <row r="13" spans="1:131">
      <c r="A13" t="str">
        <f>'Measure Development'!B14</f>
        <v>Retro_PARKING_GARAGE_FIX_REPL_from HID to BI-LEVEL_LED_FIX</v>
      </c>
      <c r="B13" t="str">
        <f>'Measure Development'!C14</f>
        <v>Retro_PARKING_GARAGE_FIX_REPL_from HID to BI-LEVEL_LED_FIX</v>
      </c>
      <c r="C13" s="3">
        <f>'Measure Development'!Z14</f>
        <v>1344.678795729609</v>
      </c>
      <c r="D13" s="100">
        <f>'Measure Development'!AN14</f>
        <v>8.5616438356164384</v>
      </c>
      <c r="E13" s="7">
        <f>'Measure Development'!AT14</f>
        <v>581.53386844220199</v>
      </c>
      <c r="G13" t="str">
        <f>'Measure Development'!AY14</f>
        <v>Total Industrial-Total Industrial</v>
      </c>
      <c r="I13" s="6"/>
      <c r="J13" s="100"/>
      <c r="Q13" t="str">
        <f>'Measure Development'!BF14</f>
        <v>R</v>
      </c>
    </row>
    <row r="16" spans="1:13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row>
    <row r="17" spans="1:131">
      <c r="A17" s="115" t="s">
        <v>209</v>
      </c>
      <c r="B17" s="116"/>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row>
    <row r="18" spans="1:131">
      <c r="A18" s="79" t="s">
        <v>210</v>
      </c>
      <c r="B18" s="79" t="s">
        <v>211</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row>
    <row r="19" spans="1:131">
      <c r="A19" s="79" t="s">
        <v>212</v>
      </c>
      <c r="B19" s="79" t="s">
        <v>711</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row>
    <row r="20" spans="1:13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row>
    <row r="21" spans="1:131" ht="15.75" thickBot="1">
      <c r="A21" s="101" t="s">
        <v>213</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02"/>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row>
    <row r="22" spans="1:131">
      <c r="A22" s="79"/>
      <c r="B22" s="118" t="s">
        <v>214</v>
      </c>
      <c r="C22" s="119"/>
      <c r="D22" s="119" t="s">
        <v>214</v>
      </c>
      <c r="E22" s="120"/>
      <c r="F22" s="79"/>
      <c r="G22" s="118" t="s">
        <v>215</v>
      </c>
      <c r="H22" s="119"/>
      <c r="I22" s="119"/>
      <c r="J22" s="119"/>
      <c r="K22" s="119"/>
      <c r="L22" s="119"/>
      <c r="M22" s="119"/>
      <c r="N22" s="119"/>
      <c r="O22" s="120"/>
      <c r="P22" s="79"/>
      <c r="Q22" s="118" t="s">
        <v>216</v>
      </c>
      <c r="R22" s="119"/>
      <c r="S22" s="119"/>
      <c r="T22" s="119"/>
      <c r="U22" s="120"/>
      <c r="V22" s="79"/>
      <c r="W22" s="118" t="s">
        <v>217</v>
      </c>
      <c r="X22" s="120"/>
      <c r="Y22" s="79"/>
      <c r="Z22" s="118" t="s">
        <v>218</v>
      </c>
      <c r="AA22" s="119"/>
      <c r="AB22" s="120"/>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row>
    <row r="23" spans="1:131">
      <c r="A23" s="79"/>
      <c r="B23" s="121" t="s">
        <v>219</v>
      </c>
      <c r="C23" s="122" t="s">
        <v>220</v>
      </c>
      <c r="D23" s="122" t="s">
        <v>219</v>
      </c>
      <c r="E23" s="123" t="s">
        <v>220</v>
      </c>
      <c r="F23" s="79"/>
      <c r="G23" s="121" t="s">
        <v>221</v>
      </c>
      <c r="H23" s="122" t="s">
        <v>712</v>
      </c>
      <c r="I23" s="122"/>
      <c r="J23" s="122"/>
      <c r="K23" s="122" t="s">
        <v>222</v>
      </c>
      <c r="L23" s="122"/>
      <c r="M23" s="122"/>
      <c r="N23" s="122"/>
      <c r="O23" s="123"/>
      <c r="P23" s="79"/>
      <c r="Q23" s="121"/>
      <c r="R23" s="122" t="s">
        <v>223</v>
      </c>
      <c r="S23" s="122" t="s">
        <v>224</v>
      </c>
      <c r="T23" s="122" t="s">
        <v>225</v>
      </c>
      <c r="U23" s="123" t="s">
        <v>226</v>
      </c>
      <c r="V23" s="79"/>
      <c r="W23" s="121" t="s">
        <v>227</v>
      </c>
      <c r="X23" s="123">
        <v>20</v>
      </c>
      <c r="Y23" s="79"/>
      <c r="Z23" s="121"/>
      <c r="AA23" s="122" t="s">
        <v>220</v>
      </c>
      <c r="AB23" s="123" t="s">
        <v>228</v>
      </c>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row>
    <row r="24" spans="1:131">
      <c r="A24" s="79"/>
      <c r="B24" s="121" t="s">
        <v>229</v>
      </c>
      <c r="C24" s="122" t="s">
        <v>230</v>
      </c>
      <c r="D24" s="122" t="s">
        <v>229</v>
      </c>
      <c r="E24" s="123" t="s">
        <v>230</v>
      </c>
      <c r="F24" s="79"/>
      <c r="G24" s="121" t="s">
        <v>231</v>
      </c>
      <c r="H24" s="122" t="s">
        <v>232</v>
      </c>
      <c r="I24" s="122"/>
      <c r="J24" s="122"/>
      <c r="K24" s="122" t="s">
        <v>233</v>
      </c>
      <c r="L24" s="122"/>
      <c r="M24" s="122"/>
      <c r="N24" s="122"/>
      <c r="O24" s="123"/>
      <c r="P24" s="79"/>
      <c r="Q24" s="121" t="s">
        <v>234</v>
      </c>
      <c r="R24" s="122">
        <v>6.8012888465852586E-2</v>
      </c>
      <c r="S24" s="122">
        <v>4.387844424080023E-2</v>
      </c>
      <c r="T24" s="122">
        <v>5.3289007766645871E-2</v>
      </c>
      <c r="U24" s="123">
        <v>5.447903102274565E-2</v>
      </c>
      <c r="V24" s="79"/>
      <c r="W24" s="121" t="s">
        <v>235</v>
      </c>
      <c r="X24" s="123">
        <v>2016</v>
      </c>
      <c r="Y24" s="79"/>
      <c r="Z24" s="121" t="s">
        <v>236</v>
      </c>
      <c r="AA24" s="122">
        <v>4.03890184699085E-3</v>
      </c>
      <c r="AB24" s="123">
        <v>0.01</v>
      </c>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row>
    <row r="25" spans="1:131">
      <c r="A25" s="79"/>
      <c r="B25" s="121" t="s">
        <v>237</v>
      </c>
      <c r="C25" s="122" t="s">
        <v>238</v>
      </c>
      <c r="D25" s="122" t="s">
        <v>237</v>
      </c>
      <c r="E25" s="123" t="s">
        <v>238</v>
      </c>
      <c r="F25" s="79"/>
      <c r="G25" s="121" t="s">
        <v>239</v>
      </c>
      <c r="H25" s="122" t="s">
        <v>240</v>
      </c>
      <c r="I25" s="122"/>
      <c r="J25" s="122"/>
      <c r="K25" s="122" t="s">
        <v>241</v>
      </c>
      <c r="L25" s="122"/>
      <c r="M25" s="122"/>
      <c r="N25" s="122"/>
      <c r="O25" s="123"/>
      <c r="P25" s="79"/>
      <c r="Q25" s="121" t="s">
        <v>242</v>
      </c>
      <c r="R25" s="122">
        <v>12</v>
      </c>
      <c r="S25" s="122">
        <v>12</v>
      </c>
      <c r="T25" s="122">
        <v>1</v>
      </c>
      <c r="U25" s="123">
        <v>1</v>
      </c>
      <c r="V25" s="79"/>
      <c r="W25" s="121" t="s">
        <v>243</v>
      </c>
      <c r="X25" s="123">
        <v>2016</v>
      </c>
      <c r="Y25" s="79"/>
      <c r="Z25" s="121" t="s">
        <v>244</v>
      </c>
      <c r="AA25" s="122">
        <v>26</v>
      </c>
      <c r="AB25" s="123">
        <v>0</v>
      </c>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row>
    <row r="26" spans="1:131" ht="15.75" thickBot="1">
      <c r="A26" s="79"/>
      <c r="B26" s="124" t="s">
        <v>245</v>
      </c>
      <c r="C26" s="125" t="s">
        <v>238</v>
      </c>
      <c r="D26" s="125" t="s">
        <v>245</v>
      </c>
      <c r="E26" s="126" t="s">
        <v>238</v>
      </c>
      <c r="F26" s="79"/>
      <c r="G26" s="121" t="s">
        <v>246</v>
      </c>
      <c r="H26" s="122" t="s">
        <v>247</v>
      </c>
      <c r="I26" s="122"/>
      <c r="J26" s="122"/>
      <c r="K26" s="122" t="s">
        <v>233</v>
      </c>
      <c r="L26" s="122"/>
      <c r="M26" s="122"/>
      <c r="N26" s="122"/>
      <c r="O26" s="123"/>
      <c r="P26" s="79"/>
      <c r="Q26" s="121"/>
      <c r="R26" s="122" t="s">
        <v>223</v>
      </c>
      <c r="S26" s="122" t="s">
        <v>224</v>
      </c>
      <c r="T26" s="122" t="s">
        <v>225</v>
      </c>
      <c r="U26" s="123" t="s">
        <v>226</v>
      </c>
      <c r="V26" s="79"/>
      <c r="W26" s="121" t="s">
        <v>248</v>
      </c>
      <c r="X26" s="123">
        <v>2012</v>
      </c>
      <c r="Y26" s="79"/>
      <c r="Z26" s="121" t="s">
        <v>249</v>
      </c>
      <c r="AA26" s="122">
        <v>0.9</v>
      </c>
      <c r="AB26" s="123" t="s">
        <v>111</v>
      </c>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row>
    <row r="27" spans="1:131">
      <c r="A27" s="79"/>
      <c r="B27" s="79"/>
      <c r="C27" s="79"/>
      <c r="D27" s="79"/>
      <c r="E27" s="79"/>
      <c r="F27" s="79"/>
      <c r="G27" s="121" t="s">
        <v>250</v>
      </c>
      <c r="H27" s="122" t="s">
        <v>240</v>
      </c>
      <c r="I27" s="122"/>
      <c r="J27" s="122"/>
      <c r="K27" s="122"/>
      <c r="L27" s="122"/>
      <c r="M27" s="122"/>
      <c r="N27" s="122"/>
      <c r="O27" s="123"/>
      <c r="P27" s="79"/>
      <c r="Q27" s="121" t="s">
        <v>251</v>
      </c>
      <c r="R27" s="122">
        <v>0.35</v>
      </c>
      <c r="S27" s="122">
        <v>0.19500000000000001</v>
      </c>
      <c r="T27" s="122">
        <v>0.45499999999999996</v>
      </c>
      <c r="U27" s="123">
        <v>0</v>
      </c>
      <c r="V27" s="79"/>
      <c r="W27" s="121" t="s">
        <v>252</v>
      </c>
      <c r="X27" s="123">
        <v>0.04</v>
      </c>
      <c r="Y27" s="79"/>
      <c r="Z27" s="121" t="s">
        <v>253</v>
      </c>
      <c r="AA27" s="122">
        <v>4.7399348199455904E-2</v>
      </c>
      <c r="AB27" s="123">
        <v>0</v>
      </c>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row>
    <row r="28" spans="1:131">
      <c r="A28" s="79"/>
      <c r="B28" s="79" t="s">
        <v>254</v>
      </c>
      <c r="C28" s="79" t="s">
        <v>220</v>
      </c>
      <c r="D28" s="79"/>
      <c r="E28" s="79"/>
      <c r="F28" s="79"/>
      <c r="G28" s="121" t="s">
        <v>255</v>
      </c>
      <c r="H28" s="122" t="s">
        <v>256</v>
      </c>
      <c r="I28" s="122"/>
      <c r="J28" s="122"/>
      <c r="K28" s="122" t="s">
        <v>257</v>
      </c>
      <c r="L28" s="122"/>
      <c r="M28" s="122"/>
      <c r="N28" s="122"/>
      <c r="O28" s="123"/>
      <c r="P28" s="79"/>
      <c r="Q28" s="121" t="s">
        <v>258</v>
      </c>
      <c r="R28" s="122">
        <v>1</v>
      </c>
      <c r="S28" s="122">
        <v>0</v>
      </c>
      <c r="T28" s="122">
        <v>0</v>
      </c>
      <c r="U28" s="123">
        <v>0</v>
      </c>
      <c r="V28" s="79"/>
      <c r="W28" s="121" t="s">
        <v>259</v>
      </c>
      <c r="X28" s="123">
        <v>0</v>
      </c>
      <c r="Y28" s="79"/>
      <c r="Z28" s="121" t="s">
        <v>260</v>
      </c>
      <c r="AA28" s="122">
        <v>31</v>
      </c>
      <c r="AB28" s="123">
        <v>0</v>
      </c>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row>
    <row r="29" spans="1:131">
      <c r="A29" s="79"/>
      <c r="B29" s="79" t="s">
        <v>261</v>
      </c>
      <c r="C29" s="79" t="s">
        <v>262</v>
      </c>
      <c r="D29" s="79"/>
      <c r="E29" s="79"/>
      <c r="F29" s="79"/>
      <c r="G29" s="121" t="s">
        <v>263</v>
      </c>
      <c r="H29" s="122" t="s">
        <v>257</v>
      </c>
      <c r="I29" s="122"/>
      <c r="J29" s="122"/>
      <c r="K29" s="122" t="s">
        <v>264</v>
      </c>
      <c r="L29" s="122"/>
      <c r="M29" s="122"/>
      <c r="N29" s="122"/>
      <c r="O29" s="123"/>
      <c r="P29" s="79"/>
      <c r="Q29" s="121" t="s">
        <v>265</v>
      </c>
      <c r="R29" s="122">
        <v>1</v>
      </c>
      <c r="S29" s="122">
        <v>0</v>
      </c>
      <c r="T29" s="122">
        <v>0</v>
      </c>
      <c r="U29" s="123">
        <v>0</v>
      </c>
      <c r="V29" s="79"/>
      <c r="W29" s="121" t="s">
        <v>266</v>
      </c>
      <c r="X29" s="123">
        <v>0.2</v>
      </c>
      <c r="Y29" s="79"/>
      <c r="Z29" s="121" t="s">
        <v>267</v>
      </c>
      <c r="AA29" s="122">
        <v>0.7</v>
      </c>
      <c r="AB29" s="123" t="s">
        <v>111</v>
      </c>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row>
    <row r="30" spans="1:131">
      <c r="A30" s="79"/>
      <c r="B30" s="79" t="s">
        <v>268</v>
      </c>
      <c r="C30" s="79" t="s">
        <v>269</v>
      </c>
      <c r="D30" s="79"/>
      <c r="E30" s="79"/>
      <c r="F30" s="79"/>
      <c r="G30" s="121" t="s">
        <v>270</v>
      </c>
      <c r="H30" s="122" t="s">
        <v>264</v>
      </c>
      <c r="I30" s="122"/>
      <c r="J30" s="122"/>
      <c r="K30" s="122" t="s">
        <v>271</v>
      </c>
      <c r="L30" s="122"/>
      <c r="M30" s="122"/>
      <c r="N30" s="122"/>
      <c r="O30" s="123"/>
      <c r="P30" s="79"/>
      <c r="Q30" s="121" t="s">
        <v>272</v>
      </c>
      <c r="R30" s="122"/>
      <c r="S30" s="122">
        <v>0.3</v>
      </c>
      <c r="T30" s="122">
        <v>0.7</v>
      </c>
      <c r="U30" s="123">
        <v>0</v>
      </c>
      <c r="V30" s="79"/>
      <c r="W30" s="121" t="s">
        <v>273</v>
      </c>
      <c r="X30" s="123">
        <v>0</v>
      </c>
      <c r="Y30" s="79"/>
      <c r="Z30" s="121" t="s">
        <v>274</v>
      </c>
      <c r="AA30" s="122">
        <v>0</v>
      </c>
      <c r="AB30" s="123">
        <v>0</v>
      </c>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row>
    <row r="31" spans="1:131" ht="15.75" thickBot="1">
      <c r="A31" s="79"/>
      <c r="B31" s="79" t="s">
        <v>275</v>
      </c>
      <c r="C31" s="79" t="s">
        <v>276</v>
      </c>
      <c r="D31" s="79"/>
      <c r="E31" s="79"/>
      <c r="F31" s="79"/>
      <c r="G31" s="124" t="s">
        <v>277</v>
      </c>
      <c r="H31" s="125" t="s">
        <v>271</v>
      </c>
      <c r="I31" s="125"/>
      <c r="J31" s="125"/>
      <c r="K31" s="125"/>
      <c r="L31" s="125"/>
      <c r="M31" s="125"/>
      <c r="N31" s="125"/>
      <c r="O31" s="126"/>
      <c r="P31" s="79"/>
      <c r="Q31" s="124" t="s">
        <v>278</v>
      </c>
      <c r="R31" s="125"/>
      <c r="S31" s="125">
        <v>20</v>
      </c>
      <c r="T31" s="125"/>
      <c r="U31" s="126"/>
      <c r="V31" s="79"/>
      <c r="W31" s="124" t="s">
        <v>279</v>
      </c>
      <c r="X31" s="126">
        <v>2018</v>
      </c>
      <c r="Y31" s="79"/>
      <c r="Z31" s="124" t="s">
        <v>280</v>
      </c>
      <c r="AA31" s="125">
        <v>0</v>
      </c>
      <c r="AB31" s="126">
        <v>0</v>
      </c>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row>
    <row r="32" spans="1:13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row>
    <row r="33" spans="1:13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row>
    <row r="34" spans="1:13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row>
    <row r="35" spans="1:13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row>
    <row r="36" spans="1:13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row>
    <row r="37" spans="1:13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row>
    <row r="38" spans="1:13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row>
    <row r="39" spans="1:131" ht="15.75" thickBot="1">
      <c r="A39" s="101" t="s">
        <v>281</v>
      </c>
      <c r="B39" s="102"/>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row>
    <row r="40" spans="1:131" ht="27" thickBot="1">
      <c r="A40" s="127" t="s">
        <v>282</v>
      </c>
      <c r="B40" s="128"/>
      <c r="C40" s="129" t="s">
        <v>283</v>
      </c>
      <c r="D40" s="130"/>
      <c r="E40" s="130"/>
      <c r="F40" s="130"/>
      <c r="G40" s="130"/>
      <c r="H40" s="130"/>
      <c r="I40" s="130"/>
      <c r="J40" s="130"/>
      <c r="K40" s="131"/>
      <c r="L40" s="129" t="s">
        <v>284</v>
      </c>
      <c r="M40" s="130"/>
      <c r="N40" s="130"/>
      <c r="O40" s="130"/>
      <c r="P40" s="130"/>
      <c r="Q40" s="131"/>
      <c r="R40" s="129" t="s">
        <v>285</v>
      </c>
      <c r="S40" s="130"/>
      <c r="T40" s="130"/>
      <c r="U40" s="131"/>
      <c r="V40" s="129" t="s">
        <v>286</v>
      </c>
      <c r="W40" s="130"/>
      <c r="X40" s="130"/>
      <c r="Y40" s="131"/>
      <c r="Z40" s="129" t="s">
        <v>287</v>
      </c>
      <c r="AA40" s="130"/>
      <c r="AB40" s="130"/>
      <c r="AC40" s="131"/>
      <c r="AD40" s="129" t="s">
        <v>288</v>
      </c>
      <c r="AE40" s="130"/>
      <c r="AF40" s="130"/>
      <c r="AG40" s="131"/>
      <c r="AH40" s="129" t="s">
        <v>289</v>
      </c>
      <c r="AI40" s="130"/>
      <c r="AJ40" s="130"/>
      <c r="AK40" s="130"/>
      <c r="AL40" s="131"/>
      <c r="AM40" s="129" t="s">
        <v>290</v>
      </c>
      <c r="AN40" s="130"/>
      <c r="AO40" s="130"/>
      <c r="AP40" s="130"/>
      <c r="AQ40" s="130"/>
      <c r="AR40" s="130"/>
      <c r="AS40" s="131"/>
      <c r="AT40" s="129" t="s">
        <v>291</v>
      </c>
      <c r="AU40" s="130"/>
      <c r="AV40" s="130"/>
      <c r="AW40" s="130"/>
      <c r="AX40" s="130"/>
      <c r="AY40" s="130"/>
      <c r="AZ40" s="131"/>
      <c r="BA40" s="129" t="s">
        <v>292</v>
      </c>
      <c r="BB40" s="130"/>
      <c r="BC40" s="130"/>
      <c r="BD40" s="130"/>
      <c r="BE40" s="130"/>
      <c r="BF40" s="131"/>
      <c r="BG40" s="129" t="s">
        <v>293</v>
      </c>
      <c r="BH40" s="131"/>
      <c r="BI40" s="129" t="s">
        <v>294</v>
      </c>
      <c r="BJ40" s="130"/>
      <c r="BK40" s="130"/>
      <c r="BL40" s="130"/>
      <c r="BM40" s="131"/>
      <c r="BN40" s="129" t="s">
        <v>295</v>
      </c>
      <c r="BO40" s="130"/>
      <c r="BP40" s="130"/>
      <c r="BQ40" s="130"/>
      <c r="BR40" s="130"/>
      <c r="BS40" s="130"/>
      <c r="BT40" s="130"/>
      <c r="BU40" s="130"/>
      <c r="BV40" s="130"/>
      <c r="BW40" s="130"/>
      <c r="BX40" s="130"/>
      <c r="BY40" s="130"/>
      <c r="BZ40" s="130"/>
      <c r="CA40" s="130"/>
      <c r="CB40" s="130"/>
      <c r="CC40" s="131"/>
      <c r="CD40" s="129" t="s">
        <v>296</v>
      </c>
      <c r="CE40" s="131"/>
      <c r="CF40" s="129" t="s">
        <v>297</v>
      </c>
      <c r="CG40" s="130"/>
      <c r="CH40" s="130"/>
      <c r="CI40" s="130"/>
      <c r="CJ40" s="130"/>
      <c r="CK40" s="131"/>
      <c r="CL40" s="132"/>
      <c r="CM40" s="129" t="s">
        <v>155</v>
      </c>
      <c r="CN40" s="130"/>
      <c r="CO40" s="130"/>
      <c r="CP40" s="131"/>
      <c r="CQ40" s="129" t="s">
        <v>298</v>
      </c>
      <c r="CR40" s="130"/>
      <c r="CS40" s="130"/>
      <c r="CT40" s="130"/>
      <c r="CU40" s="131"/>
      <c r="CV40" s="129" t="s">
        <v>299</v>
      </c>
      <c r="CW40" s="131"/>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row>
    <row r="41" spans="1:131" ht="128.25">
      <c r="A41" s="110" t="s">
        <v>178</v>
      </c>
      <c r="B41" s="111" t="s">
        <v>179</v>
      </c>
      <c r="C41" s="112" t="s">
        <v>300</v>
      </c>
      <c r="D41" s="112" t="s">
        <v>301</v>
      </c>
      <c r="E41" s="112" t="s">
        <v>302</v>
      </c>
      <c r="F41" s="112" t="s">
        <v>303</v>
      </c>
      <c r="G41" s="112" t="s">
        <v>304</v>
      </c>
      <c r="H41" s="112" t="s">
        <v>305</v>
      </c>
      <c r="I41" s="112" t="s">
        <v>306</v>
      </c>
      <c r="J41" s="112" t="s">
        <v>307</v>
      </c>
      <c r="K41" s="112" t="s">
        <v>308</v>
      </c>
      <c r="L41" s="112" t="s">
        <v>309</v>
      </c>
      <c r="M41" s="112" t="s">
        <v>310</v>
      </c>
      <c r="N41" s="112" t="s">
        <v>311</v>
      </c>
      <c r="O41" s="112" t="s">
        <v>312</v>
      </c>
      <c r="P41" s="112" t="s">
        <v>313</v>
      </c>
      <c r="Q41" s="112" t="s">
        <v>314</v>
      </c>
      <c r="R41" s="112" t="s">
        <v>315</v>
      </c>
      <c r="S41" s="112" t="s">
        <v>316</v>
      </c>
      <c r="T41" s="112" t="s">
        <v>317</v>
      </c>
      <c r="U41" s="112" t="s">
        <v>223</v>
      </c>
      <c r="V41" s="112" t="s">
        <v>315</v>
      </c>
      <c r="W41" s="112" t="s">
        <v>316</v>
      </c>
      <c r="X41" s="112" t="s">
        <v>317</v>
      </c>
      <c r="Y41" s="112" t="s">
        <v>223</v>
      </c>
      <c r="Z41" s="112" t="s">
        <v>315</v>
      </c>
      <c r="AA41" s="112" t="s">
        <v>316</v>
      </c>
      <c r="AB41" s="112" t="s">
        <v>317</v>
      </c>
      <c r="AC41" s="112" t="s">
        <v>223</v>
      </c>
      <c r="AD41" s="112" t="s">
        <v>315</v>
      </c>
      <c r="AE41" s="112" t="s">
        <v>316</v>
      </c>
      <c r="AF41" s="112" t="s">
        <v>317</v>
      </c>
      <c r="AG41" s="112" t="s">
        <v>223</v>
      </c>
      <c r="AH41" s="112" t="s">
        <v>315</v>
      </c>
      <c r="AI41" s="112" t="s">
        <v>316</v>
      </c>
      <c r="AJ41" s="112" t="s">
        <v>317</v>
      </c>
      <c r="AK41" s="112" t="s">
        <v>223</v>
      </c>
      <c r="AL41" s="112" t="s">
        <v>318</v>
      </c>
      <c r="AM41" s="112" t="s">
        <v>319</v>
      </c>
      <c r="AN41" s="112" t="s">
        <v>320</v>
      </c>
      <c r="AO41" s="112" t="s">
        <v>321</v>
      </c>
      <c r="AP41" s="112" t="s">
        <v>322</v>
      </c>
      <c r="AQ41" s="112" t="s">
        <v>323</v>
      </c>
      <c r="AR41" s="112" t="s">
        <v>324</v>
      </c>
      <c r="AS41" s="112" t="s">
        <v>325</v>
      </c>
      <c r="AT41" s="112" t="s">
        <v>326</v>
      </c>
      <c r="AU41" s="112" t="s">
        <v>327</v>
      </c>
      <c r="AV41" s="112" t="s">
        <v>328</v>
      </c>
      <c r="AW41" s="112" t="s">
        <v>329</v>
      </c>
      <c r="AX41" s="112" t="s">
        <v>330</v>
      </c>
      <c r="AY41" s="112" t="s">
        <v>331</v>
      </c>
      <c r="AZ41" s="112" t="s">
        <v>332</v>
      </c>
      <c r="BA41" s="112" t="s">
        <v>333</v>
      </c>
      <c r="BB41" s="112" t="s">
        <v>334</v>
      </c>
      <c r="BC41" s="112" t="s">
        <v>335</v>
      </c>
      <c r="BD41" s="112" t="s">
        <v>336</v>
      </c>
      <c r="BE41" s="112" t="s">
        <v>337</v>
      </c>
      <c r="BF41" s="112" t="s">
        <v>338</v>
      </c>
      <c r="BG41" s="112" t="s">
        <v>339</v>
      </c>
      <c r="BH41" s="112" t="s">
        <v>340</v>
      </c>
      <c r="BI41" s="112" t="s">
        <v>341</v>
      </c>
      <c r="BJ41" s="112" t="s">
        <v>342</v>
      </c>
      <c r="BK41" s="112" t="s">
        <v>343</v>
      </c>
      <c r="BL41" s="112" t="s">
        <v>344</v>
      </c>
      <c r="BM41" s="112" t="s">
        <v>345</v>
      </c>
      <c r="BN41" s="112" t="s">
        <v>346</v>
      </c>
      <c r="BO41" s="112" t="s">
        <v>347</v>
      </c>
      <c r="BP41" s="112" t="s">
        <v>348</v>
      </c>
      <c r="BQ41" s="112" t="s">
        <v>349</v>
      </c>
      <c r="BR41" s="112" t="s">
        <v>350</v>
      </c>
      <c r="BS41" s="112" t="s">
        <v>351</v>
      </c>
      <c r="BT41" s="112" t="s">
        <v>352</v>
      </c>
      <c r="BU41" s="112" t="s">
        <v>353</v>
      </c>
      <c r="BV41" s="112" t="s">
        <v>354</v>
      </c>
      <c r="BW41" s="112" t="s">
        <v>355</v>
      </c>
      <c r="BX41" s="112" t="s">
        <v>356</v>
      </c>
      <c r="BY41" s="112" t="s">
        <v>357</v>
      </c>
      <c r="BZ41" s="112" t="s">
        <v>358</v>
      </c>
      <c r="CA41" s="112" t="s">
        <v>359</v>
      </c>
      <c r="CB41" s="112" t="s">
        <v>360</v>
      </c>
      <c r="CC41" s="112" t="s">
        <v>361</v>
      </c>
      <c r="CD41" s="112" t="s">
        <v>188</v>
      </c>
      <c r="CE41" s="112" t="s">
        <v>187</v>
      </c>
      <c r="CF41" s="112" t="s">
        <v>362</v>
      </c>
      <c r="CG41" s="112" t="s">
        <v>363</v>
      </c>
      <c r="CH41" s="112" t="s">
        <v>364</v>
      </c>
      <c r="CI41" s="112" t="s">
        <v>365</v>
      </c>
      <c r="CJ41" s="112" t="s">
        <v>366</v>
      </c>
      <c r="CK41" s="112" t="s">
        <v>367</v>
      </c>
      <c r="CL41" s="112"/>
      <c r="CM41" s="112" t="s">
        <v>368</v>
      </c>
      <c r="CN41" s="112" t="s">
        <v>369</v>
      </c>
      <c r="CO41" s="112" t="s">
        <v>370</v>
      </c>
      <c r="CP41" s="112" t="s">
        <v>371</v>
      </c>
      <c r="CQ41" s="112" t="s">
        <v>372</v>
      </c>
      <c r="CR41" s="112" t="s">
        <v>373</v>
      </c>
      <c r="CS41" s="112" t="s">
        <v>374</v>
      </c>
      <c r="CT41" s="112" t="s">
        <v>375</v>
      </c>
      <c r="CU41" s="112" t="s">
        <v>376</v>
      </c>
      <c r="CV41" s="112" t="s">
        <v>377</v>
      </c>
      <c r="CW41" s="133" t="s">
        <v>378</v>
      </c>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row>
    <row r="42" spans="1:131">
      <c r="A42" s="79" t="s">
        <v>207</v>
      </c>
      <c r="B42" s="79" t="s">
        <v>207</v>
      </c>
      <c r="C42" s="103">
        <v>8.5616438356164384</v>
      </c>
      <c r="D42" s="103">
        <v>1194.6579392555182</v>
      </c>
      <c r="E42" s="103">
        <v>0</v>
      </c>
      <c r="F42" s="103">
        <v>545.41057057919818</v>
      </c>
      <c r="G42" s="103">
        <v>0</v>
      </c>
      <c r="H42" s="103">
        <v>0</v>
      </c>
      <c r="I42" s="103" t="s">
        <v>710</v>
      </c>
      <c r="J42" s="103"/>
      <c r="K42" s="103"/>
      <c r="L42" s="103">
        <v>1282.3061694466355</v>
      </c>
      <c r="M42" s="103">
        <v>0.16105280993947424</v>
      </c>
      <c r="N42" s="103">
        <v>0.15989040298042945</v>
      </c>
      <c r="O42" s="103">
        <v>0</v>
      </c>
      <c r="P42" s="103">
        <v>0</v>
      </c>
      <c r="Q42" s="103">
        <v>0</v>
      </c>
      <c r="R42" s="103">
        <v>108.76215364178397</v>
      </c>
      <c r="S42" s="103">
        <v>251.33279443597667</v>
      </c>
      <c r="T42" s="103">
        <v>0</v>
      </c>
      <c r="U42" s="103">
        <v>800.81016005374147</v>
      </c>
      <c r="V42" s="103" t="s">
        <v>379</v>
      </c>
      <c r="W42" s="103" t="s">
        <v>379</v>
      </c>
      <c r="X42" s="103" t="s">
        <v>379</v>
      </c>
      <c r="Y42" s="103" t="s">
        <v>379</v>
      </c>
      <c r="Z42" s="103">
        <v>0</v>
      </c>
      <c r="AA42" s="103">
        <v>0</v>
      </c>
      <c r="AB42" s="103">
        <v>0</v>
      </c>
      <c r="AC42" s="103">
        <v>0</v>
      </c>
      <c r="AD42" s="103">
        <v>0</v>
      </c>
      <c r="AE42" s="103">
        <v>0</v>
      </c>
      <c r="AF42" s="103">
        <v>0</v>
      </c>
      <c r="AG42" s="103">
        <v>0</v>
      </c>
      <c r="AH42" s="103">
        <v>108.76215364178397</v>
      </c>
      <c r="AI42" s="103">
        <v>251.33279443597667</v>
      </c>
      <c r="AJ42" s="103">
        <v>0</v>
      </c>
      <c r="AK42" s="103">
        <v>800.81016005374147</v>
      </c>
      <c r="AL42" s="103">
        <v>1160.9051081315022</v>
      </c>
      <c r="AM42" s="103">
        <v>645.56093634006356</v>
      </c>
      <c r="AN42" s="103">
        <v>56.907766392139273</v>
      </c>
      <c r="AO42" s="103">
        <v>0</v>
      </c>
      <c r="AP42" s="103">
        <v>0</v>
      </c>
      <c r="AQ42" s="103">
        <v>702.46870273220281</v>
      </c>
      <c r="AR42" s="103">
        <v>108.76215364178397</v>
      </c>
      <c r="AS42" s="134">
        <v>6.458760508235561</v>
      </c>
      <c r="AT42" s="103">
        <v>645.56093634006356</v>
      </c>
      <c r="AU42" s="103">
        <v>67.361845433905344</v>
      </c>
      <c r="AV42" s="103">
        <v>0</v>
      </c>
      <c r="AW42" s="103">
        <v>0</v>
      </c>
      <c r="AX42" s="103">
        <v>712.92278177396895</v>
      </c>
      <c r="AY42" s="103">
        <v>251.33279443597667</v>
      </c>
      <c r="AZ42" s="134">
        <v>2.8365688742444455</v>
      </c>
      <c r="BA42" s="103">
        <v>645.56093634006356</v>
      </c>
      <c r="BB42" s="103">
        <v>124.26961182604461</v>
      </c>
      <c r="BC42" s="103">
        <v>0</v>
      </c>
      <c r="BD42" s="103">
        <v>0</v>
      </c>
      <c r="BE42" s="103">
        <v>769.8305481661082</v>
      </c>
      <c r="BF42" s="103">
        <v>360.09494807776065</v>
      </c>
      <c r="BG42" s="103">
        <v>13.532213621593165</v>
      </c>
      <c r="BH42" s="134">
        <v>2.1378543416828699</v>
      </c>
      <c r="BI42" s="103">
        <v>6.2410287224362984</v>
      </c>
      <c r="BJ42" s="103">
        <v>14.422068122440129</v>
      </c>
      <c r="BK42" s="103">
        <v>0</v>
      </c>
      <c r="BL42" s="103">
        <v>45.952374449802512</v>
      </c>
      <c r="BM42" s="103">
        <v>66.615471294678954</v>
      </c>
      <c r="BN42" s="103">
        <v>645.56093634006356</v>
      </c>
      <c r="BO42" s="103">
        <v>0</v>
      </c>
      <c r="BP42" s="103">
        <v>124.26961182604461</v>
      </c>
      <c r="BQ42" s="103">
        <v>0</v>
      </c>
      <c r="BR42" s="103">
        <v>0</v>
      </c>
      <c r="BS42" s="103">
        <v>0</v>
      </c>
      <c r="BT42" s="103">
        <v>0</v>
      </c>
      <c r="BU42" s="103">
        <v>0</v>
      </c>
      <c r="BV42" s="103">
        <v>0</v>
      </c>
      <c r="BW42" s="103">
        <v>0</v>
      </c>
      <c r="BX42" s="103">
        <v>1160.9051081315022</v>
      </c>
      <c r="BY42" s="103"/>
      <c r="BZ42" s="103">
        <v>0</v>
      </c>
      <c r="CA42" s="103">
        <v>0</v>
      </c>
      <c r="CB42" s="103">
        <v>769.8305481661082</v>
      </c>
      <c r="CC42" s="103">
        <v>1160.9051081315022</v>
      </c>
      <c r="CD42" s="114">
        <v>0.66312960704011759</v>
      </c>
      <c r="CE42" s="103">
        <v>59.484588071395684</v>
      </c>
      <c r="CF42" s="103">
        <v>12.182008726887725</v>
      </c>
      <c r="CG42" s="103">
        <v>0</v>
      </c>
      <c r="CH42" s="103">
        <v>12.182008726887725</v>
      </c>
      <c r="CI42" s="103">
        <v>0.60909543048715165</v>
      </c>
      <c r="CJ42" s="103">
        <v>0</v>
      </c>
      <c r="CK42" s="103">
        <v>0.60909543048715165</v>
      </c>
      <c r="CL42" s="103"/>
      <c r="CM42" s="103">
        <v>0</v>
      </c>
      <c r="CN42" s="103"/>
      <c r="CO42" s="103">
        <v>0</v>
      </c>
      <c r="CP42" s="103">
        <v>0</v>
      </c>
      <c r="CQ42" s="103">
        <v>0</v>
      </c>
      <c r="CR42" s="103">
        <v>0</v>
      </c>
      <c r="CS42" s="103">
        <v>0</v>
      </c>
      <c r="CT42" s="103">
        <v>0</v>
      </c>
      <c r="CU42" s="103">
        <v>0</v>
      </c>
      <c r="CV42" s="103">
        <v>9999</v>
      </c>
      <c r="CW42" s="134">
        <v>9999</v>
      </c>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row>
    <row r="43" spans="1:131">
      <c r="A43" s="79" t="s">
        <v>203</v>
      </c>
      <c r="B43" s="79" t="s">
        <v>203</v>
      </c>
      <c r="C43" s="103">
        <v>8.5616438356164384</v>
      </c>
      <c r="D43" s="103">
        <v>1545.4632738376483</v>
      </c>
      <c r="E43" s="103">
        <v>0</v>
      </c>
      <c r="F43" s="103">
        <v>356.58923434217837</v>
      </c>
      <c r="G43" s="103">
        <v>0</v>
      </c>
      <c r="H43" s="103">
        <v>0</v>
      </c>
      <c r="I43" s="103" t="s">
        <v>710</v>
      </c>
      <c r="J43" s="103"/>
      <c r="K43" s="103"/>
      <c r="L43" s="103">
        <v>1658.8489688773964</v>
      </c>
      <c r="M43" s="103">
        <v>0.2083451628546675</v>
      </c>
      <c r="N43" s="103">
        <v>0.20684142090023278</v>
      </c>
      <c r="O43" s="103">
        <v>0</v>
      </c>
      <c r="P43" s="103">
        <v>0</v>
      </c>
      <c r="Q43" s="103">
        <v>0</v>
      </c>
      <c r="R43" s="103">
        <v>71.108656825891913</v>
      </c>
      <c r="S43" s="103">
        <v>164.32129035898672</v>
      </c>
      <c r="T43" s="103">
        <v>0</v>
      </c>
      <c r="U43" s="103">
        <v>523.56939383068891</v>
      </c>
      <c r="V43" s="103" t="s">
        <v>379</v>
      </c>
      <c r="W43" s="103" t="s">
        <v>379</v>
      </c>
      <c r="X43" s="103" t="s">
        <v>379</v>
      </c>
      <c r="Y43" s="103" t="s">
        <v>379</v>
      </c>
      <c r="Z43" s="103">
        <v>0</v>
      </c>
      <c r="AA43" s="103">
        <v>0</v>
      </c>
      <c r="AB43" s="103">
        <v>0</v>
      </c>
      <c r="AC43" s="103">
        <v>0</v>
      </c>
      <c r="AD43" s="103">
        <v>0</v>
      </c>
      <c r="AE43" s="103">
        <v>0</v>
      </c>
      <c r="AF43" s="103">
        <v>0</v>
      </c>
      <c r="AG43" s="103">
        <v>0</v>
      </c>
      <c r="AH43" s="103">
        <v>71.108656825891913</v>
      </c>
      <c r="AI43" s="103">
        <v>164.32129035898672</v>
      </c>
      <c r="AJ43" s="103">
        <v>0</v>
      </c>
      <c r="AK43" s="103">
        <v>523.56939383068891</v>
      </c>
      <c r="AL43" s="103">
        <v>758.99934101556755</v>
      </c>
      <c r="AM43" s="103">
        <v>835.12667965823778</v>
      </c>
      <c r="AN43" s="103">
        <v>73.618447645349619</v>
      </c>
      <c r="AO43" s="103">
        <v>0</v>
      </c>
      <c r="AP43" s="103">
        <v>0</v>
      </c>
      <c r="AQ43" s="103">
        <v>908.74512730358742</v>
      </c>
      <c r="AR43" s="103">
        <v>71.108656825891913</v>
      </c>
      <c r="AS43" s="134">
        <v>12.779669422369082</v>
      </c>
      <c r="AT43" s="103">
        <v>835.12667965823778</v>
      </c>
      <c r="AU43" s="103">
        <v>87.142314762420469</v>
      </c>
      <c r="AV43" s="103">
        <v>0</v>
      </c>
      <c r="AW43" s="103">
        <v>0</v>
      </c>
      <c r="AX43" s="103">
        <v>922.26899442065826</v>
      </c>
      <c r="AY43" s="103">
        <v>164.32129035898672</v>
      </c>
      <c r="AZ43" s="134">
        <v>5.6125958626895569</v>
      </c>
      <c r="BA43" s="103">
        <v>835.12667965823778</v>
      </c>
      <c r="BB43" s="103">
        <v>160.76076240777007</v>
      </c>
      <c r="BC43" s="103">
        <v>0</v>
      </c>
      <c r="BD43" s="103">
        <v>0</v>
      </c>
      <c r="BE43" s="103">
        <v>995.88744206600791</v>
      </c>
      <c r="BF43" s="103">
        <v>235.42994718487864</v>
      </c>
      <c r="BG43" s="103">
        <v>3.312109429244567</v>
      </c>
      <c r="BH43" s="134">
        <v>4.2300797072513312</v>
      </c>
      <c r="BI43" s="103">
        <v>3.1541746903624479</v>
      </c>
      <c r="BJ43" s="103">
        <v>7.2888179621653792</v>
      </c>
      <c r="BK43" s="103">
        <v>0</v>
      </c>
      <c r="BL43" s="103">
        <v>23.224026502323881</v>
      </c>
      <c r="BM43" s="103">
        <v>33.667019154851708</v>
      </c>
      <c r="BN43" s="103">
        <v>835.12667965823778</v>
      </c>
      <c r="BO43" s="103">
        <v>0</v>
      </c>
      <c r="BP43" s="103">
        <v>160.76076240777007</v>
      </c>
      <c r="BQ43" s="103">
        <v>0</v>
      </c>
      <c r="BR43" s="103">
        <v>0</v>
      </c>
      <c r="BS43" s="103">
        <v>0</v>
      </c>
      <c r="BT43" s="103">
        <v>0</v>
      </c>
      <c r="BU43" s="103">
        <v>0</v>
      </c>
      <c r="BV43" s="103">
        <v>0</v>
      </c>
      <c r="BW43" s="103">
        <v>0</v>
      </c>
      <c r="BX43" s="103">
        <v>758.99934101556755</v>
      </c>
      <c r="BY43" s="103"/>
      <c r="BZ43" s="103">
        <v>0</v>
      </c>
      <c r="CA43" s="103">
        <v>0</v>
      </c>
      <c r="CB43" s="103">
        <v>995.88744206600791</v>
      </c>
      <c r="CC43" s="103">
        <v>758.99934101556755</v>
      </c>
      <c r="CD43" s="134">
        <v>1.3121058059595623</v>
      </c>
      <c r="CE43" s="103">
        <v>26.536135931568445</v>
      </c>
      <c r="CF43" s="103">
        <v>15.759194720379217</v>
      </c>
      <c r="CG43" s="103">
        <v>0</v>
      </c>
      <c r="CH43" s="103">
        <v>15.759194720379217</v>
      </c>
      <c r="CI43" s="103">
        <v>0.78795326021676315</v>
      </c>
      <c r="CJ43" s="103">
        <v>0</v>
      </c>
      <c r="CK43" s="103">
        <v>0.78795326021676315</v>
      </c>
      <c r="CL43" s="103"/>
      <c r="CM43" s="103">
        <v>0</v>
      </c>
      <c r="CN43" s="103"/>
      <c r="CO43" s="103">
        <v>0</v>
      </c>
      <c r="CP43" s="103">
        <v>0</v>
      </c>
      <c r="CQ43" s="103">
        <v>0</v>
      </c>
      <c r="CR43" s="103">
        <v>0</v>
      </c>
      <c r="CS43" s="103">
        <v>0</v>
      </c>
      <c r="CT43" s="103">
        <v>0</v>
      </c>
      <c r="CU43" s="103">
        <v>0</v>
      </c>
      <c r="CV43" s="103">
        <v>9999</v>
      </c>
      <c r="CW43" s="134">
        <v>9999</v>
      </c>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row>
    <row r="44" spans="1:131">
      <c r="A44" s="79" t="s">
        <v>205</v>
      </c>
      <c r="B44" s="79" t="s">
        <v>205</v>
      </c>
      <c r="C44" s="103">
        <v>8.5616438356164384</v>
      </c>
      <c r="D44" s="103">
        <v>1344.678795729609</v>
      </c>
      <c r="E44" s="103">
        <v>0</v>
      </c>
      <c r="F44" s="103">
        <v>447.49652763248179</v>
      </c>
      <c r="G44" s="103">
        <v>0</v>
      </c>
      <c r="H44" s="103">
        <v>0</v>
      </c>
      <c r="I44" s="103" t="s">
        <v>710</v>
      </c>
      <c r="J44" s="103"/>
      <c r="K44" s="103"/>
      <c r="L44" s="103">
        <v>1443.3335761052115</v>
      </c>
      <c r="M44" s="103">
        <v>0.18127724380523469</v>
      </c>
      <c r="N44" s="103">
        <v>0.17996886595206432</v>
      </c>
      <c r="O44" s="103">
        <v>0</v>
      </c>
      <c r="P44" s="103">
        <v>0</v>
      </c>
      <c r="Q44" s="103">
        <v>0</v>
      </c>
      <c r="R44" s="103">
        <v>89.236785493253322</v>
      </c>
      <c r="S44" s="103">
        <v>206.21263843645335</v>
      </c>
      <c r="T44" s="103">
        <v>0</v>
      </c>
      <c r="U44" s="103">
        <v>657.04587561678807</v>
      </c>
      <c r="V44" s="103" t="s">
        <v>379</v>
      </c>
      <c r="W44" s="103" t="s">
        <v>379</v>
      </c>
      <c r="X44" s="103" t="s">
        <v>379</v>
      </c>
      <c r="Y44" s="103" t="s">
        <v>379</v>
      </c>
      <c r="Z44" s="103">
        <v>0</v>
      </c>
      <c r="AA44" s="103">
        <v>0</v>
      </c>
      <c r="AB44" s="103">
        <v>0</v>
      </c>
      <c r="AC44" s="103">
        <v>0</v>
      </c>
      <c r="AD44" s="103">
        <v>0</v>
      </c>
      <c r="AE44" s="103">
        <v>0</v>
      </c>
      <c r="AF44" s="103">
        <v>0</v>
      </c>
      <c r="AG44" s="103">
        <v>0</v>
      </c>
      <c r="AH44" s="103">
        <v>89.236785493253322</v>
      </c>
      <c r="AI44" s="103">
        <v>206.21263843645335</v>
      </c>
      <c r="AJ44" s="103">
        <v>0</v>
      </c>
      <c r="AK44" s="103">
        <v>657.04587561678807</v>
      </c>
      <c r="AL44" s="103">
        <v>952.49529954649472</v>
      </c>
      <c r="AM44" s="103">
        <v>726.62816185593522</v>
      </c>
      <c r="AN44" s="103">
        <v>64.054039457964706</v>
      </c>
      <c r="AO44" s="103">
        <v>0</v>
      </c>
      <c r="AP44" s="103">
        <v>0</v>
      </c>
      <c r="AQ44" s="103">
        <v>790.6822013138999</v>
      </c>
      <c r="AR44" s="103">
        <v>89.236785493253322</v>
      </c>
      <c r="AS44" s="134">
        <v>8.8604962285836582</v>
      </c>
      <c r="AT44" s="103">
        <v>726.62816185593522</v>
      </c>
      <c r="AU44" s="103">
        <v>75.820904226891244</v>
      </c>
      <c r="AV44" s="103">
        <v>0</v>
      </c>
      <c r="AW44" s="103">
        <v>0</v>
      </c>
      <c r="AX44" s="103">
        <v>802.44906608282645</v>
      </c>
      <c r="AY44" s="103">
        <v>206.21263843645335</v>
      </c>
      <c r="AZ44" s="134">
        <v>3.8913670479518636</v>
      </c>
      <c r="BA44" s="103">
        <v>726.62816185593522</v>
      </c>
      <c r="BB44" s="103">
        <v>139.87494368485596</v>
      </c>
      <c r="BC44" s="103">
        <v>0</v>
      </c>
      <c r="BD44" s="103">
        <v>0</v>
      </c>
      <c r="BE44" s="103">
        <v>866.50310554079113</v>
      </c>
      <c r="BF44" s="103">
        <v>295.44942392970665</v>
      </c>
      <c r="BG44" s="103">
        <v>7.9312521737167359</v>
      </c>
      <c r="BH44" s="134">
        <v>2.9328305806646271</v>
      </c>
      <c r="BI44" s="103">
        <v>4.5493287061281062</v>
      </c>
      <c r="BJ44" s="103">
        <v>10.512806690871892</v>
      </c>
      <c r="BK44" s="103">
        <v>0</v>
      </c>
      <c r="BL44" s="103">
        <v>33.496473978351908</v>
      </c>
      <c r="BM44" s="103">
        <v>48.558609375351907</v>
      </c>
      <c r="BN44" s="103">
        <v>726.62816185593522</v>
      </c>
      <c r="BO44" s="103">
        <v>0</v>
      </c>
      <c r="BP44" s="103">
        <v>139.87494368485596</v>
      </c>
      <c r="BQ44" s="103">
        <v>0</v>
      </c>
      <c r="BR44" s="103">
        <v>0</v>
      </c>
      <c r="BS44" s="103">
        <v>0</v>
      </c>
      <c r="BT44" s="103">
        <v>0</v>
      </c>
      <c r="BU44" s="103">
        <v>0</v>
      </c>
      <c r="BV44" s="103">
        <v>0</v>
      </c>
      <c r="BW44" s="103">
        <v>0</v>
      </c>
      <c r="BX44" s="103">
        <v>952.49529954649472</v>
      </c>
      <c r="BY44" s="103"/>
      <c r="BZ44" s="103">
        <v>0</v>
      </c>
      <c r="CA44" s="103">
        <v>0</v>
      </c>
      <c r="CB44" s="103">
        <v>866.50310554079113</v>
      </c>
      <c r="CC44" s="103">
        <v>952.49529954649472</v>
      </c>
      <c r="CD44" s="114">
        <v>0.9097190358349837</v>
      </c>
      <c r="CE44" s="103">
        <v>41.427726152068644</v>
      </c>
      <c r="CF44" s="103">
        <v>13.711781662495888</v>
      </c>
      <c r="CG44" s="103">
        <v>0</v>
      </c>
      <c r="CH44" s="103">
        <v>13.711781662495888</v>
      </c>
      <c r="CI44" s="103">
        <v>0.68558344864997534</v>
      </c>
      <c r="CJ44" s="103">
        <v>0</v>
      </c>
      <c r="CK44" s="103">
        <v>0.68558344864997534</v>
      </c>
      <c r="CL44" s="103"/>
      <c r="CM44" s="103">
        <v>0</v>
      </c>
      <c r="CN44" s="103"/>
      <c r="CO44" s="103">
        <v>0</v>
      </c>
      <c r="CP44" s="103">
        <v>0</v>
      </c>
      <c r="CQ44" s="103">
        <v>0</v>
      </c>
      <c r="CR44" s="103">
        <v>0</v>
      </c>
      <c r="CS44" s="103">
        <v>0</v>
      </c>
      <c r="CT44" s="103">
        <v>0</v>
      </c>
      <c r="CU44" s="103">
        <v>0</v>
      </c>
      <c r="CV44" s="103">
        <v>9999</v>
      </c>
      <c r="CW44" s="134">
        <v>9999</v>
      </c>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row>
    <row r="45" spans="1:131">
      <c r="A45" s="79" t="s">
        <v>208</v>
      </c>
      <c r="B45" s="79" t="s">
        <v>208</v>
      </c>
      <c r="C45" s="103">
        <v>8.5616438356164384</v>
      </c>
      <c r="D45" s="103">
        <v>1194.6579392555182</v>
      </c>
      <c r="E45" s="103">
        <v>0</v>
      </c>
      <c r="F45" s="103">
        <v>678.27513934376702</v>
      </c>
      <c r="G45" s="103">
        <v>0</v>
      </c>
      <c r="H45" s="103">
        <v>0</v>
      </c>
      <c r="I45" s="103" t="s">
        <v>710</v>
      </c>
      <c r="J45" s="103"/>
      <c r="K45" s="103"/>
      <c r="L45" s="103">
        <v>1282.3061694466355</v>
      </c>
      <c r="M45" s="103">
        <v>0.16105280993947424</v>
      </c>
      <c r="N45" s="103">
        <v>0.15989040298042945</v>
      </c>
      <c r="O45" s="103">
        <v>0</v>
      </c>
      <c r="P45" s="103">
        <v>0</v>
      </c>
      <c r="Q45" s="103">
        <v>0</v>
      </c>
      <c r="R45" s="103">
        <v>135.25712352506946</v>
      </c>
      <c r="S45" s="103">
        <v>312.55863997407869</v>
      </c>
      <c r="T45" s="103">
        <v>0</v>
      </c>
      <c r="U45" s="103">
        <v>995.89126466972857</v>
      </c>
      <c r="V45" s="103" t="s">
        <v>379</v>
      </c>
      <c r="W45" s="103" t="s">
        <v>379</v>
      </c>
      <c r="X45" s="103" t="s">
        <v>379</v>
      </c>
      <c r="Y45" s="103" t="s">
        <v>379</v>
      </c>
      <c r="Z45" s="103">
        <v>0</v>
      </c>
      <c r="AA45" s="103">
        <v>0</v>
      </c>
      <c r="AB45" s="103">
        <v>0</v>
      </c>
      <c r="AC45" s="103">
        <v>0</v>
      </c>
      <c r="AD45" s="103">
        <v>0</v>
      </c>
      <c r="AE45" s="103">
        <v>0</v>
      </c>
      <c r="AF45" s="103">
        <v>0</v>
      </c>
      <c r="AG45" s="103">
        <v>0</v>
      </c>
      <c r="AH45" s="103">
        <v>135.25712352506946</v>
      </c>
      <c r="AI45" s="103">
        <v>312.55863997407869</v>
      </c>
      <c r="AJ45" s="103">
        <v>0</v>
      </c>
      <c r="AK45" s="103">
        <v>995.89126466972857</v>
      </c>
      <c r="AL45" s="103">
        <v>1443.7070281688766</v>
      </c>
      <c r="AM45" s="103">
        <v>645.56093634006356</v>
      </c>
      <c r="AN45" s="103">
        <v>56.907766392139273</v>
      </c>
      <c r="AO45" s="103">
        <v>0</v>
      </c>
      <c r="AP45" s="103">
        <v>0</v>
      </c>
      <c r="AQ45" s="103">
        <v>702.46870273220281</v>
      </c>
      <c r="AR45" s="103">
        <v>135.25712352506946</v>
      </c>
      <c r="AS45" s="134">
        <v>5.1935800823237424</v>
      </c>
      <c r="AT45" s="103">
        <v>645.56093634006356</v>
      </c>
      <c r="AU45" s="103">
        <v>67.361845433905344</v>
      </c>
      <c r="AV45" s="103">
        <v>0</v>
      </c>
      <c r="AW45" s="103">
        <v>0</v>
      </c>
      <c r="AX45" s="103">
        <v>712.92278177396895</v>
      </c>
      <c r="AY45" s="103">
        <v>312.55863997407869</v>
      </c>
      <c r="AZ45" s="134">
        <v>2.2809248908719768</v>
      </c>
      <c r="BA45" s="103">
        <v>645.56093634006356</v>
      </c>
      <c r="BB45" s="103">
        <v>124.26961182604461</v>
      </c>
      <c r="BC45" s="103">
        <v>0</v>
      </c>
      <c r="BD45" s="103">
        <v>0</v>
      </c>
      <c r="BE45" s="103">
        <v>769.8305481661082</v>
      </c>
      <c r="BF45" s="103">
        <v>447.81576349914815</v>
      </c>
      <c r="BG45" s="103">
        <v>18.565840763655267</v>
      </c>
      <c r="BH45" s="134">
        <v>1.7190787169946791</v>
      </c>
      <c r="BI45" s="103">
        <v>7.7613725415397798</v>
      </c>
      <c r="BJ45" s="103">
        <v>17.935351445398751</v>
      </c>
      <c r="BK45" s="103">
        <v>0</v>
      </c>
      <c r="BL45" s="103">
        <v>57.146588028203354</v>
      </c>
      <c r="BM45" s="103">
        <v>82.843312015141876</v>
      </c>
      <c r="BN45" s="103">
        <v>645.56093634006356</v>
      </c>
      <c r="BO45" s="103">
        <v>0</v>
      </c>
      <c r="BP45" s="103">
        <v>124.26961182604461</v>
      </c>
      <c r="BQ45" s="103">
        <v>0</v>
      </c>
      <c r="BR45" s="103">
        <v>0</v>
      </c>
      <c r="BS45" s="103">
        <v>0</v>
      </c>
      <c r="BT45" s="103">
        <v>0</v>
      </c>
      <c r="BU45" s="103">
        <v>0</v>
      </c>
      <c r="BV45" s="103">
        <v>0</v>
      </c>
      <c r="BW45" s="103">
        <v>0</v>
      </c>
      <c r="BX45" s="103">
        <v>1443.7070281688766</v>
      </c>
      <c r="BY45" s="103"/>
      <c r="BZ45" s="103">
        <v>0</v>
      </c>
      <c r="CA45" s="103">
        <v>0</v>
      </c>
      <c r="CB45" s="103">
        <v>769.8305481661082</v>
      </c>
      <c r="CC45" s="103">
        <v>1443.7070281688766</v>
      </c>
      <c r="CD45" s="114">
        <v>0.53323183523080964</v>
      </c>
      <c r="CE45" s="103">
        <v>75.712428791858613</v>
      </c>
      <c r="CF45" s="103">
        <v>12.182008726887725</v>
      </c>
      <c r="CG45" s="103">
        <v>0</v>
      </c>
      <c r="CH45" s="103">
        <v>12.182008726887725</v>
      </c>
      <c r="CI45" s="103">
        <v>0.60909543048715165</v>
      </c>
      <c r="CJ45" s="103">
        <v>0</v>
      </c>
      <c r="CK45" s="103">
        <v>0.60909543048715165</v>
      </c>
      <c r="CL45" s="103"/>
      <c r="CM45" s="103">
        <v>0</v>
      </c>
      <c r="CN45" s="103"/>
      <c r="CO45" s="103">
        <v>0</v>
      </c>
      <c r="CP45" s="103">
        <v>0</v>
      </c>
      <c r="CQ45" s="103">
        <v>0</v>
      </c>
      <c r="CR45" s="103">
        <v>0</v>
      </c>
      <c r="CS45" s="103">
        <v>0</v>
      </c>
      <c r="CT45" s="103">
        <v>0</v>
      </c>
      <c r="CU45" s="103">
        <v>0</v>
      </c>
      <c r="CV45" s="103">
        <v>9999</v>
      </c>
      <c r="CW45" s="134">
        <v>9999</v>
      </c>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row>
    <row r="46" spans="1:131">
      <c r="A46" s="79" t="s">
        <v>204</v>
      </c>
      <c r="B46" s="79" t="s">
        <v>204</v>
      </c>
      <c r="C46" s="103">
        <v>8.5616438356164384</v>
      </c>
      <c r="D46" s="103">
        <v>1545.4632738376483</v>
      </c>
      <c r="E46" s="103">
        <v>0</v>
      </c>
      <c r="F46" s="103">
        <v>484.7925975406369</v>
      </c>
      <c r="G46" s="103">
        <v>0</v>
      </c>
      <c r="H46" s="103">
        <v>0</v>
      </c>
      <c r="I46" s="103" t="s">
        <v>710</v>
      </c>
      <c r="J46" s="103"/>
      <c r="K46" s="103"/>
      <c r="L46" s="103">
        <v>1658.8489688773964</v>
      </c>
      <c r="M46" s="103">
        <v>0.2083451628546675</v>
      </c>
      <c r="N46" s="103">
        <v>0.20684142090023278</v>
      </c>
      <c r="O46" s="103">
        <v>0</v>
      </c>
      <c r="P46" s="103">
        <v>0</v>
      </c>
      <c r="Q46" s="103">
        <v>0</v>
      </c>
      <c r="R46" s="103">
        <v>96.674120052570331</v>
      </c>
      <c r="S46" s="103">
        <v>223.39918739083416</v>
      </c>
      <c r="T46" s="103">
        <v>0</v>
      </c>
      <c r="U46" s="103">
        <v>711.80658859821767</v>
      </c>
      <c r="V46" s="103" t="s">
        <v>379</v>
      </c>
      <c r="W46" s="103" t="s">
        <v>379</v>
      </c>
      <c r="X46" s="103" t="s">
        <v>379</v>
      </c>
      <c r="Y46" s="103" t="s">
        <v>379</v>
      </c>
      <c r="Z46" s="103">
        <v>0</v>
      </c>
      <c r="AA46" s="103">
        <v>0</v>
      </c>
      <c r="AB46" s="103">
        <v>0</v>
      </c>
      <c r="AC46" s="103">
        <v>0</v>
      </c>
      <c r="AD46" s="103">
        <v>0</v>
      </c>
      <c r="AE46" s="103">
        <v>0</v>
      </c>
      <c r="AF46" s="103">
        <v>0</v>
      </c>
      <c r="AG46" s="103">
        <v>0</v>
      </c>
      <c r="AH46" s="103">
        <v>96.674120052570331</v>
      </c>
      <c r="AI46" s="103">
        <v>223.39918739083416</v>
      </c>
      <c r="AJ46" s="103">
        <v>0</v>
      </c>
      <c r="AK46" s="103">
        <v>711.80658859821767</v>
      </c>
      <c r="AL46" s="103">
        <v>1031.879896041622</v>
      </c>
      <c r="AM46" s="103">
        <v>835.12667965823778</v>
      </c>
      <c r="AN46" s="103">
        <v>73.618447645349619</v>
      </c>
      <c r="AO46" s="103">
        <v>0</v>
      </c>
      <c r="AP46" s="103">
        <v>0</v>
      </c>
      <c r="AQ46" s="103">
        <v>908.74512730358742</v>
      </c>
      <c r="AR46" s="103">
        <v>96.674120052570331</v>
      </c>
      <c r="AS46" s="134">
        <v>9.4000868775368396</v>
      </c>
      <c r="AT46" s="103">
        <v>835.12667965823778</v>
      </c>
      <c r="AU46" s="103">
        <v>87.142314762420469</v>
      </c>
      <c r="AV46" s="103">
        <v>0</v>
      </c>
      <c r="AW46" s="103">
        <v>0</v>
      </c>
      <c r="AX46" s="103">
        <v>922.26899442065826</v>
      </c>
      <c r="AY46" s="103">
        <v>223.39918739083416</v>
      </c>
      <c r="AZ46" s="134">
        <v>4.1283453408770008</v>
      </c>
      <c r="BA46" s="103">
        <v>835.12667965823778</v>
      </c>
      <c r="BB46" s="103">
        <v>160.76076240777007</v>
      </c>
      <c r="BC46" s="103">
        <v>0</v>
      </c>
      <c r="BD46" s="103">
        <v>0</v>
      </c>
      <c r="BE46" s="103">
        <v>995.88744206600791</v>
      </c>
      <c r="BF46" s="103">
        <v>320.07330744340447</v>
      </c>
      <c r="BG46" s="103">
        <v>7.0666444823867991</v>
      </c>
      <c r="BH46" s="134">
        <v>3.1114354708947456</v>
      </c>
      <c r="BI46" s="103">
        <v>4.2881848187554121</v>
      </c>
      <c r="BJ46" s="103">
        <v>9.9093428869146489</v>
      </c>
      <c r="BK46" s="103">
        <v>0</v>
      </c>
      <c r="BL46" s="103">
        <v>31.573684926815133</v>
      </c>
      <c r="BM46" s="103">
        <v>45.771212632485188</v>
      </c>
      <c r="BN46" s="103">
        <v>835.12667965823778</v>
      </c>
      <c r="BO46" s="103">
        <v>0</v>
      </c>
      <c r="BP46" s="103">
        <v>160.76076240777007</v>
      </c>
      <c r="BQ46" s="103">
        <v>0</v>
      </c>
      <c r="BR46" s="103">
        <v>0</v>
      </c>
      <c r="BS46" s="103">
        <v>0</v>
      </c>
      <c r="BT46" s="103">
        <v>0</v>
      </c>
      <c r="BU46" s="103">
        <v>0</v>
      </c>
      <c r="BV46" s="103">
        <v>0</v>
      </c>
      <c r="BW46" s="103">
        <v>0</v>
      </c>
      <c r="BX46" s="103">
        <v>1031.879896041622</v>
      </c>
      <c r="BY46" s="103"/>
      <c r="BZ46" s="103">
        <v>0</v>
      </c>
      <c r="CA46" s="103">
        <v>0</v>
      </c>
      <c r="CB46" s="103">
        <v>995.88744206600791</v>
      </c>
      <c r="CC46" s="103">
        <v>1031.879896041622</v>
      </c>
      <c r="CD46" s="114">
        <v>0.96511953172681797</v>
      </c>
      <c r="CE46" s="103">
        <v>38.640329409201925</v>
      </c>
      <c r="CF46" s="103">
        <v>15.759194720379217</v>
      </c>
      <c r="CG46" s="103">
        <v>0</v>
      </c>
      <c r="CH46" s="103">
        <v>15.759194720379217</v>
      </c>
      <c r="CI46" s="103">
        <v>0.78795326021676315</v>
      </c>
      <c r="CJ46" s="103">
        <v>0</v>
      </c>
      <c r="CK46" s="103">
        <v>0.78795326021676315</v>
      </c>
      <c r="CL46" s="103"/>
      <c r="CM46" s="103">
        <v>0</v>
      </c>
      <c r="CN46" s="103"/>
      <c r="CO46" s="103">
        <v>0</v>
      </c>
      <c r="CP46" s="103">
        <v>0</v>
      </c>
      <c r="CQ46" s="103">
        <v>0</v>
      </c>
      <c r="CR46" s="103">
        <v>0</v>
      </c>
      <c r="CS46" s="103">
        <v>0</v>
      </c>
      <c r="CT46" s="103">
        <v>0</v>
      </c>
      <c r="CU46" s="103">
        <v>0</v>
      </c>
      <c r="CV46" s="103">
        <v>9999</v>
      </c>
      <c r="CW46" s="134">
        <v>9999</v>
      </c>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row>
    <row r="47" spans="1:131">
      <c r="A47" s="79" t="s">
        <v>206</v>
      </c>
      <c r="B47" s="79" t="s">
        <v>206</v>
      </c>
      <c r="C47" s="103">
        <v>8.5616438356164384</v>
      </c>
      <c r="D47" s="103">
        <v>1344.678795729609</v>
      </c>
      <c r="E47" s="103">
        <v>0</v>
      </c>
      <c r="F47" s="103">
        <v>581.53386844220199</v>
      </c>
      <c r="G47" s="103">
        <v>0</v>
      </c>
      <c r="H47" s="103">
        <v>0</v>
      </c>
      <c r="I47" s="103" t="s">
        <v>710</v>
      </c>
      <c r="J47" s="103"/>
      <c r="K47" s="103"/>
      <c r="L47" s="103">
        <v>1443.3335761052115</v>
      </c>
      <c r="M47" s="103">
        <v>0.18127724380523469</v>
      </c>
      <c r="N47" s="103">
        <v>0.17996886595206432</v>
      </c>
      <c r="O47" s="103">
        <v>0</v>
      </c>
      <c r="P47" s="103">
        <v>0</v>
      </c>
      <c r="Q47" s="103">
        <v>0</v>
      </c>
      <c r="R47" s="103">
        <v>115.9656217888199</v>
      </c>
      <c r="S47" s="103">
        <v>267.97891368245644</v>
      </c>
      <c r="T47" s="103">
        <v>0</v>
      </c>
      <c r="U47" s="103">
        <v>853.84892663397318</v>
      </c>
      <c r="V47" s="103" t="s">
        <v>379</v>
      </c>
      <c r="W47" s="103" t="s">
        <v>379</v>
      </c>
      <c r="X47" s="103" t="s">
        <v>379</v>
      </c>
      <c r="Y47" s="103" t="s">
        <v>379</v>
      </c>
      <c r="Z47" s="103">
        <v>0</v>
      </c>
      <c r="AA47" s="103">
        <v>0</v>
      </c>
      <c r="AB47" s="103">
        <v>0</v>
      </c>
      <c r="AC47" s="103">
        <v>0</v>
      </c>
      <c r="AD47" s="103">
        <v>0</v>
      </c>
      <c r="AE47" s="103">
        <v>0</v>
      </c>
      <c r="AF47" s="103">
        <v>0</v>
      </c>
      <c r="AG47" s="103">
        <v>0</v>
      </c>
      <c r="AH47" s="103">
        <v>115.9656217888199</v>
      </c>
      <c r="AI47" s="103">
        <v>267.97891368245644</v>
      </c>
      <c r="AJ47" s="103">
        <v>0</v>
      </c>
      <c r="AK47" s="103">
        <v>853.84892663397318</v>
      </c>
      <c r="AL47" s="103">
        <v>1237.7934621052495</v>
      </c>
      <c r="AM47" s="103">
        <v>726.62816185593522</v>
      </c>
      <c r="AN47" s="103">
        <v>64.054039457964706</v>
      </c>
      <c r="AO47" s="103">
        <v>0</v>
      </c>
      <c r="AP47" s="103">
        <v>0</v>
      </c>
      <c r="AQ47" s="103">
        <v>790.6822013138999</v>
      </c>
      <c r="AR47" s="103">
        <v>115.9656217888199</v>
      </c>
      <c r="AS47" s="134">
        <v>6.8182465554643246</v>
      </c>
      <c r="AT47" s="103">
        <v>726.62816185593522</v>
      </c>
      <c r="AU47" s="103">
        <v>75.820904226891244</v>
      </c>
      <c r="AV47" s="103">
        <v>0</v>
      </c>
      <c r="AW47" s="103">
        <v>0</v>
      </c>
      <c r="AX47" s="103">
        <v>802.44906608282645</v>
      </c>
      <c r="AY47" s="103">
        <v>267.97891368245644</v>
      </c>
      <c r="AZ47" s="134">
        <v>2.9944485372222021</v>
      </c>
      <c r="BA47" s="103">
        <v>726.62816185593522</v>
      </c>
      <c r="BB47" s="103">
        <v>139.87494368485596</v>
      </c>
      <c r="BC47" s="103">
        <v>0</v>
      </c>
      <c r="BD47" s="103">
        <v>0</v>
      </c>
      <c r="BE47" s="103">
        <v>866.50310554079113</v>
      </c>
      <c r="BF47" s="103">
        <v>383.94453547127637</v>
      </c>
      <c r="BG47" s="103">
        <v>12.442770031097531</v>
      </c>
      <c r="BH47" s="134">
        <v>2.2568444800944847</v>
      </c>
      <c r="BI47" s="103">
        <v>5.9119759773032117</v>
      </c>
      <c r="BJ47" s="103">
        <v>13.661677277077578</v>
      </c>
      <c r="BK47" s="103">
        <v>0</v>
      </c>
      <c r="BL47" s="103">
        <v>43.529575960871938</v>
      </c>
      <c r="BM47" s="103">
        <v>63.103229215252732</v>
      </c>
      <c r="BN47" s="103">
        <v>726.62816185593522</v>
      </c>
      <c r="BO47" s="103">
        <v>0</v>
      </c>
      <c r="BP47" s="103">
        <v>139.87494368485596</v>
      </c>
      <c r="BQ47" s="103">
        <v>0</v>
      </c>
      <c r="BR47" s="103">
        <v>0</v>
      </c>
      <c r="BS47" s="103">
        <v>0</v>
      </c>
      <c r="BT47" s="103">
        <v>0</v>
      </c>
      <c r="BU47" s="103">
        <v>0</v>
      </c>
      <c r="BV47" s="103">
        <v>0</v>
      </c>
      <c r="BW47" s="103">
        <v>0</v>
      </c>
      <c r="BX47" s="103">
        <v>1237.7934621052495</v>
      </c>
      <c r="BY47" s="103"/>
      <c r="BZ47" s="103">
        <v>0</v>
      </c>
      <c r="CA47" s="103">
        <v>0</v>
      </c>
      <c r="CB47" s="103">
        <v>866.50310554079113</v>
      </c>
      <c r="CC47" s="103">
        <v>1237.7934621052495</v>
      </c>
      <c r="CD47" s="114">
        <v>0.70003852182821791</v>
      </c>
      <c r="CE47" s="103">
        <v>55.972345991969469</v>
      </c>
      <c r="CF47" s="103">
        <v>13.711781662495888</v>
      </c>
      <c r="CG47" s="103">
        <v>0</v>
      </c>
      <c r="CH47" s="103">
        <v>13.711781662495888</v>
      </c>
      <c r="CI47" s="103">
        <v>0.68558344864997534</v>
      </c>
      <c r="CJ47" s="103">
        <v>0</v>
      </c>
      <c r="CK47" s="103">
        <v>0.68558344864997534</v>
      </c>
      <c r="CL47" s="103"/>
      <c r="CM47" s="103">
        <v>0</v>
      </c>
      <c r="CN47" s="103"/>
      <c r="CO47" s="103">
        <v>0</v>
      </c>
      <c r="CP47" s="103">
        <v>0</v>
      </c>
      <c r="CQ47" s="103">
        <v>0</v>
      </c>
      <c r="CR47" s="103">
        <v>0</v>
      </c>
      <c r="CS47" s="103">
        <v>0</v>
      </c>
      <c r="CT47" s="103">
        <v>0</v>
      </c>
      <c r="CU47" s="103">
        <v>0</v>
      </c>
      <c r="CV47" s="103">
        <v>9999</v>
      </c>
      <c r="CW47" s="134">
        <v>9999</v>
      </c>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row>
    <row r="48" spans="1:131">
      <c r="A48" s="79"/>
      <c r="B48" s="79"/>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row>
    <row r="49" spans="1:131">
      <c r="A49" s="79"/>
      <c r="B49" s="79"/>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row>
    <row r="50" spans="1:131" ht="15.75" thickBot="1">
      <c r="A50" s="101" t="s">
        <v>380</v>
      </c>
      <c r="B50" s="102"/>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row>
    <row r="51" spans="1:131" ht="27" thickBot="1">
      <c r="A51" s="127" t="s">
        <v>282</v>
      </c>
      <c r="B51" s="128"/>
      <c r="C51" s="129" t="s">
        <v>283</v>
      </c>
      <c r="D51" s="130"/>
      <c r="E51" s="130"/>
      <c r="F51" s="130"/>
      <c r="G51" s="130"/>
      <c r="H51" s="130"/>
      <c r="I51" s="130"/>
      <c r="J51" s="130"/>
      <c r="K51" s="131"/>
      <c r="L51" s="129" t="s">
        <v>284</v>
      </c>
      <c r="M51" s="130"/>
      <c r="N51" s="130"/>
      <c r="O51" s="130"/>
      <c r="P51" s="130"/>
      <c r="Q51" s="131"/>
      <c r="R51" s="129" t="s">
        <v>285</v>
      </c>
      <c r="S51" s="130"/>
      <c r="T51" s="130"/>
      <c r="U51" s="131"/>
      <c r="V51" s="129" t="s">
        <v>286</v>
      </c>
      <c r="W51" s="130"/>
      <c r="X51" s="130"/>
      <c r="Y51" s="131"/>
      <c r="Z51" s="129" t="s">
        <v>287</v>
      </c>
      <c r="AA51" s="130"/>
      <c r="AB51" s="130"/>
      <c r="AC51" s="131"/>
      <c r="AD51" s="129" t="s">
        <v>288</v>
      </c>
      <c r="AE51" s="130"/>
      <c r="AF51" s="130"/>
      <c r="AG51" s="131"/>
      <c r="AH51" s="129" t="s">
        <v>289</v>
      </c>
      <c r="AI51" s="130"/>
      <c r="AJ51" s="130"/>
      <c r="AK51" s="130"/>
      <c r="AL51" s="131"/>
      <c r="AM51" s="129" t="s">
        <v>290</v>
      </c>
      <c r="AN51" s="130"/>
      <c r="AO51" s="130"/>
      <c r="AP51" s="130"/>
      <c r="AQ51" s="130"/>
      <c r="AR51" s="130"/>
      <c r="AS51" s="131"/>
      <c r="AT51" s="129" t="s">
        <v>291</v>
      </c>
      <c r="AU51" s="130"/>
      <c r="AV51" s="130"/>
      <c r="AW51" s="130"/>
      <c r="AX51" s="130"/>
      <c r="AY51" s="130"/>
      <c r="AZ51" s="131"/>
      <c r="BA51" s="129" t="s">
        <v>292</v>
      </c>
      <c r="BB51" s="130"/>
      <c r="BC51" s="130"/>
      <c r="BD51" s="130"/>
      <c r="BE51" s="130"/>
      <c r="BF51" s="131"/>
      <c r="BG51" s="129" t="s">
        <v>293</v>
      </c>
      <c r="BH51" s="131"/>
      <c r="BI51" s="129" t="s">
        <v>294</v>
      </c>
      <c r="BJ51" s="130"/>
      <c r="BK51" s="130"/>
      <c r="BL51" s="130"/>
      <c r="BM51" s="131"/>
      <c r="BN51" s="129" t="s">
        <v>295</v>
      </c>
      <c r="BO51" s="130"/>
      <c r="BP51" s="130"/>
      <c r="BQ51" s="130"/>
      <c r="BR51" s="130"/>
      <c r="BS51" s="130"/>
      <c r="BT51" s="130"/>
      <c r="BU51" s="130"/>
      <c r="BV51" s="130"/>
      <c r="BW51" s="130"/>
      <c r="BX51" s="130"/>
      <c r="BY51" s="130"/>
      <c r="BZ51" s="130"/>
      <c r="CA51" s="130"/>
      <c r="CB51" s="130"/>
      <c r="CC51" s="131"/>
      <c r="CD51" s="129" t="s">
        <v>296</v>
      </c>
      <c r="CE51" s="131"/>
      <c r="CF51" s="129" t="s">
        <v>297</v>
      </c>
      <c r="CG51" s="130"/>
      <c r="CH51" s="130"/>
      <c r="CI51" s="130"/>
      <c r="CJ51" s="130"/>
      <c r="CK51" s="131"/>
      <c r="CL51" s="132"/>
      <c r="CM51" s="129" t="s">
        <v>155</v>
      </c>
      <c r="CN51" s="130"/>
      <c r="CO51" s="130"/>
      <c r="CP51" s="131"/>
      <c r="CQ51" s="129" t="s">
        <v>298</v>
      </c>
      <c r="CR51" s="130"/>
      <c r="CS51" s="130"/>
      <c r="CT51" s="130"/>
      <c r="CU51" s="131"/>
      <c r="CV51" s="129" t="s">
        <v>299</v>
      </c>
      <c r="CW51" s="131"/>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row>
    <row r="52" spans="1:131" ht="128.25">
      <c r="A52" s="110" t="s">
        <v>178</v>
      </c>
      <c r="B52" s="111" t="s">
        <v>179</v>
      </c>
      <c r="C52" s="112" t="s">
        <v>300</v>
      </c>
      <c r="D52" s="112" t="s">
        <v>301</v>
      </c>
      <c r="E52" s="112" t="s">
        <v>302</v>
      </c>
      <c r="F52" s="112" t="s">
        <v>303</v>
      </c>
      <c r="G52" s="112" t="s">
        <v>304</v>
      </c>
      <c r="H52" s="112" t="s">
        <v>305</v>
      </c>
      <c r="I52" s="112" t="s">
        <v>306</v>
      </c>
      <c r="J52" s="112" t="s">
        <v>307</v>
      </c>
      <c r="K52" s="112" t="s">
        <v>308</v>
      </c>
      <c r="L52" s="112" t="s">
        <v>309</v>
      </c>
      <c r="M52" s="112" t="s">
        <v>310</v>
      </c>
      <c r="N52" s="112" t="s">
        <v>311</v>
      </c>
      <c r="O52" s="112" t="s">
        <v>312</v>
      </c>
      <c r="P52" s="112" t="s">
        <v>313</v>
      </c>
      <c r="Q52" s="112" t="s">
        <v>314</v>
      </c>
      <c r="R52" s="112" t="s">
        <v>315</v>
      </c>
      <c r="S52" s="112" t="s">
        <v>316</v>
      </c>
      <c r="T52" s="112" t="s">
        <v>317</v>
      </c>
      <c r="U52" s="112" t="s">
        <v>223</v>
      </c>
      <c r="V52" s="112" t="s">
        <v>315</v>
      </c>
      <c r="W52" s="112" t="s">
        <v>316</v>
      </c>
      <c r="X52" s="112" t="s">
        <v>317</v>
      </c>
      <c r="Y52" s="112" t="s">
        <v>223</v>
      </c>
      <c r="Z52" s="112" t="s">
        <v>315</v>
      </c>
      <c r="AA52" s="112" t="s">
        <v>316</v>
      </c>
      <c r="AB52" s="112" t="s">
        <v>317</v>
      </c>
      <c r="AC52" s="112" t="s">
        <v>223</v>
      </c>
      <c r="AD52" s="112" t="s">
        <v>315</v>
      </c>
      <c r="AE52" s="112" t="s">
        <v>316</v>
      </c>
      <c r="AF52" s="112" t="s">
        <v>317</v>
      </c>
      <c r="AG52" s="112" t="s">
        <v>223</v>
      </c>
      <c r="AH52" s="112" t="s">
        <v>315</v>
      </c>
      <c r="AI52" s="112" t="s">
        <v>316</v>
      </c>
      <c r="AJ52" s="112" t="s">
        <v>317</v>
      </c>
      <c r="AK52" s="112" t="s">
        <v>223</v>
      </c>
      <c r="AL52" s="112" t="s">
        <v>318</v>
      </c>
      <c r="AM52" s="112" t="s">
        <v>319</v>
      </c>
      <c r="AN52" s="112" t="s">
        <v>320</v>
      </c>
      <c r="AO52" s="112" t="s">
        <v>321</v>
      </c>
      <c r="AP52" s="112" t="s">
        <v>322</v>
      </c>
      <c r="AQ52" s="112" t="s">
        <v>323</v>
      </c>
      <c r="AR52" s="112" t="s">
        <v>324</v>
      </c>
      <c r="AS52" s="112" t="s">
        <v>325</v>
      </c>
      <c r="AT52" s="112" t="s">
        <v>326</v>
      </c>
      <c r="AU52" s="112" t="s">
        <v>327</v>
      </c>
      <c r="AV52" s="112" t="s">
        <v>328</v>
      </c>
      <c r="AW52" s="112" t="s">
        <v>329</v>
      </c>
      <c r="AX52" s="112" t="s">
        <v>330</v>
      </c>
      <c r="AY52" s="112" t="s">
        <v>331</v>
      </c>
      <c r="AZ52" s="112" t="s">
        <v>332</v>
      </c>
      <c r="BA52" s="112" t="s">
        <v>333</v>
      </c>
      <c r="BB52" s="112" t="s">
        <v>334</v>
      </c>
      <c r="BC52" s="112" t="s">
        <v>335</v>
      </c>
      <c r="BD52" s="112" t="s">
        <v>336</v>
      </c>
      <c r="BE52" s="112" t="s">
        <v>337</v>
      </c>
      <c r="BF52" s="112" t="s">
        <v>338</v>
      </c>
      <c r="BG52" s="112" t="s">
        <v>339</v>
      </c>
      <c r="BH52" s="112" t="s">
        <v>340</v>
      </c>
      <c r="BI52" s="112" t="s">
        <v>341</v>
      </c>
      <c r="BJ52" s="112" t="s">
        <v>342</v>
      </c>
      <c r="BK52" s="112" t="s">
        <v>343</v>
      </c>
      <c r="BL52" s="112" t="s">
        <v>344</v>
      </c>
      <c r="BM52" s="112" t="s">
        <v>345</v>
      </c>
      <c r="BN52" s="112" t="s">
        <v>346</v>
      </c>
      <c r="BO52" s="112" t="s">
        <v>347</v>
      </c>
      <c r="BP52" s="112" t="s">
        <v>348</v>
      </c>
      <c r="BQ52" s="112" t="s">
        <v>349</v>
      </c>
      <c r="BR52" s="112" t="s">
        <v>350</v>
      </c>
      <c r="BS52" s="112" t="s">
        <v>351</v>
      </c>
      <c r="BT52" s="112" t="s">
        <v>352</v>
      </c>
      <c r="BU52" s="112" t="s">
        <v>353</v>
      </c>
      <c r="BV52" s="112" t="s">
        <v>354</v>
      </c>
      <c r="BW52" s="112" t="s">
        <v>355</v>
      </c>
      <c r="BX52" s="112" t="s">
        <v>356</v>
      </c>
      <c r="BY52" s="112" t="s">
        <v>357</v>
      </c>
      <c r="BZ52" s="112" t="s">
        <v>358</v>
      </c>
      <c r="CA52" s="112" t="s">
        <v>359</v>
      </c>
      <c r="CB52" s="112" t="s">
        <v>360</v>
      </c>
      <c r="CC52" s="112" t="s">
        <v>361</v>
      </c>
      <c r="CD52" s="112" t="s">
        <v>188</v>
      </c>
      <c r="CE52" s="112" t="s">
        <v>187</v>
      </c>
      <c r="CF52" s="112" t="s">
        <v>362</v>
      </c>
      <c r="CG52" s="112" t="s">
        <v>363</v>
      </c>
      <c r="CH52" s="112" t="s">
        <v>364</v>
      </c>
      <c r="CI52" s="112" t="s">
        <v>365</v>
      </c>
      <c r="CJ52" s="112" t="s">
        <v>366</v>
      </c>
      <c r="CK52" s="112" t="s">
        <v>367</v>
      </c>
      <c r="CL52" s="112"/>
      <c r="CM52" s="112" t="s">
        <v>368</v>
      </c>
      <c r="CN52" s="112" t="s">
        <v>369</v>
      </c>
      <c r="CO52" s="112" t="s">
        <v>370</v>
      </c>
      <c r="CP52" s="112" t="s">
        <v>371</v>
      </c>
      <c r="CQ52" s="112" t="s">
        <v>372</v>
      </c>
      <c r="CR52" s="112" t="s">
        <v>373</v>
      </c>
      <c r="CS52" s="112" t="s">
        <v>374</v>
      </c>
      <c r="CT52" s="112" t="s">
        <v>375</v>
      </c>
      <c r="CU52" s="112" t="s">
        <v>376</v>
      </c>
      <c r="CV52" s="112" t="s">
        <v>377</v>
      </c>
      <c r="CW52" s="112" t="s">
        <v>378</v>
      </c>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row>
    <row r="53" spans="1:131">
      <c r="A53" s="79" t="s">
        <v>203</v>
      </c>
      <c r="B53" s="79"/>
      <c r="C53" s="103">
        <v>8.5616438356164384</v>
      </c>
      <c r="D53" s="103">
        <v>1545.4632738376483</v>
      </c>
      <c r="E53" s="103">
        <v>0</v>
      </c>
      <c r="F53" s="103">
        <v>356.58923434217837</v>
      </c>
      <c r="G53" s="103">
        <v>0</v>
      </c>
      <c r="H53" s="103">
        <v>0</v>
      </c>
      <c r="I53" s="103"/>
      <c r="J53" s="103"/>
      <c r="K53" s="103"/>
      <c r="L53" s="103">
        <v>1658.8489688773964</v>
      </c>
      <c r="M53" s="103">
        <v>0.2083451628546675</v>
      </c>
      <c r="N53" s="103">
        <v>0.20684142090023278</v>
      </c>
      <c r="O53" s="103">
        <v>0</v>
      </c>
      <c r="P53" s="103">
        <v>0</v>
      </c>
      <c r="Q53" s="103">
        <v>0</v>
      </c>
      <c r="R53" s="103">
        <v>71.108656825891913</v>
      </c>
      <c r="S53" s="103">
        <v>164.32129035898672</v>
      </c>
      <c r="T53" s="103">
        <v>0</v>
      </c>
      <c r="U53" s="103">
        <v>523.56939383068891</v>
      </c>
      <c r="V53" s="103">
        <v>21.395354060530703</v>
      </c>
      <c r="W53" s="103">
        <v>49.922492807904973</v>
      </c>
      <c r="X53" s="103">
        <v>0</v>
      </c>
      <c r="Y53" s="103">
        <v>0</v>
      </c>
      <c r="Z53" s="103">
        <v>0</v>
      </c>
      <c r="AA53" s="103">
        <v>0</v>
      </c>
      <c r="AB53" s="103">
        <v>0</v>
      </c>
      <c r="AC53" s="103">
        <v>0</v>
      </c>
      <c r="AD53" s="103">
        <v>0</v>
      </c>
      <c r="AE53" s="103">
        <v>0</v>
      </c>
      <c r="AF53" s="103">
        <v>0</v>
      </c>
      <c r="AG53" s="103">
        <v>0</v>
      </c>
      <c r="AH53" s="103">
        <v>92.50401088642262</v>
      </c>
      <c r="AI53" s="103">
        <v>214.24378316689169</v>
      </c>
      <c r="AJ53" s="103">
        <v>0</v>
      </c>
      <c r="AK53" s="103">
        <v>523.56939383068891</v>
      </c>
      <c r="AL53" s="103">
        <v>830.31718788400326</v>
      </c>
      <c r="AM53" s="103">
        <v>835.12667965823778</v>
      </c>
      <c r="AN53" s="103">
        <v>73.618447645349619</v>
      </c>
      <c r="AO53" s="103">
        <v>0</v>
      </c>
      <c r="AP53" s="103">
        <v>0</v>
      </c>
      <c r="AQ53" s="103">
        <v>908.74512730358742</v>
      </c>
      <c r="AR53" s="103">
        <v>92.50401088642262</v>
      </c>
      <c r="AS53" s="134">
        <v>9.8238456753983794</v>
      </c>
      <c r="AT53" s="103">
        <v>835.12667965823778</v>
      </c>
      <c r="AU53" s="103">
        <v>87.142314762420469</v>
      </c>
      <c r="AV53" s="103">
        <v>0</v>
      </c>
      <c r="AW53" s="103">
        <v>0</v>
      </c>
      <c r="AX53" s="103">
        <v>922.26899442065826</v>
      </c>
      <c r="AY53" s="103">
        <v>214.24378316689169</v>
      </c>
      <c r="AZ53" s="134">
        <v>4.3047643240234832</v>
      </c>
      <c r="BA53" s="103">
        <v>835.12667965823778</v>
      </c>
      <c r="BB53" s="103">
        <v>160.76076240777007</v>
      </c>
      <c r="BC53" s="103">
        <v>0</v>
      </c>
      <c r="BD53" s="103">
        <v>0</v>
      </c>
      <c r="BE53" s="103">
        <v>995.88744206600791</v>
      </c>
      <c r="BF53" s="103">
        <v>306.74779405331435</v>
      </c>
      <c r="BG53" s="103">
        <v>6.4755631858574585</v>
      </c>
      <c r="BH53" s="134">
        <v>3.2466001756899923</v>
      </c>
      <c r="BI53" s="103">
        <v>4.1032108173463149</v>
      </c>
      <c r="BJ53" s="103">
        <v>9.503235591794402</v>
      </c>
      <c r="BK53" s="103">
        <v>0</v>
      </c>
      <c r="BL53" s="103">
        <v>23.224026502323881</v>
      </c>
      <c r="BM53" s="103">
        <v>36.830472911464604</v>
      </c>
      <c r="BN53" s="103">
        <v>835.12667965823778</v>
      </c>
      <c r="BO53" s="103">
        <v>0</v>
      </c>
      <c r="BP53" s="103">
        <v>160.76076240777007</v>
      </c>
      <c r="BQ53" s="103">
        <v>0</v>
      </c>
      <c r="BR53" s="103">
        <v>0</v>
      </c>
      <c r="BS53" s="103">
        <v>0</v>
      </c>
      <c r="BT53" s="103">
        <v>0</v>
      </c>
      <c r="BU53" s="103">
        <v>0</v>
      </c>
      <c r="BV53" s="103">
        <v>0</v>
      </c>
      <c r="BW53" s="103">
        <v>0</v>
      </c>
      <c r="BX53" s="103">
        <v>758.99934101556755</v>
      </c>
      <c r="BY53" s="103">
        <v>71.31784686843568</v>
      </c>
      <c r="BZ53" s="103">
        <v>0</v>
      </c>
      <c r="CA53" s="103">
        <v>0</v>
      </c>
      <c r="CB53" s="103">
        <v>995.88744206600791</v>
      </c>
      <c r="CC53" s="103">
        <v>830.31718788400326</v>
      </c>
      <c r="CD53" s="134">
        <v>1.1994060301268088</v>
      </c>
      <c r="CE53" s="103">
        <v>29.699589688181337</v>
      </c>
      <c r="CF53" s="103">
        <v>15.759194720379217</v>
      </c>
      <c r="CG53" s="103">
        <v>0</v>
      </c>
      <c r="CH53" s="103">
        <v>15.759194720379217</v>
      </c>
      <c r="CI53" s="103">
        <v>0.78795326021676315</v>
      </c>
      <c r="CJ53" s="103">
        <v>0</v>
      </c>
      <c r="CK53" s="103">
        <v>0.78795326021676315</v>
      </c>
      <c r="CL53" s="103"/>
      <c r="CM53" s="103">
        <v>0</v>
      </c>
      <c r="CN53" s="103"/>
      <c r="CO53" s="103">
        <v>0</v>
      </c>
      <c r="CP53" s="103">
        <v>0</v>
      </c>
      <c r="CQ53" s="103">
        <v>0</v>
      </c>
      <c r="CR53" s="103">
        <v>0</v>
      </c>
      <c r="CS53" s="103">
        <v>0</v>
      </c>
      <c r="CT53" s="103">
        <v>0</v>
      </c>
      <c r="CU53" s="103">
        <v>0</v>
      </c>
      <c r="CV53" s="103">
        <v>9999</v>
      </c>
      <c r="CW53" s="134">
        <v>9999</v>
      </c>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row>
    <row r="54" spans="1:131">
      <c r="A54" s="79" t="s">
        <v>204</v>
      </c>
      <c r="B54" s="79"/>
      <c r="C54" s="103">
        <v>8.5616438356164384</v>
      </c>
      <c r="D54" s="103">
        <v>1545.4632738376483</v>
      </c>
      <c r="E54" s="103">
        <v>0</v>
      </c>
      <c r="F54" s="103">
        <v>484.7925975406369</v>
      </c>
      <c r="G54" s="103">
        <v>0</v>
      </c>
      <c r="H54" s="103">
        <v>0</v>
      </c>
      <c r="I54" s="103"/>
      <c r="J54" s="103"/>
      <c r="K54" s="103"/>
      <c r="L54" s="103">
        <v>1658.8489688773964</v>
      </c>
      <c r="M54" s="103">
        <v>0.2083451628546675</v>
      </c>
      <c r="N54" s="103">
        <v>0.20684142090023278</v>
      </c>
      <c r="O54" s="103">
        <v>0</v>
      </c>
      <c r="P54" s="103">
        <v>0</v>
      </c>
      <c r="Q54" s="103">
        <v>0</v>
      </c>
      <c r="R54" s="103">
        <v>96.674120052570331</v>
      </c>
      <c r="S54" s="103">
        <v>223.39918739083416</v>
      </c>
      <c r="T54" s="103">
        <v>0</v>
      </c>
      <c r="U54" s="103">
        <v>711.80658859821767</v>
      </c>
      <c r="V54" s="103">
        <v>29.087555852438214</v>
      </c>
      <c r="W54" s="103">
        <v>67.870963655689167</v>
      </c>
      <c r="X54" s="103">
        <v>0</v>
      </c>
      <c r="Y54" s="103">
        <v>0</v>
      </c>
      <c r="Z54" s="103">
        <v>0</v>
      </c>
      <c r="AA54" s="103">
        <v>0</v>
      </c>
      <c r="AB54" s="103">
        <v>0</v>
      </c>
      <c r="AC54" s="103">
        <v>0</v>
      </c>
      <c r="AD54" s="103">
        <v>0</v>
      </c>
      <c r="AE54" s="103">
        <v>0</v>
      </c>
      <c r="AF54" s="103">
        <v>0</v>
      </c>
      <c r="AG54" s="103">
        <v>0</v>
      </c>
      <c r="AH54" s="103">
        <v>125.76167590500854</v>
      </c>
      <c r="AI54" s="103">
        <v>291.27015104652332</v>
      </c>
      <c r="AJ54" s="103">
        <v>0</v>
      </c>
      <c r="AK54" s="103">
        <v>711.80658859821767</v>
      </c>
      <c r="AL54" s="103">
        <v>1128.8384155497495</v>
      </c>
      <c r="AM54" s="103">
        <v>835.12667965823778</v>
      </c>
      <c r="AN54" s="103">
        <v>73.618447645349619</v>
      </c>
      <c r="AO54" s="103">
        <v>0</v>
      </c>
      <c r="AP54" s="103">
        <v>0</v>
      </c>
      <c r="AQ54" s="103">
        <v>908.74512730358742</v>
      </c>
      <c r="AR54" s="103">
        <v>125.76167590500854</v>
      </c>
      <c r="AS54" s="134">
        <v>7.225930481317608</v>
      </c>
      <c r="AT54" s="103">
        <v>835.12667965823778</v>
      </c>
      <c r="AU54" s="103">
        <v>87.142314762420469</v>
      </c>
      <c r="AV54" s="103">
        <v>0</v>
      </c>
      <c r="AW54" s="103">
        <v>0</v>
      </c>
      <c r="AX54" s="103">
        <v>922.26899442065826</v>
      </c>
      <c r="AY54" s="103">
        <v>291.27015104652332</v>
      </c>
      <c r="AZ54" s="134">
        <v>3.1663697468037095</v>
      </c>
      <c r="BA54" s="103">
        <v>835.12667965823778</v>
      </c>
      <c r="BB54" s="103">
        <v>160.76076240777007</v>
      </c>
      <c r="BC54" s="103">
        <v>0</v>
      </c>
      <c r="BD54" s="103">
        <v>0</v>
      </c>
      <c r="BE54" s="103">
        <v>995.88744206600791</v>
      </c>
      <c r="BF54" s="103">
        <v>417.03182695153185</v>
      </c>
      <c r="BG54" s="103">
        <v>11.367444439786548</v>
      </c>
      <c r="BH54" s="134">
        <v>2.3880370218883837</v>
      </c>
      <c r="BI54" s="103">
        <v>5.5784248059753354</v>
      </c>
      <c r="BJ54" s="103">
        <v>12.919902857094469</v>
      </c>
      <c r="BK54" s="103">
        <v>0</v>
      </c>
      <c r="BL54" s="103">
        <v>31.573684926815133</v>
      </c>
      <c r="BM54" s="103">
        <v>50.072012589884942</v>
      </c>
      <c r="BN54" s="103">
        <v>835.12667965823778</v>
      </c>
      <c r="BO54" s="103">
        <v>0</v>
      </c>
      <c r="BP54" s="103">
        <v>160.76076240777007</v>
      </c>
      <c r="BQ54" s="103">
        <v>0</v>
      </c>
      <c r="BR54" s="103">
        <v>0</v>
      </c>
      <c r="BS54" s="103">
        <v>0</v>
      </c>
      <c r="BT54" s="103">
        <v>0</v>
      </c>
      <c r="BU54" s="103">
        <v>0</v>
      </c>
      <c r="BV54" s="103">
        <v>0</v>
      </c>
      <c r="BW54" s="103">
        <v>0</v>
      </c>
      <c r="BX54" s="103">
        <v>1031.879896041622</v>
      </c>
      <c r="BY54" s="103">
        <v>96.958519508127381</v>
      </c>
      <c r="BZ54" s="103">
        <v>0</v>
      </c>
      <c r="CA54" s="103">
        <v>0</v>
      </c>
      <c r="CB54" s="103">
        <v>995.88744206600791</v>
      </c>
      <c r="CC54" s="103">
        <v>1128.8384155497495</v>
      </c>
      <c r="CD54" s="114">
        <v>0.88222320249528907</v>
      </c>
      <c r="CE54" s="103">
        <v>42.941129366601679</v>
      </c>
      <c r="CF54" s="103">
        <v>15.759194720379217</v>
      </c>
      <c r="CG54" s="103">
        <v>0</v>
      </c>
      <c r="CH54" s="103">
        <v>15.759194720379217</v>
      </c>
      <c r="CI54" s="103">
        <v>0.78795326021676315</v>
      </c>
      <c r="CJ54" s="103">
        <v>0</v>
      </c>
      <c r="CK54" s="103">
        <v>0.78795326021676315</v>
      </c>
      <c r="CL54" s="103"/>
      <c r="CM54" s="103">
        <v>0</v>
      </c>
      <c r="CN54" s="103"/>
      <c r="CO54" s="103">
        <v>0</v>
      </c>
      <c r="CP54" s="103">
        <v>0</v>
      </c>
      <c r="CQ54" s="103">
        <v>0</v>
      </c>
      <c r="CR54" s="103">
        <v>0</v>
      </c>
      <c r="CS54" s="103">
        <v>0</v>
      </c>
      <c r="CT54" s="103">
        <v>0</v>
      </c>
      <c r="CU54" s="103">
        <v>0</v>
      </c>
      <c r="CV54" s="103">
        <v>9999</v>
      </c>
      <c r="CW54" s="134">
        <v>9999</v>
      </c>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row>
    <row r="55" spans="1:131">
      <c r="A55" s="79" t="s">
        <v>205</v>
      </c>
      <c r="B55" s="79"/>
      <c r="C55" s="103">
        <v>8.5616438356164384</v>
      </c>
      <c r="D55" s="103">
        <v>1344.678795729609</v>
      </c>
      <c r="E55" s="103">
        <v>0</v>
      </c>
      <c r="F55" s="103">
        <v>447.49652763248179</v>
      </c>
      <c r="G55" s="103">
        <v>0</v>
      </c>
      <c r="H55" s="103">
        <v>0</v>
      </c>
      <c r="I55" s="103"/>
      <c r="J55" s="103"/>
      <c r="K55" s="103"/>
      <c r="L55" s="103">
        <v>1443.3335761052115</v>
      </c>
      <c r="M55" s="103">
        <v>0.18127724380523469</v>
      </c>
      <c r="N55" s="103">
        <v>0.17996886595206432</v>
      </c>
      <c r="O55" s="103">
        <v>0</v>
      </c>
      <c r="P55" s="103">
        <v>0</v>
      </c>
      <c r="Q55" s="103">
        <v>0</v>
      </c>
      <c r="R55" s="103">
        <v>89.236785493253322</v>
      </c>
      <c r="S55" s="103">
        <v>206.21263843645335</v>
      </c>
      <c r="T55" s="103">
        <v>0</v>
      </c>
      <c r="U55" s="103">
        <v>657.04587561678807</v>
      </c>
      <c r="V55" s="103">
        <v>26.849791657948909</v>
      </c>
      <c r="W55" s="103">
        <v>62.649513868547452</v>
      </c>
      <c r="X55" s="103">
        <v>0</v>
      </c>
      <c r="Y55" s="103">
        <v>0</v>
      </c>
      <c r="Z55" s="103">
        <v>0</v>
      </c>
      <c r="AA55" s="103">
        <v>0</v>
      </c>
      <c r="AB55" s="103">
        <v>0</v>
      </c>
      <c r="AC55" s="103">
        <v>0</v>
      </c>
      <c r="AD55" s="103">
        <v>0</v>
      </c>
      <c r="AE55" s="103">
        <v>0</v>
      </c>
      <c r="AF55" s="103">
        <v>0</v>
      </c>
      <c r="AG55" s="103">
        <v>0</v>
      </c>
      <c r="AH55" s="103">
        <v>116.08657715120223</v>
      </c>
      <c r="AI55" s="103">
        <v>268.86215230500079</v>
      </c>
      <c r="AJ55" s="103">
        <v>0</v>
      </c>
      <c r="AK55" s="103">
        <v>657.04587561678807</v>
      </c>
      <c r="AL55" s="103">
        <v>1041.9946050729911</v>
      </c>
      <c r="AM55" s="103">
        <v>726.62816185593522</v>
      </c>
      <c r="AN55" s="103">
        <v>64.054039457964706</v>
      </c>
      <c r="AO55" s="103">
        <v>0</v>
      </c>
      <c r="AP55" s="103">
        <v>0</v>
      </c>
      <c r="AQ55" s="103">
        <v>790.6822013138999</v>
      </c>
      <c r="AR55" s="103">
        <v>116.08657715120223</v>
      </c>
      <c r="AS55" s="134">
        <v>6.8111423449417412</v>
      </c>
      <c r="AT55" s="103">
        <v>726.62816185593522</v>
      </c>
      <c r="AU55" s="103">
        <v>75.820904226891244</v>
      </c>
      <c r="AV55" s="103">
        <v>0</v>
      </c>
      <c r="AW55" s="103">
        <v>0</v>
      </c>
      <c r="AX55" s="103">
        <v>802.44906608282645</v>
      </c>
      <c r="AY55" s="103">
        <v>268.86215230500079</v>
      </c>
      <c r="AZ55" s="134">
        <v>2.9846114791661624</v>
      </c>
      <c r="BA55" s="103">
        <v>726.62816185593522</v>
      </c>
      <c r="BB55" s="103">
        <v>139.87494368485596</v>
      </c>
      <c r="BC55" s="103">
        <v>0</v>
      </c>
      <c r="BD55" s="103">
        <v>0</v>
      </c>
      <c r="BE55" s="103">
        <v>866.50310554079113</v>
      </c>
      <c r="BF55" s="103">
        <v>384.94872945620301</v>
      </c>
      <c r="BG55" s="103">
        <v>12.493964261110371</v>
      </c>
      <c r="BH55" s="134">
        <v>2.2509571775047936</v>
      </c>
      <c r="BI55" s="103">
        <v>5.9181423323461964</v>
      </c>
      <c r="BJ55" s="103">
        <v>13.706705152047435</v>
      </c>
      <c r="BK55" s="103">
        <v>0</v>
      </c>
      <c r="BL55" s="103">
        <v>33.496473978351908</v>
      </c>
      <c r="BM55" s="103">
        <v>53.121321462745541</v>
      </c>
      <c r="BN55" s="103">
        <v>726.62816185593522</v>
      </c>
      <c r="BO55" s="103">
        <v>0</v>
      </c>
      <c r="BP55" s="103">
        <v>139.87494368485596</v>
      </c>
      <c r="BQ55" s="103">
        <v>0</v>
      </c>
      <c r="BR55" s="103">
        <v>0</v>
      </c>
      <c r="BS55" s="103">
        <v>0</v>
      </c>
      <c r="BT55" s="103">
        <v>0</v>
      </c>
      <c r="BU55" s="103">
        <v>0</v>
      </c>
      <c r="BV55" s="103">
        <v>0</v>
      </c>
      <c r="BW55" s="103">
        <v>0</v>
      </c>
      <c r="BX55" s="103">
        <v>952.49529954649472</v>
      </c>
      <c r="BY55" s="103">
        <v>89.499305526496357</v>
      </c>
      <c r="BZ55" s="103">
        <v>0</v>
      </c>
      <c r="CA55" s="103">
        <v>0</v>
      </c>
      <c r="CB55" s="103">
        <v>866.50310554079113</v>
      </c>
      <c r="CC55" s="103">
        <v>1041.9946050729911</v>
      </c>
      <c r="CD55" s="114">
        <v>0.83158118220784172</v>
      </c>
      <c r="CE55" s="103">
        <v>45.990438239462286</v>
      </c>
      <c r="CF55" s="103">
        <v>13.711781662495888</v>
      </c>
      <c r="CG55" s="103">
        <v>0</v>
      </c>
      <c r="CH55" s="103">
        <v>13.711781662495888</v>
      </c>
      <c r="CI55" s="103">
        <v>0.68558344864997534</v>
      </c>
      <c r="CJ55" s="103">
        <v>0</v>
      </c>
      <c r="CK55" s="103">
        <v>0.68558344864997534</v>
      </c>
      <c r="CL55" s="103"/>
      <c r="CM55" s="103">
        <v>0</v>
      </c>
      <c r="CN55" s="103"/>
      <c r="CO55" s="103">
        <v>0</v>
      </c>
      <c r="CP55" s="103">
        <v>0</v>
      </c>
      <c r="CQ55" s="103">
        <v>0</v>
      </c>
      <c r="CR55" s="103">
        <v>0</v>
      </c>
      <c r="CS55" s="103">
        <v>0</v>
      </c>
      <c r="CT55" s="103">
        <v>0</v>
      </c>
      <c r="CU55" s="103">
        <v>0</v>
      </c>
      <c r="CV55" s="103">
        <v>9999</v>
      </c>
      <c r="CW55" s="134">
        <v>9999</v>
      </c>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row>
    <row r="56" spans="1:131">
      <c r="A56" s="79" t="s">
        <v>206</v>
      </c>
      <c r="B56" s="79"/>
      <c r="C56" s="103">
        <v>8.5616438356164384</v>
      </c>
      <c r="D56" s="103">
        <v>1344.678795729609</v>
      </c>
      <c r="E56" s="103">
        <v>0</v>
      </c>
      <c r="F56" s="103">
        <v>581.53386844220199</v>
      </c>
      <c r="G56" s="103">
        <v>0</v>
      </c>
      <c r="H56" s="103">
        <v>0</v>
      </c>
      <c r="I56" s="103"/>
      <c r="J56" s="103"/>
      <c r="K56" s="103"/>
      <c r="L56" s="103">
        <v>1443.3335761052115</v>
      </c>
      <c r="M56" s="103">
        <v>0.18127724380523469</v>
      </c>
      <c r="N56" s="103">
        <v>0.17996886595206432</v>
      </c>
      <c r="O56" s="103">
        <v>0</v>
      </c>
      <c r="P56" s="103">
        <v>0</v>
      </c>
      <c r="Q56" s="103">
        <v>0</v>
      </c>
      <c r="R56" s="103">
        <v>115.9656217888199</v>
      </c>
      <c r="S56" s="103">
        <v>267.97891368245644</v>
      </c>
      <c r="T56" s="103">
        <v>0</v>
      </c>
      <c r="U56" s="103">
        <v>853.84892663397318</v>
      </c>
      <c r="V56" s="103">
        <v>34.89203210653212</v>
      </c>
      <c r="W56" s="103">
        <v>81.414741581908274</v>
      </c>
      <c r="X56" s="103">
        <v>0</v>
      </c>
      <c r="Y56" s="103">
        <v>0</v>
      </c>
      <c r="Z56" s="103">
        <v>0</v>
      </c>
      <c r="AA56" s="103">
        <v>0</v>
      </c>
      <c r="AB56" s="103">
        <v>0</v>
      </c>
      <c r="AC56" s="103">
        <v>0</v>
      </c>
      <c r="AD56" s="103">
        <v>0</v>
      </c>
      <c r="AE56" s="103">
        <v>0</v>
      </c>
      <c r="AF56" s="103">
        <v>0</v>
      </c>
      <c r="AG56" s="103">
        <v>0</v>
      </c>
      <c r="AH56" s="103">
        <v>150.85765389535203</v>
      </c>
      <c r="AI56" s="103">
        <v>349.39365526436472</v>
      </c>
      <c r="AJ56" s="103">
        <v>0</v>
      </c>
      <c r="AK56" s="103">
        <v>853.84892663397318</v>
      </c>
      <c r="AL56" s="103">
        <v>1354.10023579369</v>
      </c>
      <c r="AM56" s="103">
        <v>726.62816185593522</v>
      </c>
      <c r="AN56" s="103">
        <v>64.054039457964706</v>
      </c>
      <c r="AO56" s="103">
        <v>0</v>
      </c>
      <c r="AP56" s="103">
        <v>0</v>
      </c>
      <c r="AQ56" s="103">
        <v>790.6822013138999</v>
      </c>
      <c r="AR56" s="103">
        <v>150.85765389535203</v>
      </c>
      <c r="AS56" s="134">
        <v>5.2412468369843914</v>
      </c>
      <c r="AT56" s="103">
        <v>726.62816185593522</v>
      </c>
      <c r="AU56" s="103">
        <v>75.820904226891244</v>
      </c>
      <c r="AV56" s="103">
        <v>0</v>
      </c>
      <c r="AW56" s="103">
        <v>0</v>
      </c>
      <c r="AX56" s="103">
        <v>802.44906608282645</v>
      </c>
      <c r="AY56" s="103">
        <v>349.39365526436472</v>
      </c>
      <c r="AZ56" s="134">
        <v>2.2966904349641455</v>
      </c>
      <c r="BA56" s="103">
        <v>726.62816185593522</v>
      </c>
      <c r="BB56" s="103">
        <v>139.87494368485596</v>
      </c>
      <c r="BC56" s="103">
        <v>0</v>
      </c>
      <c r="BD56" s="103">
        <v>0</v>
      </c>
      <c r="BE56" s="103">
        <v>866.50310554079113</v>
      </c>
      <c r="BF56" s="103">
        <v>500.25130915971675</v>
      </c>
      <c r="BG56" s="103">
        <v>18.372138075153426</v>
      </c>
      <c r="BH56" s="134">
        <v>1.7321356079932617</v>
      </c>
      <c r="BI56" s="103">
        <v>7.6907863905199818</v>
      </c>
      <c r="BJ56" s="103">
        <v>17.812234907916707</v>
      </c>
      <c r="BK56" s="103">
        <v>0</v>
      </c>
      <c r="BL56" s="103">
        <v>43.529575960871938</v>
      </c>
      <c r="BM56" s="103">
        <v>69.032597259308631</v>
      </c>
      <c r="BN56" s="103">
        <v>726.62816185593522</v>
      </c>
      <c r="BO56" s="103">
        <v>0</v>
      </c>
      <c r="BP56" s="103">
        <v>139.87494368485596</v>
      </c>
      <c r="BQ56" s="103">
        <v>0</v>
      </c>
      <c r="BR56" s="103">
        <v>0</v>
      </c>
      <c r="BS56" s="103">
        <v>0</v>
      </c>
      <c r="BT56" s="103">
        <v>0</v>
      </c>
      <c r="BU56" s="103">
        <v>0</v>
      </c>
      <c r="BV56" s="103">
        <v>0</v>
      </c>
      <c r="BW56" s="103">
        <v>0</v>
      </c>
      <c r="BX56" s="103">
        <v>1237.7934621052495</v>
      </c>
      <c r="BY56" s="103">
        <v>116.3067736884404</v>
      </c>
      <c r="BZ56" s="103">
        <v>0</v>
      </c>
      <c r="CA56" s="103">
        <v>0</v>
      </c>
      <c r="CB56" s="103">
        <v>866.50310554079113</v>
      </c>
      <c r="CC56" s="103">
        <v>1354.10023579369</v>
      </c>
      <c r="CD56" s="114">
        <v>0.63991060826667712</v>
      </c>
      <c r="CE56" s="103">
        <v>61.901714036025368</v>
      </c>
      <c r="CF56" s="103">
        <v>13.711781662495888</v>
      </c>
      <c r="CG56" s="103">
        <v>0</v>
      </c>
      <c r="CH56" s="103">
        <v>13.711781662495888</v>
      </c>
      <c r="CI56" s="103">
        <v>0.68558344864997534</v>
      </c>
      <c r="CJ56" s="103">
        <v>0</v>
      </c>
      <c r="CK56" s="103">
        <v>0.68558344864997534</v>
      </c>
      <c r="CL56" s="103"/>
      <c r="CM56" s="103">
        <v>0</v>
      </c>
      <c r="CN56" s="103"/>
      <c r="CO56" s="103">
        <v>0</v>
      </c>
      <c r="CP56" s="103">
        <v>0</v>
      </c>
      <c r="CQ56" s="103">
        <v>0</v>
      </c>
      <c r="CR56" s="103">
        <v>0</v>
      </c>
      <c r="CS56" s="103">
        <v>0</v>
      </c>
      <c r="CT56" s="103">
        <v>0</v>
      </c>
      <c r="CU56" s="103">
        <v>0</v>
      </c>
      <c r="CV56" s="103">
        <v>9999</v>
      </c>
      <c r="CW56" s="134">
        <v>9999</v>
      </c>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row>
    <row r="57" spans="1:131">
      <c r="A57" s="79" t="s">
        <v>207</v>
      </c>
      <c r="B57" s="79"/>
      <c r="C57" s="103">
        <v>8.5616438356164384</v>
      </c>
      <c r="D57" s="103">
        <v>1194.6579392555182</v>
      </c>
      <c r="E57" s="103">
        <v>0</v>
      </c>
      <c r="F57" s="103">
        <v>545.41057057919818</v>
      </c>
      <c r="G57" s="103">
        <v>0</v>
      </c>
      <c r="H57" s="103">
        <v>0</v>
      </c>
      <c r="I57" s="103"/>
      <c r="J57" s="103"/>
      <c r="K57" s="103"/>
      <c r="L57" s="103">
        <v>1282.3061694466355</v>
      </c>
      <c r="M57" s="103">
        <v>0.16105280993947424</v>
      </c>
      <c r="N57" s="103">
        <v>0.15989040298042945</v>
      </c>
      <c r="O57" s="103">
        <v>0</v>
      </c>
      <c r="P57" s="103">
        <v>0</v>
      </c>
      <c r="Q57" s="103">
        <v>0</v>
      </c>
      <c r="R57" s="103">
        <v>108.76215364178397</v>
      </c>
      <c r="S57" s="103">
        <v>251.33279443597667</v>
      </c>
      <c r="T57" s="103">
        <v>0</v>
      </c>
      <c r="U57" s="103">
        <v>800.81016005374147</v>
      </c>
      <c r="V57" s="103">
        <v>32.724634234751889</v>
      </c>
      <c r="W57" s="103">
        <v>76.357479881087741</v>
      </c>
      <c r="X57" s="103">
        <v>0</v>
      </c>
      <c r="Y57" s="103">
        <v>0</v>
      </c>
      <c r="Z57" s="103">
        <v>0</v>
      </c>
      <c r="AA57" s="103">
        <v>0</v>
      </c>
      <c r="AB57" s="103">
        <v>0</v>
      </c>
      <c r="AC57" s="103">
        <v>0</v>
      </c>
      <c r="AD57" s="103">
        <v>0</v>
      </c>
      <c r="AE57" s="103">
        <v>0</v>
      </c>
      <c r="AF57" s="103">
        <v>0</v>
      </c>
      <c r="AG57" s="103">
        <v>0</v>
      </c>
      <c r="AH57" s="103">
        <v>141.48678787653586</v>
      </c>
      <c r="AI57" s="103">
        <v>327.69027431706439</v>
      </c>
      <c r="AJ57" s="103">
        <v>0</v>
      </c>
      <c r="AK57" s="103">
        <v>800.81016005374147</v>
      </c>
      <c r="AL57" s="103">
        <v>1269.9872222473418</v>
      </c>
      <c r="AM57" s="103">
        <v>645.56093634006356</v>
      </c>
      <c r="AN57" s="103">
        <v>56.907766392139273</v>
      </c>
      <c r="AO57" s="103">
        <v>0</v>
      </c>
      <c r="AP57" s="103">
        <v>0</v>
      </c>
      <c r="AQ57" s="103">
        <v>702.46870273220281</v>
      </c>
      <c r="AR57" s="103">
        <v>141.48678787653586</v>
      </c>
      <c r="AS57" s="134">
        <v>4.9649067116089372</v>
      </c>
      <c r="AT57" s="103">
        <v>645.56093634006356</v>
      </c>
      <c r="AU57" s="103">
        <v>67.361845433905344</v>
      </c>
      <c r="AV57" s="103">
        <v>0</v>
      </c>
      <c r="AW57" s="103">
        <v>0</v>
      </c>
      <c r="AX57" s="103">
        <v>712.92278177396895</v>
      </c>
      <c r="AY57" s="103">
        <v>327.69027431706439</v>
      </c>
      <c r="AZ57" s="134">
        <v>2.1755994536602077</v>
      </c>
      <c r="BA57" s="103">
        <v>645.56093634006356</v>
      </c>
      <c r="BB57" s="103">
        <v>124.26961182604461</v>
      </c>
      <c r="BC57" s="103">
        <v>0</v>
      </c>
      <c r="BD57" s="103">
        <v>0</v>
      </c>
      <c r="BE57" s="103">
        <v>769.8305481661082</v>
      </c>
      <c r="BF57" s="103">
        <v>469.17706219360025</v>
      </c>
      <c r="BG57" s="103">
        <v>19.791602430160179</v>
      </c>
      <c r="BH57" s="134">
        <v>1.6408102829384419</v>
      </c>
      <c r="BI57" s="103">
        <v>8.1188453650064023</v>
      </c>
      <c r="BJ57" s="103">
        <v>18.803640288437041</v>
      </c>
      <c r="BK57" s="103">
        <v>0</v>
      </c>
      <c r="BL57" s="103">
        <v>45.952374449802512</v>
      </c>
      <c r="BM57" s="103">
        <v>72.874860103245965</v>
      </c>
      <c r="BN57" s="103">
        <v>645.56093634006356</v>
      </c>
      <c r="BO57" s="103">
        <v>0</v>
      </c>
      <c r="BP57" s="103">
        <v>124.26961182604461</v>
      </c>
      <c r="BQ57" s="103">
        <v>0</v>
      </c>
      <c r="BR57" s="103">
        <v>0</v>
      </c>
      <c r="BS57" s="103">
        <v>0</v>
      </c>
      <c r="BT57" s="103">
        <v>0</v>
      </c>
      <c r="BU57" s="103">
        <v>0</v>
      </c>
      <c r="BV57" s="103">
        <v>0</v>
      </c>
      <c r="BW57" s="103">
        <v>0</v>
      </c>
      <c r="BX57" s="103">
        <v>1160.9051081315022</v>
      </c>
      <c r="BY57" s="103">
        <v>109.08211411583964</v>
      </c>
      <c r="BZ57" s="103">
        <v>0</v>
      </c>
      <c r="CA57" s="103">
        <v>0</v>
      </c>
      <c r="CB57" s="103">
        <v>769.8305481661082</v>
      </c>
      <c r="CC57" s="103">
        <v>1269.9872222473418</v>
      </c>
      <c r="CD57" s="114">
        <v>0.60617188478781125</v>
      </c>
      <c r="CE57" s="103">
        <v>65.743976879962702</v>
      </c>
      <c r="CF57" s="103">
        <v>12.182008726887725</v>
      </c>
      <c r="CG57" s="103">
        <v>0</v>
      </c>
      <c r="CH57" s="103">
        <v>12.182008726887725</v>
      </c>
      <c r="CI57" s="103">
        <v>0.60909543048715165</v>
      </c>
      <c r="CJ57" s="103">
        <v>0</v>
      </c>
      <c r="CK57" s="103">
        <v>0.60909543048715165</v>
      </c>
      <c r="CL57" s="103"/>
      <c r="CM57" s="103">
        <v>0</v>
      </c>
      <c r="CN57" s="103"/>
      <c r="CO57" s="103">
        <v>0</v>
      </c>
      <c r="CP57" s="103">
        <v>0</v>
      </c>
      <c r="CQ57" s="103">
        <v>0</v>
      </c>
      <c r="CR57" s="103">
        <v>0</v>
      </c>
      <c r="CS57" s="103">
        <v>0</v>
      </c>
      <c r="CT57" s="103">
        <v>0</v>
      </c>
      <c r="CU57" s="103">
        <v>0</v>
      </c>
      <c r="CV57" s="103">
        <v>9999</v>
      </c>
      <c r="CW57" s="134">
        <v>9999</v>
      </c>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row>
    <row r="58" spans="1:131">
      <c r="A58" s="79" t="s">
        <v>208</v>
      </c>
      <c r="B58" s="79"/>
      <c r="C58" s="103">
        <v>8.5616438356164384</v>
      </c>
      <c r="D58" s="103">
        <v>1194.6579392555182</v>
      </c>
      <c r="E58" s="103">
        <v>0</v>
      </c>
      <c r="F58" s="103">
        <v>678.27513934376702</v>
      </c>
      <c r="G58" s="103">
        <v>0</v>
      </c>
      <c r="H58" s="103">
        <v>0</v>
      </c>
      <c r="I58" s="103"/>
      <c r="J58" s="103"/>
      <c r="K58" s="103"/>
      <c r="L58" s="103">
        <v>1282.3061694466355</v>
      </c>
      <c r="M58" s="103">
        <v>0.16105280993947424</v>
      </c>
      <c r="N58" s="103">
        <v>0.15989040298042945</v>
      </c>
      <c r="O58" s="103">
        <v>0</v>
      </c>
      <c r="P58" s="103">
        <v>0</v>
      </c>
      <c r="Q58" s="103">
        <v>0</v>
      </c>
      <c r="R58" s="103">
        <v>135.25712352506946</v>
      </c>
      <c r="S58" s="103">
        <v>312.55863997407869</v>
      </c>
      <c r="T58" s="103">
        <v>0</v>
      </c>
      <c r="U58" s="103">
        <v>995.89126466972857</v>
      </c>
      <c r="V58" s="103">
        <v>40.696508360626019</v>
      </c>
      <c r="W58" s="103">
        <v>94.958519508127381</v>
      </c>
      <c r="X58" s="103">
        <v>0</v>
      </c>
      <c r="Y58" s="103">
        <v>0</v>
      </c>
      <c r="Z58" s="103">
        <v>0</v>
      </c>
      <c r="AA58" s="103">
        <v>0</v>
      </c>
      <c r="AB58" s="103">
        <v>0</v>
      </c>
      <c r="AC58" s="103">
        <v>0</v>
      </c>
      <c r="AD58" s="103">
        <v>0</v>
      </c>
      <c r="AE58" s="103">
        <v>0</v>
      </c>
      <c r="AF58" s="103">
        <v>0</v>
      </c>
      <c r="AG58" s="103">
        <v>0</v>
      </c>
      <c r="AH58" s="103">
        <v>175.95363188569547</v>
      </c>
      <c r="AI58" s="103">
        <v>407.51715948220607</v>
      </c>
      <c r="AJ58" s="103">
        <v>0</v>
      </c>
      <c r="AK58" s="103">
        <v>995.89126466972857</v>
      </c>
      <c r="AL58" s="103">
        <v>1579.3620560376301</v>
      </c>
      <c r="AM58" s="103">
        <v>645.56093634006356</v>
      </c>
      <c r="AN58" s="103">
        <v>56.907766392139273</v>
      </c>
      <c r="AO58" s="103">
        <v>0</v>
      </c>
      <c r="AP58" s="103">
        <v>0</v>
      </c>
      <c r="AQ58" s="103">
        <v>702.46870273220281</v>
      </c>
      <c r="AR58" s="103">
        <v>175.95363188569547</v>
      </c>
      <c r="AS58" s="134">
        <v>3.9923512530195833</v>
      </c>
      <c r="AT58" s="103">
        <v>645.56093634006356</v>
      </c>
      <c r="AU58" s="103">
        <v>67.361845433905344</v>
      </c>
      <c r="AV58" s="103">
        <v>0</v>
      </c>
      <c r="AW58" s="103">
        <v>0</v>
      </c>
      <c r="AX58" s="103">
        <v>712.92278177396895</v>
      </c>
      <c r="AY58" s="103">
        <v>407.51715948220607</v>
      </c>
      <c r="AZ58" s="134">
        <v>1.7494300919249959</v>
      </c>
      <c r="BA58" s="103">
        <v>645.56093634006356</v>
      </c>
      <c r="BB58" s="103">
        <v>124.26961182604461</v>
      </c>
      <c r="BC58" s="103">
        <v>0</v>
      </c>
      <c r="BD58" s="103">
        <v>0</v>
      </c>
      <c r="BE58" s="103">
        <v>769.8305481661082</v>
      </c>
      <c r="BF58" s="103">
        <v>583.47079136790148</v>
      </c>
      <c r="BG58" s="103">
        <v>26.350045994274488</v>
      </c>
      <c r="BH58" s="134">
        <v>1.3193986049606714</v>
      </c>
      <c r="BI58" s="103">
        <v>10.096634110725546</v>
      </c>
      <c r="BJ58" s="103">
        <v>23.384295106832205</v>
      </c>
      <c r="BK58" s="103">
        <v>0</v>
      </c>
      <c r="BL58" s="103">
        <v>57.146588028203354</v>
      </c>
      <c r="BM58" s="103">
        <v>90.627517245761098</v>
      </c>
      <c r="BN58" s="103">
        <v>645.56093634006356</v>
      </c>
      <c r="BO58" s="103">
        <v>0</v>
      </c>
      <c r="BP58" s="103">
        <v>124.26961182604461</v>
      </c>
      <c r="BQ58" s="103">
        <v>0</v>
      </c>
      <c r="BR58" s="103">
        <v>0</v>
      </c>
      <c r="BS58" s="103">
        <v>0</v>
      </c>
      <c r="BT58" s="103">
        <v>0</v>
      </c>
      <c r="BU58" s="103">
        <v>0</v>
      </c>
      <c r="BV58" s="103">
        <v>0</v>
      </c>
      <c r="BW58" s="103">
        <v>0</v>
      </c>
      <c r="BX58" s="103">
        <v>1443.7070281688766</v>
      </c>
      <c r="BY58" s="103">
        <v>135.65502786875342</v>
      </c>
      <c r="BZ58" s="103">
        <v>0</v>
      </c>
      <c r="CA58" s="103">
        <v>0</v>
      </c>
      <c r="CB58" s="103">
        <v>769.8305481661082</v>
      </c>
      <c r="CC58" s="103">
        <v>1579.3620560376301</v>
      </c>
      <c r="CD58" s="114">
        <v>0.48743133040532294</v>
      </c>
      <c r="CE58" s="103">
        <v>83.496634022477835</v>
      </c>
      <c r="CF58" s="103">
        <v>12.182008726887725</v>
      </c>
      <c r="CG58" s="103">
        <v>0</v>
      </c>
      <c r="CH58" s="103">
        <v>12.182008726887725</v>
      </c>
      <c r="CI58" s="103">
        <v>0.60909543048715165</v>
      </c>
      <c r="CJ58" s="103">
        <v>0</v>
      </c>
      <c r="CK58" s="103">
        <v>0.60909543048715165</v>
      </c>
      <c r="CL58" s="103"/>
      <c r="CM58" s="103">
        <v>0</v>
      </c>
      <c r="CN58" s="103"/>
      <c r="CO58" s="103">
        <v>0</v>
      </c>
      <c r="CP58" s="103">
        <v>0</v>
      </c>
      <c r="CQ58" s="103">
        <v>0</v>
      </c>
      <c r="CR58" s="103">
        <v>0</v>
      </c>
      <c r="CS58" s="103">
        <v>0</v>
      </c>
      <c r="CT58" s="103">
        <v>0</v>
      </c>
      <c r="CU58" s="103">
        <v>0</v>
      </c>
      <c r="CV58" s="103">
        <v>9999</v>
      </c>
      <c r="CW58" s="134">
        <v>9999</v>
      </c>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row>
    <row r="59" spans="1:131">
      <c r="A59" s="79"/>
      <c r="B59" s="79"/>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row>
    <row r="60" spans="1:131">
      <c r="A60" s="79"/>
      <c r="B60" s="79"/>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row>
    <row r="61" spans="1:131" ht="15.75" thickBot="1">
      <c r="A61" s="101" t="s">
        <v>381</v>
      </c>
      <c r="B61" s="102"/>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row>
    <row r="62" spans="1:131" ht="15.75" thickBot="1">
      <c r="A62" s="135" t="s">
        <v>382</v>
      </c>
      <c r="B62" s="136"/>
      <c r="C62" s="137"/>
      <c r="D62" s="137"/>
      <c r="E62" s="137"/>
      <c r="F62" s="137"/>
      <c r="G62" s="137"/>
      <c r="H62" s="137"/>
      <c r="I62" s="137"/>
      <c r="J62" s="137"/>
      <c r="K62" s="137"/>
      <c r="L62" s="109"/>
      <c r="M62" s="138"/>
      <c r="N62" s="139" t="s">
        <v>383</v>
      </c>
      <c r="O62" s="137"/>
      <c r="P62" s="137"/>
      <c r="Q62" s="137"/>
      <c r="R62" s="137"/>
      <c r="S62" s="137"/>
      <c r="T62" s="137"/>
      <c r="U62" s="137"/>
      <c r="V62" s="137"/>
      <c r="W62" s="137"/>
      <c r="X62" s="137"/>
      <c r="Y62" s="109"/>
      <c r="Z62" s="138"/>
      <c r="AA62" s="139" t="s">
        <v>384</v>
      </c>
      <c r="AB62" s="137"/>
      <c r="AC62" s="137"/>
      <c r="AD62" s="137"/>
      <c r="AE62" s="137"/>
      <c r="AF62" s="137"/>
      <c r="AG62" s="137"/>
      <c r="AH62" s="137"/>
      <c r="AI62" s="137"/>
      <c r="AJ62" s="137"/>
      <c r="AK62" s="137"/>
      <c r="AL62" s="109"/>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row>
    <row r="63" spans="1:131" ht="102.75">
      <c r="A63" s="110"/>
      <c r="B63" s="111" t="s">
        <v>385</v>
      </c>
      <c r="C63" s="112" t="s">
        <v>386</v>
      </c>
      <c r="D63" s="112" t="s">
        <v>12</v>
      </c>
      <c r="E63" s="112" t="s">
        <v>181</v>
      </c>
      <c r="F63" s="112" t="s">
        <v>182</v>
      </c>
      <c r="G63" s="112" t="s">
        <v>183</v>
      </c>
      <c r="H63" s="112" t="s">
        <v>184</v>
      </c>
      <c r="I63" s="112" t="s">
        <v>185</v>
      </c>
      <c r="J63" s="112" t="s">
        <v>186</v>
      </c>
      <c r="K63" s="112" t="s">
        <v>187</v>
      </c>
      <c r="L63" s="112" t="s">
        <v>188</v>
      </c>
      <c r="M63" s="112" t="s">
        <v>189</v>
      </c>
      <c r="N63" s="112" t="s">
        <v>191</v>
      </c>
      <c r="O63" s="112" t="s">
        <v>192</v>
      </c>
      <c r="P63" s="112" t="s">
        <v>193</v>
      </c>
      <c r="Q63" s="112" t="s">
        <v>194</v>
      </c>
      <c r="R63" s="112" t="s">
        <v>195</v>
      </c>
      <c r="S63" s="112" t="s">
        <v>196</v>
      </c>
      <c r="T63" s="112" t="s">
        <v>197</v>
      </c>
      <c r="U63" s="112" t="s">
        <v>198</v>
      </c>
      <c r="V63" s="112" t="s">
        <v>199</v>
      </c>
      <c r="W63" s="112" t="s">
        <v>200</v>
      </c>
      <c r="X63" s="112" t="s">
        <v>201</v>
      </c>
      <c r="Y63" s="112" t="s">
        <v>202</v>
      </c>
      <c r="Z63" s="112"/>
      <c r="AA63" s="112" t="s">
        <v>191</v>
      </c>
      <c r="AB63" s="112" t="s">
        <v>192</v>
      </c>
      <c r="AC63" s="112" t="s">
        <v>193</v>
      </c>
      <c r="AD63" s="112" t="s">
        <v>194</v>
      </c>
      <c r="AE63" s="112" t="s">
        <v>195</v>
      </c>
      <c r="AF63" s="112" t="s">
        <v>196</v>
      </c>
      <c r="AG63" s="112" t="s">
        <v>197</v>
      </c>
      <c r="AH63" s="112" t="s">
        <v>198</v>
      </c>
      <c r="AI63" s="112" t="s">
        <v>199</v>
      </c>
      <c r="AJ63" s="112" t="s">
        <v>200</v>
      </c>
      <c r="AK63" s="112" t="s">
        <v>201</v>
      </c>
      <c r="AL63" s="112" t="s">
        <v>202</v>
      </c>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row>
    <row r="64" spans="1:131">
      <c r="A64" s="79"/>
      <c r="B64" s="140" t="s">
        <v>387</v>
      </c>
      <c r="C64" s="165">
        <v>1658.8489688773964</v>
      </c>
      <c r="D64" s="165">
        <v>356.58923434217837</v>
      </c>
      <c r="E64" s="165">
        <v>0</v>
      </c>
      <c r="F64" s="165">
        <v>356.58923434217837</v>
      </c>
      <c r="G64" s="165">
        <v>758.99934101556755</v>
      </c>
      <c r="H64" s="165">
        <v>995.88744206600791</v>
      </c>
      <c r="I64" s="165">
        <v>1883.0657591157433</v>
      </c>
      <c r="J64" s="165">
        <v>3.312109429244567</v>
      </c>
      <c r="K64" s="165">
        <v>26.536135931568445</v>
      </c>
      <c r="L64" s="134">
        <v>1.3121058059595623</v>
      </c>
      <c r="M64" s="103">
        <v>15.759194720379217</v>
      </c>
      <c r="N64" s="113">
        <v>80.114820583742315</v>
      </c>
      <c r="O64" s="113">
        <v>75.276235480578862</v>
      </c>
      <c r="P64" s="113">
        <v>85.380663470248152</v>
      </c>
      <c r="Q64" s="113">
        <v>77.794487668881743</v>
      </c>
      <c r="R64" s="113">
        <v>79.791118945435272</v>
      </c>
      <c r="S64" s="113">
        <v>79.536821389854666</v>
      </c>
      <c r="T64" s="113">
        <v>76.156286541187455</v>
      </c>
      <c r="U64" s="113">
        <v>86.8750726301881</v>
      </c>
      <c r="V64" s="113">
        <v>74.826608915807711</v>
      </c>
      <c r="W64" s="113">
        <v>85.010618673183387</v>
      </c>
      <c r="X64" s="113">
        <v>73.465954614449188</v>
      </c>
      <c r="Y64" s="113">
        <v>74.801163461287786</v>
      </c>
      <c r="Z64" s="113"/>
      <c r="AA64" s="113">
        <v>64.498354299608351</v>
      </c>
      <c r="AB64" s="113">
        <v>58.016562779748021</v>
      </c>
      <c r="AC64" s="113">
        <v>57.703911153071353</v>
      </c>
      <c r="AD64" s="113">
        <v>57.983918613796597</v>
      </c>
      <c r="AE64" s="113">
        <v>58.732966212783417</v>
      </c>
      <c r="AF64" s="113">
        <v>54.447339341574377</v>
      </c>
      <c r="AG64" s="113">
        <v>61.216070699572775</v>
      </c>
      <c r="AH64" s="113">
        <v>58.338770127816346</v>
      </c>
      <c r="AI64" s="113">
        <v>61.013344525619971</v>
      </c>
      <c r="AJ64" s="113">
        <v>57.236678520878947</v>
      </c>
      <c r="AK64" s="113">
        <v>60.197394865299678</v>
      </c>
      <c r="AL64" s="113">
        <v>60.433805362781712</v>
      </c>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row>
    <row r="65" spans="1:131">
      <c r="A65" s="79"/>
      <c r="B65" s="140" t="s">
        <v>388</v>
      </c>
      <c r="C65" s="165">
        <v>1658.8489688773964</v>
      </c>
      <c r="D65" s="165">
        <v>356.58923434217837</v>
      </c>
      <c r="E65" s="165">
        <v>71.31784686843568</v>
      </c>
      <c r="F65" s="165">
        <v>427.90708121061402</v>
      </c>
      <c r="G65" s="165">
        <v>830.31718788400326</v>
      </c>
      <c r="H65" s="165">
        <v>995.88744206600791</v>
      </c>
      <c r="I65" s="165">
        <v>2259.6789109388919</v>
      </c>
      <c r="J65" s="165">
        <v>6.4755631858574585</v>
      </c>
      <c r="K65" s="165">
        <v>29.699589688181337</v>
      </c>
      <c r="L65" s="134">
        <v>1.1994060301268088</v>
      </c>
      <c r="M65" s="103">
        <v>15.759194720379217</v>
      </c>
      <c r="N65" s="113">
        <v>160.22964116748463</v>
      </c>
      <c r="O65" s="113">
        <v>150.55247096115772</v>
      </c>
      <c r="P65" s="113">
        <v>170.7613269404963</v>
      </c>
      <c r="Q65" s="113">
        <v>155.58897533776349</v>
      </c>
      <c r="R65" s="113">
        <v>159.58223789087054</v>
      </c>
      <c r="S65" s="113">
        <v>159.07364277970933</v>
      </c>
      <c r="T65" s="113">
        <v>152.31257308237491</v>
      </c>
      <c r="U65" s="113">
        <v>173.7501452603762</v>
      </c>
      <c r="V65" s="113">
        <v>149.65321783161542</v>
      </c>
      <c r="W65" s="113">
        <v>170.02123734636677</v>
      </c>
      <c r="X65" s="113">
        <v>146.93190922889838</v>
      </c>
      <c r="Y65" s="113">
        <v>149.60232692257557</v>
      </c>
      <c r="Z65" s="113"/>
      <c r="AA65" s="113">
        <v>128.9967085992167</v>
      </c>
      <c r="AB65" s="113">
        <v>116.03312555949604</v>
      </c>
      <c r="AC65" s="113">
        <v>115.40782230614271</v>
      </c>
      <c r="AD65" s="113">
        <v>115.96783722759319</v>
      </c>
      <c r="AE65" s="113">
        <v>117.46593242556683</v>
      </c>
      <c r="AF65" s="113">
        <v>108.89467868314875</v>
      </c>
      <c r="AG65" s="113">
        <v>122.43214139914555</v>
      </c>
      <c r="AH65" s="113">
        <v>116.67754025563269</v>
      </c>
      <c r="AI65" s="113">
        <v>122.02668905123994</v>
      </c>
      <c r="AJ65" s="113">
        <v>114.47335704175789</v>
      </c>
      <c r="AK65" s="113">
        <v>120.39478973059936</v>
      </c>
      <c r="AL65" s="113">
        <v>120.86761072556342</v>
      </c>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row>
    <row r="66" spans="1:131">
      <c r="A66" s="79"/>
      <c r="B66" s="140" t="s">
        <v>389</v>
      </c>
      <c r="C66" s="141"/>
      <c r="D66" s="141"/>
      <c r="E66" s="141"/>
      <c r="F66" s="141"/>
      <c r="G66" s="141"/>
      <c r="H66" s="141"/>
      <c r="I66" s="141"/>
      <c r="J66" s="141"/>
      <c r="K66" s="141"/>
      <c r="L66" s="114"/>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row>
    <row r="67" spans="1:131">
      <c r="A67" s="79"/>
      <c r="B67" s="79" t="s">
        <v>390</v>
      </c>
      <c r="C67" s="142">
        <v>0</v>
      </c>
      <c r="D67" s="142">
        <v>0</v>
      </c>
      <c r="E67" s="142">
        <v>0</v>
      </c>
      <c r="F67" s="142">
        <v>0</v>
      </c>
      <c r="G67" s="142">
        <v>0</v>
      </c>
      <c r="H67" s="142">
        <v>0</v>
      </c>
      <c r="I67" s="142">
        <v>0</v>
      </c>
      <c r="J67" s="142">
        <v>0</v>
      </c>
      <c r="K67" s="142">
        <v>0</v>
      </c>
      <c r="L67" s="114">
        <v>0</v>
      </c>
      <c r="M67" s="142">
        <v>0</v>
      </c>
      <c r="N67" s="142">
        <v>0</v>
      </c>
      <c r="O67" s="142">
        <v>0</v>
      </c>
      <c r="P67" s="142">
        <v>0</v>
      </c>
      <c r="Q67" s="142">
        <v>0</v>
      </c>
      <c r="R67" s="142">
        <v>0</v>
      </c>
      <c r="S67" s="142">
        <v>0</v>
      </c>
      <c r="T67" s="142">
        <v>0</v>
      </c>
      <c r="U67" s="142">
        <v>0</v>
      </c>
      <c r="V67" s="142">
        <v>0</v>
      </c>
      <c r="W67" s="142">
        <v>0</v>
      </c>
      <c r="X67" s="142">
        <v>0</v>
      </c>
      <c r="Y67" s="142">
        <v>0</v>
      </c>
      <c r="Z67" s="142"/>
      <c r="AA67" s="142">
        <v>0</v>
      </c>
      <c r="AB67" s="142">
        <v>0</v>
      </c>
      <c r="AC67" s="142">
        <v>0</v>
      </c>
      <c r="AD67" s="142">
        <v>0</v>
      </c>
      <c r="AE67" s="142">
        <v>0</v>
      </c>
      <c r="AF67" s="142">
        <v>0</v>
      </c>
      <c r="AG67" s="142">
        <v>0</v>
      </c>
      <c r="AH67" s="142">
        <v>0</v>
      </c>
      <c r="AI67" s="142">
        <v>0</v>
      </c>
      <c r="AJ67" s="142">
        <v>0</v>
      </c>
      <c r="AK67" s="142">
        <v>0</v>
      </c>
      <c r="AL67" s="142">
        <v>0</v>
      </c>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row>
    <row r="68" spans="1:131">
      <c r="A68" s="79"/>
      <c r="B68" s="79" t="s">
        <v>391</v>
      </c>
      <c r="C68" s="142">
        <v>0</v>
      </c>
      <c r="D68" s="142">
        <v>0</v>
      </c>
      <c r="E68" s="142">
        <v>0</v>
      </c>
      <c r="F68" s="142">
        <v>0</v>
      </c>
      <c r="G68" s="142">
        <v>0</v>
      </c>
      <c r="H68" s="142">
        <v>0</v>
      </c>
      <c r="I68" s="142">
        <v>0</v>
      </c>
      <c r="J68" s="142">
        <v>0</v>
      </c>
      <c r="K68" s="142">
        <v>0</v>
      </c>
      <c r="L68" s="143">
        <v>0</v>
      </c>
      <c r="M68" s="142">
        <v>0</v>
      </c>
      <c r="N68" s="142">
        <v>0</v>
      </c>
      <c r="O68" s="142">
        <v>0</v>
      </c>
      <c r="P68" s="142">
        <v>0</v>
      </c>
      <c r="Q68" s="142">
        <v>0</v>
      </c>
      <c r="R68" s="142">
        <v>0</v>
      </c>
      <c r="S68" s="142">
        <v>0</v>
      </c>
      <c r="T68" s="142">
        <v>0</v>
      </c>
      <c r="U68" s="142">
        <v>0</v>
      </c>
      <c r="V68" s="142">
        <v>0</v>
      </c>
      <c r="W68" s="142">
        <v>0</v>
      </c>
      <c r="X68" s="142">
        <v>0</v>
      </c>
      <c r="Y68" s="142">
        <v>0</v>
      </c>
      <c r="Z68" s="142"/>
      <c r="AA68" s="142">
        <v>0</v>
      </c>
      <c r="AB68" s="142">
        <v>0</v>
      </c>
      <c r="AC68" s="142">
        <v>0</v>
      </c>
      <c r="AD68" s="142">
        <v>0</v>
      </c>
      <c r="AE68" s="142">
        <v>0</v>
      </c>
      <c r="AF68" s="142">
        <v>0</v>
      </c>
      <c r="AG68" s="142">
        <v>0</v>
      </c>
      <c r="AH68" s="142">
        <v>0</v>
      </c>
      <c r="AI68" s="142">
        <v>0</v>
      </c>
      <c r="AJ68" s="142">
        <v>0</v>
      </c>
      <c r="AK68" s="142">
        <v>0</v>
      </c>
      <c r="AL68" s="142">
        <v>0</v>
      </c>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row>
    <row r="69" spans="1:131">
      <c r="A69" s="79"/>
      <c r="B69" s="79" t="s">
        <v>392</v>
      </c>
      <c r="C69" s="142">
        <v>0</v>
      </c>
      <c r="D69" s="142">
        <v>0</v>
      </c>
      <c r="E69" s="142">
        <v>0</v>
      </c>
      <c r="F69" s="142">
        <v>0</v>
      </c>
      <c r="G69" s="142">
        <v>0</v>
      </c>
      <c r="H69" s="142">
        <v>0</v>
      </c>
      <c r="I69" s="142">
        <v>0</v>
      </c>
      <c r="J69" s="142">
        <v>0</v>
      </c>
      <c r="K69" s="142">
        <v>0</v>
      </c>
      <c r="L69" s="143">
        <v>0</v>
      </c>
      <c r="M69" s="142">
        <v>0</v>
      </c>
      <c r="N69" s="142">
        <v>0</v>
      </c>
      <c r="O69" s="142">
        <v>0</v>
      </c>
      <c r="P69" s="142">
        <v>0</v>
      </c>
      <c r="Q69" s="142">
        <v>0</v>
      </c>
      <c r="R69" s="142">
        <v>0</v>
      </c>
      <c r="S69" s="142">
        <v>0</v>
      </c>
      <c r="T69" s="142">
        <v>0</v>
      </c>
      <c r="U69" s="142">
        <v>0</v>
      </c>
      <c r="V69" s="142">
        <v>0</v>
      </c>
      <c r="W69" s="142">
        <v>0</v>
      </c>
      <c r="X69" s="142">
        <v>0</v>
      </c>
      <c r="Y69" s="142">
        <v>0</v>
      </c>
      <c r="Z69" s="142"/>
      <c r="AA69" s="142">
        <v>0</v>
      </c>
      <c r="AB69" s="142">
        <v>0</v>
      </c>
      <c r="AC69" s="142">
        <v>0</v>
      </c>
      <c r="AD69" s="142">
        <v>0</v>
      </c>
      <c r="AE69" s="142">
        <v>0</v>
      </c>
      <c r="AF69" s="142">
        <v>0</v>
      </c>
      <c r="AG69" s="142">
        <v>0</v>
      </c>
      <c r="AH69" s="142">
        <v>0</v>
      </c>
      <c r="AI69" s="142">
        <v>0</v>
      </c>
      <c r="AJ69" s="142">
        <v>0</v>
      </c>
      <c r="AK69" s="142">
        <v>0</v>
      </c>
      <c r="AL69" s="142">
        <v>0</v>
      </c>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row>
    <row r="70" spans="1:131">
      <c r="A70" s="79"/>
      <c r="B70" s="79" t="s">
        <v>393</v>
      </c>
      <c r="C70" s="103">
        <v>1658.8489688773964</v>
      </c>
      <c r="D70" s="103">
        <v>356.58923434217837</v>
      </c>
      <c r="E70" s="103">
        <v>71.31784686843568</v>
      </c>
      <c r="F70" s="103">
        <v>427.90708121061402</v>
      </c>
      <c r="G70" s="103">
        <v>830.31718788400326</v>
      </c>
      <c r="H70" s="103">
        <v>995.88744206600791</v>
      </c>
      <c r="I70" s="103">
        <v>2259.6789109388919</v>
      </c>
      <c r="J70" s="103">
        <v>6.4755631858574585</v>
      </c>
      <c r="K70" s="103">
        <v>29.699589688181337</v>
      </c>
      <c r="L70" s="134">
        <v>1.1994060301268088</v>
      </c>
      <c r="M70" s="103">
        <v>15.759194720379217</v>
      </c>
      <c r="N70" s="113">
        <v>80.114820583742315</v>
      </c>
      <c r="O70" s="113">
        <v>75.276235480578862</v>
      </c>
      <c r="P70" s="113">
        <v>85.380663470248152</v>
      </c>
      <c r="Q70" s="113">
        <v>77.794487668881743</v>
      </c>
      <c r="R70" s="113">
        <v>79.791118945435272</v>
      </c>
      <c r="S70" s="113">
        <v>79.536821389854666</v>
      </c>
      <c r="T70" s="113">
        <v>76.156286541187455</v>
      </c>
      <c r="U70" s="113">
        <v>86.8750726301881</v>
      </c>
      <c r="V70" s="113">
        <v>74.826608915807711</v>
      </c>
      <c r="W70" s="113">
        <v>85.010618673183387</v>
      </c>
      <c r="X70" s="113">
        <v>73.465954614449188</v>
      </c>
      <c r="Y70" s="113">
        <v>74.801163461287786</v>
      </c>
      <c r="Z70" s="113"/>
      <c r="AA70" s="113">
        <v>64.498354299608351</v>
      </c>
      <c r="AB70" s="113">
        <v>58.016562779748021</v>
      </c>
      <c r="AC70" s="113">
        <v>57.703911153071353</v>
      </c>
      <c r="AD70" s="113">
        <v>57.983918613796597</v>
      </c>
      <c r="AE70" s="113">
        <v>58.732966212783417</v>
      </c>
      <c r="AF70" s="113">
        <v>54.447339341574377</v>
      </c>
      <c r="AG70" s="113">
        <v>61.216070699572775</v>
      </c>
      <c r="AH70" s="113">
        <v>58.338770127816346</v>
      </c>
      <c r="AI70" s="113">
        <v>61.013344525619971</v>
      </c>
      <c r="AJ70" s="113">
        <v>57.236678520878947</v>
      </c>
      <c r="AK70" s="113">
        <v>60.197394865299678</v>
      </c>
      <c r="AL70" s="113">
        <v>60.433805362781712</v>
      </c>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row>
    <row r="71" spans="1:131">
      <c r="A71" s="79"/>
      <c r="B71" s="79" t="s">
        <v>394</v>
      </c>
      <c r="C71" s="142">
        <v>0</v>
      </c>
      <c r="D71" s="142">
        <v>0</v>
      </c>
      <c r="E71" s="142">
        <v>0</v>
      </c>
      <c r="F71" s="142">
        <v>0</v>
      </c>
      <c r="G71" s="142">
        <v>0</v>
      </c>
      <c r="H71" s="142">
        <v>0</v>
      </c>
      <c r="I71" s="142">
        <v>0</v>
      </c>
      <c r="J71" s="142">
        <v>0</v>
      </c>
      <c r="K71" s="142">
        <v>0</v>
      </c>
      <c r="L71" s="143">
        <v>0</v>
      </c>
      <c r="M71" s="142">
        <v>0</v>
      </c>
      <c r="N71" s="142">
        <v>0</v>
      </c>
      <c r="O71" s="142">
        <v>0</v>
      </c>
      <c r="P71" s="142">
        <v>0</v>
      </c>
      <c r="Q71" s="142">
        <v>0</v>
      </c>
      <c r="R71" s="142">
        <v>0</v>
      </c>
      <c r="S71" s="142">
        <v>0</v>
      </c>
      <c r="T71" s="142">
        <v>0</v>
      </c>
      <c r="U71" s="142">
        <v>0</v>
      </c>
      <c r="V71" s="142">
        <v>0</v>
      </c>
      <c r="W71" s="142">
        <v>0</v>
      </c>
      <c r="X71" s="142">
        <v>0</v>
      </c>
      <c r="Y71" s="142">
        <v>0</v>
      </c>
      <c r="Z71" s="142"/>
      <c r="AA71" s="142">
        <v>0</v>
      </c>
      <c r="AB71" s="142">
        <v>0</v>
      </c>
      <c r="AC71" s="142">
        <v>0</v>
      </c>
      <c r="AD71" s="142">
        <v>0</v>
      </c>
      <c r="AE71" s="142">
        <v>0</v>
      </c>
      <c r="AF71" s="142">
        <v>0</v>
      </c>
      <c r="AG71" s="142">
        <v>0</v>
      </c>
      <c r="AH71" s="142">
        <v>0</v>
      </c>
      <c r="AI71" s="142">
        <v>0</v>
      </c>
      <c r="AJ71" s="142">
        <v>0</v>
      </c>
      <c r="AK71" s="142">
        <v>0</v>
      </c>
      <c r="AL71" s="142">
        <v>0</v>
      </c>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row>
    <row r="72" spans="1:131">
      <c r="A72" s="79"/>
      <c r="B72" s="79" t="s">
        <v>395</v>
      </c>
      <c r="C72" s="103">
        <v>3102.1825449826079</v>
      </c>
      <c r="D72" s="103">
        <v>932.28912517311869</v>
      </c>
      <c r="E72" s="103">
        <v>186.45782503462374</v>
      </c>
      <c r="F72" s="103">
        <v>1118.7469502077424</v>
      </c>
      <c r="G72" s="103">
        <v>2170.8330206227406</v>
      </c>
      <c r="H72" s="103">
        <v>1862.3905476067989</v>
      </c>
      <c r="I72" s="103">
        <v>3159.1381686001873</v>
      </c>
      <c r="J72" s="103">
        <v>11.891573454984083</v>
      </c>
      <c r="K72" s="103">
        <v>44.359862731352763</v>
      </c>
      <c r="L72" s="114">
        <v>0.85866129819636461</v>
      </c>
      <c r="M72" s="103">
        <v>29.470976382875104</v>
      </c>
      <c r="N72" s="113">
        <v>149.82123307915646</v>
      </c>
      <c r="O72" s="113">
        <v>140.7726852420351</v>
      </c>
      <c r="P72" s="113">
        <v>159.66878773519855</v>
      </c>
      <c r="Q72" s="113">
        <v>145.482021733171</v>
      </c>
      <c r="R72" s="113">
        <v>149.21588467735592</v>
      </c>
      <c r="S72" s="113">
        <v>148.74032755735618</v>
      </c>
      <c r="T72" s="113">
        <v>142.41845233122405</v>
      </c>
      <c r="U72" s="113">
        <v>162.46345445773034</v>
      </c>
      <c r="V72" s="113">
        <v>139.93184698179405</v>
      </c>
      <c r="W72" s="113">
        <v>158.97677385578385</v>
      </c>
      <c r="X72" s="113">
        <v>137.38731272784904</v>
      </c>
      <c r="Y72" s="113">
        <v>139.88426191145805</v>
      </c>
      <c r="Z72" s="113"/>
      <c r="AA72" s="113">
        <v>120.61717048523968</v>
      </c>
      <c r="AB72" s="113">
        <v>108.49569294847838</v>
      </c>
      <c r="AC72" s="113">
        <v>107.91100896751709</v>
      </c>
      <c r="AD72" s="113">
        <v>108.43464570203824</v>
      </c>
      <c r="AE72" s="113">
        <v>109.83542565882392</v>
      </c>
      <c r="AF72" s="113">
        <v>101.82095470721572</v>
      </c>
      <c r="AG72" s="113">
        <v>114.47903308831695</v>
      </c>
      <c r="AH72" s="113">
        <v>109.09824690594874</v>
      </c>
      <c r="AI72" s="113">
        <v>114.09991864809575</v>
      </c>
      <c r="AJ72" s="113">
        <v>107.03724592867067</v>
      </c>
      <c r="AK72" s="113">
        <v>112.57402639309251</v>
      </c>
      <c r="AL72" s="113">
        <v>113.01613325905737</v>
      </c>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row>
    <row r="73" spans="1:131">
      <c r="A73" s="79"/>
      <c r="B73" s="79" t="s">
        <v>396</v>
      </c>
      <c r="C73" s="142">
        <v>0</v>
      </c>
      <c r="D73" s="142">
        <v>0</v>
      </c>
      <c r="E73" s="142">
        <v>0</v>
      </c>
      <c r="F73" s="142">
        <v>0</v>
      </c>
      <c r="G73" s="142">
        <v>0</v>
      </c>
      <c r="H73" s="142">
        <v>0</v>
      </c>
      <c r="I73" s="142">
        <v>0</v>
      </c>
      <c r="J73" s="142">
        <v>0</v>
      </c>
      <c r="K73" s="142">
        <v>0</v>
      </c>
      <c r="L73" s="143">
        <v>0</v>
      </c>
      <c r="M73" s="142">
        <v>0</v>
      </c>
      <c r="N73" s="142">
        <v>0</v>
      </c>
      <c r="O73" s="142">
        <v>0</v>
      </c>
      <c r="P73" s="142">
        <v>0</v>
      </c>
      <c r="Q73" s="142">
        <v>0</v>
      </c>
      <c r="R73" s="142">
        <v>0</v>
      </c>
      <c r="S73" s="142">
        <v>0</v>
      </c>
      <c r="T73" s="142">
        <v>0</v>
      </c>
      <c r="U73" s="142">
        <v>0</v>
      </c>
      <c r="V73" s="142">
        <v>0</v>
      </c>
      <c r="W73" s="142">
        <v>0</v>
      </c>
      <c r="X73" s="142">
        <v>0</v>
      </c>
      <c r="Y73" s="142">
        <v>0</v>
      </c>
      <c r="Z73" s="142"/>
      <c r="AA73" s="142">
        <v>0</v>
      </c>
      <c r="AB73" s="142">
        <v>0</v>
      </c>
      <c r="AC73" s="142">
        <v>0</v>
      </c>
      <c r="AD73" s="142">
        <v>0</v>
      </c>
      <c r="AE73" s="142">
        <v>0</v>
      </c>
      <c r="AF73" s="142">
        <v>0</v>
      </c>
      <c r="AG73" s="142">
        <v>0</v>
      </c>
      <c r="AH73" s="142">
        <v>0</v>
      </c>
      <c r="AI73" s="142">
        <v>0</v>
      </c>
      <c r="AJ73" s="142">
        <v>0</v>
      </c>
      <c r="AK73" s="142">
        <v>0</v>
      </c>
      <c r="AL73" s="142">
        <v>0</v>
      </c>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row>
    <row r="74" spans="1:131">
      <c r="A74" s="79"/>
      <c r="B74" s="79" t="s">
        <v>397</v>
      </c>
      <c r="C74" s="103">
        <v>2725.6397455518472</v>
      </c>
      <c r="D74" s="103">
        <v>1126.9444390214003</v>
      </c>
      <c r="E74" s="103">
        <v>225.38888780428005</v>
      </c>
      <c r="F74" s="103">
        <v>1352.3333268256804</v>
      </c>
      <c r="G74" s="103">
        <v>2624.0874580410318</v>
      </c>
      <c r="H74" s="103">
        <v>1636.3336537068994</v>
      </c>
      <c r="I74" s="103">
        <v>4346.2970344213509</v>
      </c>
      <c r="J74" s="103">
        <v>19.039940158207589</v>
      </c>
      <c r="K74" s="103">
        <v>63.709347402634819</v>
      </c>
      <c r="L74" s="114">
        <v>0.62403786744067169</v>
      </c>
      <c r="M74" s="103">
        <v>25.893790389383611</v>
      </c>
      <c r="N74" s="113">
        <v>131.63593750103621</v>
      </c>
      <c r="O74" s="113">
        <v>123.68570205655064</v>
      </c>
      <c r="P74" s="113">
        <v>140.28819634712318</v>
      </c>
      <c r="Q74" s="113">
        <v>127.82341946334159</v>
      </c>
      <c r="R74" s="113">
        <v>131.10406626524369</v>
      </c>
      <c r="S74" s="113">
        <v>130.68623225039892</v>
      </c>
      <c r="T74" s="113">
        <v>125.13170599899101</v>
      </c>
      <c r="U74" s="113">
        <v>142.74364652906809</v>
      </c>
      <c r="V74" s="113">
        <v>122.94692471238679</v>
      </c>
      <c r="W74" s="113">
        <v>139.68017908609616</v>
      </c>
      <c r="X74" s="113">
        <v>120.71124592949636</v>
      </c>
      <c r="Y74" s="113">
        <v>122.90511551607999</v>
      </c>
      <c r="Z74" s="113"/>
      <c r="AA74" s="113">
        <v>105.97666291504957</v>
      </c>
      <c r="AB74" s="113">
        <v>95.326489861098707</v>
      </c>
      <c r="AC74" s="113">
        <v>94.812774799529194</v>
      </c>
      <c r="AD74" s="113">
        <v>95.272852527111752</v>
      </c>
      <c r="AE74" s="113">
        <v>96.503605865970741</v>
      </c>
      <c r="AF74" s="113">
        <v>89.461931093928428</v>
      </c>
      <c r="AG74" s="113">
        <v>100.58357240212345</v>
      </c>
      <c r="AH74" s="113">
        <v>95.855905842107632</v>
      </c>
      <c r="AI74" s="113">
        <v>100.25047485825039</v>
      </c>
      <c r="AJ74" s="113">
        <v>94.045069085136006</v>
      </c>
      <c r="AK74" s="113">
        <v>98.909795347177365</v>
      </c>
      <c r="AL74" s="113">
        <v>99.298239298550953</v>
      </c>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row>
    <row r="75" spans="1:131">
      <c r="A75" s="79"/>
      <c r="B75" s="79" t="s">
        <v>398</v>
      </c>
      <c r="C75" s="142">
        <v>0</v>
      </c>
      <c r="D75" s="142">
        <v>0</v>
      </c>
      <c r="E75" s="142">
        <v>0</v>
      </c>
      <c r="F75" s="142">
        <v>0</v>
      </c>
      <c r="G75" s="142">
        <v>0</v>
      </c>
      <c r="H75" s="142">
        <v>0</v>
      </c>
      <c r="I75" s="142">
        <v>0</v>
      </c>
      <c r="J75" s="142">
        <v>0</v>
      </c>
      <c r="K75" s="142">
        <v>0</v>
      </c>
      <c r="L75" s="143">
        <v>0</v>
      </c>
      <c r="M75" s="142">
        <v>0</v>
      </c>
      <c r="N75" s="142">
        <v>0</v>
      </c>
      <c r="O75" s="142">
        <v>0</v>
      </c>
      <c r="P75" s="142">
        <v>0</v>
      </c>
      <c r="Q75" s="142">
        <v>0</v>
      </c>
      <c r="R75" s="142">
        <v>0</v>
      </c>
      <c r="S75" s="142">
        <v>0</v>
      </c>
      <c r="T75" s="142">
        <v>0</v>
      </c>
      <c r="U75" s="142">
        <v>0</v>
      </c>
      <c r="V75" s="142">
        <v>0</v>
      </c>
      <c r="W75" s="142">
        <v>0</v>
      </c>
      <c r="X75" s="142">
        <v>0</v>
      </c>
      <c r="Y75" s="142">
        <v>0</v>
      </c>
      <c r="Z75" s="142"/>
      <c r="AA75" s="142">
        <v>0</v>
      </c>
      <c r="AB75" s="142">
        <v>0</v>
      </c>
      <c r="AC75" s="142">
        <v>0</v>
      </c>
      <c r="AD75" s="142">
        <v>0</v>
      </c>
      <c r="AE75" s="142">
        <v>0</v>
      </c>
      <c r="AF75" s="142">
        <v>0</v>
      </c>
      <c r="AG75" s="142">
        <v>0</v>
      </c>
      <c r="AH75" s="142">
        <v>0</v>
      </c>
      <c r="AI75" s="142">
        <v>0</v>
      </c>
      <c r="AJ75" s="142">
        <v>0</v>
      </c>
      <c r="AK75" s="142">
        <v>0</v>
      </c>
      <c r="AL75" s="142">
        <v>0</v>
      </c>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103"/>
      <c r="CR75" s="103"/>
      <c r="CS75" s="103"/>
      <c r="CT75" s="103"/>
      <c r="CU75" s="103"/>
      <c r="CV75" s="103"/>
      <c r="CW75" s="103"/>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row>
    <row r="76" spans="1:131">
      <c r="A76" s="79"/>
      <c r="B76" s="79" t="s">
        <v>399</v>
      </c>
      <c r="C76" s="103">
        <v>1282.3061694466355</v>
      </c>
      <c r="D76" s="103">
        <v>678.27513934376702</v>
      </c>
      <c r="E76" s="103">
        <v>135.65502786875342</v>
      </c>
      <c r="F76" s="103">
        <v>813.93016721252047</v>
      </c>
      <c r="G76" s="103">
        <v>1579.3620560376301</v>
      </c>
      <c r="H76" s="103">
        <v>769.8305481661082</v>
      </c>
      <c r="I76" s="103">
        <v>5560.3165879320077</v>
      </c>
      <c r="J76" s="103">
        <v>26.350045994274488</v>
      </c>
      <c r="K76" s="103">
        <v>83.496634022477835</v>
      </c>
      <c r="L76" s="114">
        <v>0.48743133040532294</v>
      </c>
      <c r="M76" s="103">
        <v>12.182008726887725</v>
      </c>
      <c r="N76" s="113">
        <v>61.929525005622054</v>
      </c>
      <c r="O76" s="113">
        <v>58.189252295094384</v>
      </c>
      <c r="P76" s="113">
        <v>66.000072082172792</v>
      </c>
      <c r="Q76" s="113">
        <v>60.135885399052349</v>
      </c>
      <c r="R76" s="113">
        <v>61.679300533323037</v>
      </c>
      <c r="S76" s="113">
        <v>61.482726082897408</v>
      </c>
      <c r="T76" s="113">
        <v>58.869540208954412</v>
      </c>
      <c r="U76" s="113">
        <v>67.155264701525837</v>
      </c>
      <c r="V76" s="113">
        <v>57.841686646400454</v>
      </c>
      <c r="W76" s="113">
        <v>65.714023903495701</v>
      </c>
      <c r="X76" s="113">
        <v>56.789887816096517</v>
      </c>
      <c r="Y76" s="113">
        <v>57.822017065909733</v>
      </c>
      <c r="Z76" s="113"/>
      <c r="AA76" s="113">
        <v>49.857846729418242</v>
      </c>
      <c r="AB76" s="113">
        <v>44.847359692368343</v>
      </c>
      <c r="AC76" s="113">
        <v>44.605676985083463</v>
      </c>
      <c r="AD76" s="113">
        <v>44.822125438870103</v>
      </c>
      <c r="AE76" s="113">
        <v>45.401146419930235</v>
      </c>
      <c r="AF76" s="113">
        <v>42.088315728287085</v>
      </c>
      <c r="AG76" s="113">
        <v>47.320610013379259</v>
      </c>
      <c r="AH76" s="113">
        <v>45.096429063975243</v>
      </c>
      <c r="AI76" s="113">
        <v>47.163900735774611</v>
      </c>
      <c r="AJ76" s="113">
        <v>44.244501677344289</v>
      </c>
      <c r="AK76" s="113">
        <v>46.533163819384527</v>
      </c>
      <c r="AL76" s="113">
        <v>46.715911402275282</v>
      </c>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103"/>
      <c r="CR76" s="103"/>
      <c r="CS76" s="103"/>
      <c r="CT76" s="103"/>
      <c r="CU76" s="103"/>
      <c r="CV76" s="103"/>
      <c r="CW76" s="103"/>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row>
    <row r="77" spans="1:131">
      <c r="A77" s="79"/>
      <c r="B77" s="79" t="s">
        <v>400</v>
      </c>
      <c r="C77" s="142">
        <v>0</v>
      </c>
      <c r="D77" s="142">
        <v>0</v>
      </c>
      <c r="E77" s="142">
        <v>0</v>
      </c>
      <c r="F77" s="142">
        <v>0</v>
      </c>
      <c r="G77" s="142">
        <v>0</v>
      </c>
      <c r="H77" s="142">
        <v>0</v>
      </c>
      <c r="I77" s="142">
        <v>0</v>
      </c>
      <c r="J77" s="142">
        <v>0</v>
      </c>
      <c r="K77" s="142">
        <v>0</v>
      </c>
      <c r="L77" s="143">
        <v>0</v>
      </c>
      <c r="M77" s="142">
        <v>0</v>
      </c>
      <c r="N77" s="142">
        <v>0</v>
      </c>
      <c r="O77" s="142">
        <v>0</v>
      </c>
      <c r="P77" s="142">
        <v>0</v>
      </c>
      <c r="Q77" s="142">
        <v>0</v>
      </c>
      <c r="R77" s="142">
        <v>0</v>
      </c>
      <c r="S77" s="142">
        <v>0</v>
      </c>
      <c r="T77" s="142">
        <v>0</v>
      </c>
      <c r="U77" s="142">
        <v>0</v>
      </c>
      <c r="V77" s="142">
        <v>0</v>
      </c>
      <c r="W77" s="142">
        <v>0</v>
      </c>
      <c r="X77" s="142">
        <v>0</v>
      </c>
      <c r="Y77" s="142">
        <v>0</v>
      </c>
      <c r="Z77" s="142"/>
      <c r="AA77" s="142">
        <v>0</v>
      </c>
      <c r="AB77" s="142">
        <v>0</v>
      </c>
      <c r="AC77" s="142">
        <v>0</v>
      </c>
      <c r="AD77" s="142">
        <v>0</v>
      </c>
      <c r="AE77" s="142">
        <v>0</v>
      </c>
      <c r="AF77" s="142">
        <v>0</v>
      </c>
      <c r="AG77" s="142">
        <v>0</v>
      </c>
      <c r="AH77" s="142">
        <v>0</v>
      </c>
      <c r="AI77" s="142">
        <v>0</v>
      </c>
      <c r="AJ77" s="142">
        <v>0</v>
      </c>
      <c r="AK77" s="142">
        <v>0</v>
      </c>
      <c r="AL77" s="142">
        <v>0</v>
      </c>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103"/>
      <c r="CR77" s="103"/>
      <c r="CS77" s="103"/>
      <c r="CT77" s="103"/>
      <c r="CU77" s="103"/>
      <c r="CV77" s="103"/>
      <c r="CW77" s="103"/>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row>
    <row r="78" spans="1:131">
      <c r="A78" s="79"/>
      <c r="B78" s="79" t="s">
        <v>401</v>
      </c>
      <c r="C78" s="142">
        <v>0</v>
      </c>
      <c r="D78" s="142">
        <v>0</v>
      </c>
      <c r="E78" s="142">
        <v>0</v>
      </c>
      <c r="F78" s="142">
        <v>0</v>
      </c>
      <c r="G78" s="142">
        <v>0</v>
      </c>
      <c r="H78" s="142">
        <v>0</v>
      </c>
      <c r="I78" s="142">
        <v>0</v>
      </c>
      <c r="J78" s="142">
        <v>0</v>
      </c>
      <c r="K78" s="142">
        <v>0</v>
      </c>
      <c r="L78" s="143">
        <v>0</v>
      </c>
      <c r="M78" s="142">
        <v>0</v>
      </c>
      <c r="N78" s="142">
        <v>0</v>
      </c>
      <c r="O78" s="142">
        <v>0</v>
      </c>
      <c r="P78" s="142">
        <v>0</v>
      </c>
      <c r="Q78" s="142">
        <v>0</v>
      </c>
      <c r="R78" s="142">
        <v>0</v>
      </c>
      <c r="S78" s="142">
        <v>0</v>
      </c>
      <c r="T78" s="142">
        <v>0</v>
      </c>
      <c r="U78" s="142">
        <v>0</v>
      </c>
      <c r="V78" s="142">
        <v>0</v>
      </c>
      <c r="W78" s="142">
        <v>0</v>
      </c>
      <c r="X78" s="142">
        <v>0</v>
      </c>
      <c r="Y78" s="142">
        <v>0</v>
      </c>
      <c r="Z78" s="142"/>
      <c r="AA78" s="142">
        <v>0</v>
      </c>
      <c r="AB78" s="142">
        <v>0</v>
      </c>
      <c r="AC78" s="142">
        <v>0</v>
      </c>
      <c r="AD78" s="142">
        <v>0</v>
      </c>
      <c r="AE78" s="142">
        <v>0</v>
      </c>
      <c r="AF78" s="142">
        <v>0</v>
      </c>
      <c r="AG78" s="142">
        <v>0</v>
      </c>
      <c r="AH78" s="142">
        <v>0</v>
      </c>
      <c r="AI78" s="142">
        <v>0</v>
      </c>
      <c r="AJ78" s="142">
        <v>0</v>
      </c>
      <c r="AK78" s="142">
        <v>0</v>
      </c>
      <c r="AL78" s="142">
        <v>0</v>
      </c>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103"/>
      <c r="CI78" s="103"/>
      <c r="CJ78" s="103"/>
      <c r="CK78" s="103"/>
      <c r="CL78" s="103"/>
      <c r="CM78" s="103"/>
      <c r="CN78" s="103"/>
      <c r="CO78" s="103"/>
      <c r="CP78" s="103"/>
      <c r="CQ78" s="103"/>
      <c r="CR78" s="103"/>
      <c r="CS78" s="103"/>
      <c r="CT78" s="103"/>
      <c r="CU78" s="103"/>
      <c r="CV78" s="103"/>
      <c r="CW78" s="103"/>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row>
    <row r="79" spans="1:131">
      <c r="A79" s="79"/>
      <c r="B79" s="79" t="s">
        <v>402</v>
      </c>
      <c r="C79" s="142">
        <v>0</v>
      </c>
      <c r="D79" s="142">
        <v>0</v>
      </c>
      <c r="E79" s="142">
        <v>0</v>
      </c>
      <c r="F79" s="142">
        <v>0</v>
      </c>
      <c r="G79" s="142">
        <v>0</v>
      </c>
      <c r="H79" s="142">
        <v>0</v>
      </c>
      <c r="I79" s="142">
        <v>0</v>
      </c>
      <c r="J79" s="142">
        <v>0</v>
      </c>
      <c r="K79" s="142">
        <v>0</v>
      </c>
      <c r="L79" s="143">
        <v>0</v>
      </c>
      <c r="M79" s="142">
        <v>0</v>
      </c>
      <c r="N79" s="142">
        <v>0</v>
      </c>
      <c r="O79" s="142">
        <v>0</v>
      </c>
      <c r="P79" s="142">
        <v>0</v>
      </c>
      <c r="Q79" s="142">
        <v>0</v>
      </c>
      <c r="R79" s="142">
        <v>0</v>
      </c>
      <c r="S79" s="142">
        <v>0</v>
      </c>
      <c r="T79" s="142">
        <v>0</v>
      </c>
      <c r="U79" s="142">
        <v>0</v>
      </c>
      <c r="V79" s="142">
        <v>0</v>
      </c>
      <c r="W79" s="142">
        <v>0</v>
      </c>
      <c r="X79" s="142">
        <v>0</v>
      </c>
      <c r="Y79" s="142">
        <v>0</v>
      </c>
      <c r="Z79" s="142"/>
      <c r="AA79" s="142">
        <v>0</v>
      </c>
      <c r="AB79" s="142">
        <v>0</v>
      </c>
      <c r="AC79" s="142">
        <v>0</v>
      </c>
      <c r="AD79" s="142">
        <v>0</v>
      </c>
      <c r="AE79" s="142">
        <v>0</v>
      </c>
      <c r="AF79" s="142">
        <v>0</v>
      </c>
      <c r="AG79" s="142">
        <v>0</v>
      </c>
      <c r="AH79" s="142">
        <v>0</v>
      </c>
      <c r="AI79" s="142">
        <v>0</v>
      </c>
      <c r="AJ79" s="142">
        <v>0</v>
      </c>
      <c r="AK79" s="142">
        <v>0</v>
      </c>
      <c r="AL79" s="142">
        <v>0</v>
      </c>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103"/>
      <c r="CI79" s="103"/>
      <c r="CJ79" s="103"/>
      <c r="CK79" s="103"/>
      <c r="CL79" s="103"/>
      <c r="CM79" s="103"/>
      <c r="CN79" s="103"/>
      <c r="CO79" s="103"/>
      <c r="CP79" s="103"/>
      <c r="CQ79" s="103"/>
      <c r="CR79" s="103"/>
      <c r="CS79" s="103"/>
      <c r="CT79" s="103"/>
      <c r="CU79" s="103"/>
      <c r="CV79" s="103"/>
      <c r="CW79" s="103"/>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row>
    <row r="80" spans="1:131">
      <c r="A80" s="79"/>
      <c r="B80" s="79" t="s">
        <v>403</v>
      </c>
      <c r="C80" s="142">
        <v>0</v>
      </c>
      <c r="D80" s="142">
        <v>0</v>
      </c>
      <c r="E80" s="142">
        <v>0</v>
      </c>
      <c r="F80" s="142">
        <v>0</v>
      </c>
      <c r="G80" s="142">
        <v>0</v>
      </c>
      <c r="H80" s="142">
        <v>0</v>
      </c>
      <c r="I80" s="142">
        <v>0</v>
      </c>
      <c r="J80" s="142">
        <v>0</v>
      </c>
      <c r="K80" s="142">
        <v>0</v>
      </c>
      <c r="L80" s="143">
        <v>0</v>
      </c>
      <c r="M80" s="142">
        <v>0</v>
      </c>
      <c r="N80" s="142">
        <v>0</v>
      </c>
      <c r="O80" s="142">
        <v>0</v>
      </c>
      <c r="P80" s="142">
        <v>0</v>
      </c>
      <c r="Q80" s="142">
        <v>0</v>
      </c>
      <c r="R80" s="142">
        <v>0</v>
      </c>
      <c r="S80" s="142">
        <v>0</v>
      </c>
      <c r="T80" s="142">
        <v>0</v>
      </c>
      <c r="U80" s="142">
        <v>0</v>
      </c>
      <c r="V80" s="142">
        <v>0</v>
      </c>
      <c r="W80" s="142">
        <v>0</v>
      </c>
      <c r="X80" s="142">
        <v>0</v>
      </c>
      <c r="Y80" s="142">
        <v>0</v>
      </c>
      <c r="Z80" s="142"/>
      <c r="AA80" s="142">
        <v>0</v>
      </c>
      <c r="AB80" s="142">
        <v>0</v>
      </c>
      <c r="AC80" s="142">
        <v>0</v>
      </c>
      <c r="AD80" s="142">
        <v>0</v>
      </c>
      <c r="AE80" s="142">
        <v>0</v>
      </c>
      <c r="AF80" s="142">
        <v>0</v>
      </c>
      <c r="AG80" s="142">
        <v>0</v>
      </c>
      <c r="AH80" s="142">
        <v>0</v>
      </c>
      <c r="AI80" s="142">
        <v>0</v>
      </c>
      <c r="AJ80" s="142">
        <v>0</v>
      </c>
      <c r="AK80" s="142">
        <v>0</v>
      </c>
      <c r="AL80" s="142">
        <v>0</v>
      </c>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row>
    <row r="81" spans="1:131">
      <c r="A81" s="79"/>
      <c r="B81" s="79" t="s">
        <v>404</v>
      </c>
      <c r="C81" s="142">
        <v>0</v>
      </c>
      <c r="D81" s="142">
        <v>0</v>
      </c>
      <c r="E81" s="142">
        <v>0</v>
      </c>
      <c r="F81" s="142">
        <v>0</v>
      </c>
      <c r="G81" s="142">
        <v>0</v>
      </c>
      <c r="H81" s="142">
        <v>0</v>
      </c>
      <c r="I81" s="142">
        <v>0</v>
      </c>
      <c r="J81" s="142">
        <v>0</v>
      </c>
      <c r="K81" s="142">
        <v>0</v>
      </c>
      <c r="L81" s="143">
        <v>0</v>
      </c>
      <c r="M81" s="142">
        <v>0</v>
      </c>
      <c r="N81" s="142">
        <v>0</v>
      </c>
      <c r="O81" s="142">
        <v>0</v>
      </c>
      <c r="P81" s="142">
        <v>0</v>
      </c>
      <c r="Q81" s="142">
        <v>0</v>
      </c>
      <c r="R81" s="142">
        <v>0</v>
      </c>
      <c r="S81" s="142">
        <v>0</v>
      </c>
      <c r="T81" s="142">
        <v>0</v>
      </c>
      <c r="U81" s="142">
        <v>0</v>
      </c>
      <c r="V81" s="142">
        <v>0</v>
      </c>
      <c r="W81" s="142">
        <v>0</v>
      </c>
      <c r="X81" s="142">
        <v>0</v>
      </c>
      <c r="Y81" s="142">
        <v>0</v>
      </c>
      <c r="Z81" s="142"/>
      <c r="AA81" s="142">
        <v>0</v>
      </c>
      <c r="AB81" s="142">
        <v>0</v>
      </c>
      <c r="AC81" s="142">
        <v>0</v>
      </c>
      <c r="AD81" s="142">
        <v>0</v>
      </c>
      <c r="AE81" s="142">
        <v>0</v>
      </c>
      <c r="AF81" s="142">
        <v>0</v>
      </c>
      <c r="AG81" s="142">
        <v>0</v>
      </c>
      <c r="AH81" s="142">
        <v>0</v>
      </c>
      <c r="AI81" s="142">
        <v>0</v>
      </c>
      <c r="AJ81" s="142">
        <v>0</v>
      </c>
      <c r="AK81" s="142">
        <v>0</v>
      </c>
      <c r="AL81" s="142">
        <v>0</v>
      </c>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row>
    <row r="82" spans="1:131">
      <c r="A82" s="79"/>
      <c r="B82" s="79" t="s">
        <v>405</v>
      </c>
      <c r="C82" s="142">
        <v>0</v>
      </c>
      <c r="D82" s="142">
        <v>0</v>
      </c>
      <c r="E82" s="142">
        <v>0</v>
      </c>
      <c r="F82" s="142">
        <v>0</v>
      </c>
      <c r="G82" s="142">
        <v>0</v>
      </c>
      <c r="H82" s="142">
        <v>0</v>
      </c>
      <c r="I82" s="142">
        <v>0</v>
      </c>
      <c r="J82" s="142">
        <v>0</v>
      </c>
      <c r="K82" s="142">
        <v>0</v>
      </c>
      <c r="L82" s="143">
        <v>0</v>
      </c>
      <c r="M82" s="142">
        <v>0</v>
      </c>
      <c r="N82" s="142">
        <v>0</v>
      </c>
      <c r="O82" s="142">
        <v>0</v>
      </c>
      <c r="P82" s="142">
        <v>0</v>
      </c>
      <c r="Q82" s="142">
        <v>0</v>
      </c>
      <c r="R82" s="142">
        <v>0</v>
      </c>
      <c r="S82" s="142">
        <v>0</v>
      </c>
      <c r="T82" s="142">
        <v>0</v>
      </c>
      <c r="U82" s="142">
        <v>0</v>
      </c>
      <c r="V82" s="142">
        <v>0</v>
      </c>
      <c r="W82" s="142">
        <v>0</v>
      </c>
      <c r="X82" s="142">
        <v>0</v>
      </c>
      <c r="Y82" s="142">
        <v>0</v>
      </c>
      <c r="Z82" s="142"/>
      <c r="AA82" s="142">
        <v>0</v>
      </c>
      <c r="AB82" s="142">
        <v>0</v>
      </c>
      <c r="AC82" s="142">
        <v>0</v>
      </c>
      <c r="AD82" s="142">
        <v>0</v>
      </c>
      <c r="AE82" s="142">
        <v>0</v>
      </c>
      <c r="AF82" s="142">
        <v>0</v>
      </c>
      <c r="AG82" s="142">
        <v>0</v>
      </c>
      <c r="AH82" s="142">
        <v>0</v>
      </c>
      <c r="AI82" s="142">
        <v>0</v>
      </c>
      <c r="AJ82" s="142">
        <v>0</v>
      </c>
      <c r="AK82" s="142">
        <v>0</v>
      </c>
      <c r="AL82" s="142">
        <v>0</v>
      </c>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c r="CJ82" s="103"/>
      <c r="CK82" s="103"/>
      <c r="CL82" s="103"/>
      <c r="CM82" s="103"/>
      <c r="CN82" s="103"/>
      <c r="CO82" s="103"/>
      <c r="CP82" s="103"/>
      <c r="CQ82" s="103"/>
      <c r="CR82" s="103"/>
      <c r="CS82" s="103"/>
      <c r="CT82" s="103"/>
      <c r="CU82" s="103"/>
      <c r="CV82" s="103"/>
      <c r="CW82" s="103"/>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row>
    <row r="83" spans="1:131">
      <c r="A83" s="79"/>
      <c r="B83" s="79" t="s">
        <v>406</v>
      </c>
      <c r="C83" s="142">
        <v>0</v>
      </c>
      <c r="D83" s="142">
        <v>0</v>
      </c>
      <c r="E83" s="142">
        <v>0</v>
      </c>
      <c r="F83" s="142">
        <v>0</v>
      </c>
      <c r="G83" s="142">
        <v>0</v>
      </c>
      <c r="H83" s="142">
        <v>0</v>
      </c>
      <c r="I83" s="142">
        <v>0</v>
      </c>
      <c r="J83" s="142">
        <v>0</v>
      </c>
      <c r="K83" s="142">
        <v>0</v>
      </c>
      <c r="L83" s="143">
        <v>0</v>
      </c>
      <c r="M83" s="142">
        <v>0</v>
      </c>
      <c r="N83" s="142">
        <v>0</v>
      </c>
      <c r="O83" s="142">
        <v>0</v>
      </c>
      <c r="P83" s="142">
        <v>0</v>
      </c>
      <c r="Q83" s="142">
        <v>0</v>
      </c>
      <c r="R83" s="142">
        <v>0</v>
      </c>
      <c r="S83" s="142">
        <v>0</v>
      </c>
      <c r="T83" s="142">
        <v>0</v>
      </c>
      <c r="U83" s="142">
        <v>0</v>
      </c>
      <c r="V83" s="142">
        <v>0</v>
      </c>
      <c r="W83" s="142">
        <v>0</v>
      </c>
      <c r="X83" s="142">
        <v>0</v>
      </c>
      <c r="Y83" s="142">
        <v>0</v>
      </c>
      <c r="Z83" s="142"/>
      <c r="AA83" s="142">
        <v>0</v>
      </c>
      <c r="AB83" s="142">
        <v>0</v>
      </c>
      <c r="AC83" s="142">
        <v>0</v>
      </c>
      <c r="AD83" s="142">
        <v>0</v>
      </c>
      <c r="AE83" s="142">
        <v>0</v>
      </c>
      <c r="AF83" s="142">
        <v>0</v>
      </c>
      <c r="AG83" s="142">
        <v>0</v>
      </c>
      <c r="AH83" s="142">
        <v>0</v>
      </c>
      <c r="AI83" s="142">
        <v>0</v>
      </c>
      <c r="AJ83" s="142">
        <v>0</v>
      </c>
      <c r="AK83" s="142">
        <v>0</v>
      </c>
      <c r="AL83" s="142">
        <v>0</v>
      </c>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c r="CJ83" s="103"/>
      <c r="CK83" s="103"/>
      <c r="CL83" s="103"/>
      <c r="CM83" s="103"/>
      <c r="CN83" s="103"/>
      <c r="CO83" s="103"/>
      <c r="CP83" s="103"/>
      <c r="CQ83" s="103"/>
      <c r="CR83" s="103"/>
      <c r="CS83" s="103"/>
      <c r="CT83" s="103"/>
      <c r="CU83" s="103"/>
      <c r="CV83" s="103"/>
      <c r="CW83" s="103"/>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row>
    <row r="84" spans="1:131">
      <c r="A84" s="79"/>
      <c r="B84" s="79" t="s">
        <v>407</v>
      </c>
      <c r="C84" s="142">
        <v>0</v>
      </c>
      <c r="D84" s="142">
        <v>0</v>
      </c>
      <c r="E84" s="142">
        <v>0</v>
      </c>
      <c r="F84" s="142">
        <v>0</v>
      </c>
      <c r="G84" s="142">
        <v>0</v>
      </c>
      <c r="H84" s="142">
        <v>0</v>
      </c>
      <c r="I84" s="142">
        <v>0</v>
      </c>
      <c r="J84" s="142">
        <v>0</v>
      </c>
      <c r="K84" s="142">
        <v>0</v>
      </c>
      <c r="L84" s="143">
        <v>0</v>
      </c>
      <c r="M84" s="142">
        <v>0</v>
      </c>
      <c r="N84" s="142">
        <v>0</v>
      </c>
      <c r="O84" s="142">
        <v>0</v>
      </c>
      <c r="P84" s="142">
        <v>0</v>
      </c>
      <c r="Q84" s="142">
        <v>0</v>
      </c>
      <c r="R84" s="142">
        <v>0</v>
      </c>
      <c r="S84" s="142">
        <v>0</v>
      </c>
      <c r="T84" s="142">
        <v>0</v>
      </c>
      <c r="U84" s="142">
        <v>0</v>
      </c>
      <c r="V84" s="142">
        <v>0</v>
      </c>
      <c r="W84" s="142">
        <v>0</v>
      </c>
      <c r="X84" s="142">
        <v>0</v>
      </c>
      <c r="Y84" s="142">
        <v>0</v>
      </c>
      <c r="Z84" s="142"/>
      <c r="AA84" s="142">
        <v>0</v>
      </c>
      <c r="AB84" s="142">
        <v>0</v>
      </c>
      <c r="AC84" s="142">
        <v>0</v>
      </c>
      <c r="AD84" s="142">
        <v>0</v>
      </c>
      <c r="AE84" s="142">
        <v>0</v>
      </c>
      <c r="AF84" s="142">
        <v>0</v>
      </c>
      <c r="AG84" s="142">
        <v>0</v>
      </c>
      <c r="AH84" s="142">
        <v>0</v>
      </c>
      <c r="AI84" s="142">
        <v>0</v>
      </c>
      <c r="AJ84" s="142">
        <v>0</v>
      </c>
      <c r="AK84" s="142">
        <v>0</v>
      </c>
      <c r="AL84" s="142">
        <v>0</v>
      </c>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103"/>
      <c r="CI84" s="103"/>
      <c r="CJ84" s="103"/>
      <c r="CK84" s="103"/>
      <c r="CL84" s="103"/>
      <c r="CM84" s="103"/>
      <c r="CN84" s="103"/>
      <c r="CO84" s="103"/>
      <c r="CP84" s="103"/>
      <c r="CQ84" s="103"/>
      <c r="CR84" s="103"/>
      <c r="CS84" s="103"/>
      <c r="CT84" s="103"/>
      <c r="CU84" s="103"/>
      <c r="CV84" s="103"/>
      <c r="CW84" s="103"/>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row>
    <row r="85" spans="1:131">
      <c r="A85" s="79"/>
      <c r="B85" s="79" t="s">
        <v>408</v>
      </c>
      <c r="C85" s="142">
        <v>0</v>
      </c>
      <c r="D85" s="142">
        <v>0</v>
      </c>
      <c r="E85" s="142">
        <v>0</v>
      </c>
      <c r="F85" s="142">
        <v>0</v>
      </c>
      <c r="G85" s="142">
        <v>0</v>
      </c>
      <c r="H85" s="142">
        <v>0</v>
      </c>
      <c r="I85" s="142">
        <v>0</v>
      </c>
      <c r="J85" s="142">
        <v>0</v>
      </c>
      <c r="K85" s="142">
        <v>0</v>
      </c>
      <c r="L85" s="143">
        <v>0</v>
      </c>
      <c r="M85" s="142">
        <v>0</v>
      </c>
      <c r="N85" s="142">
        <v>0</v>
      </c>
      <c r="O85" s="142">
        <v>0</v>
      </c>
      <c r="P85" s="142">
        <v>0</v>
      </c>
      <c r="Q85" s="142">
        <v>0</v>
      </c>
      <c r="R85" s="142">
        <v>0</v>
      </c>
      <c r="S85" s="142">
        <v>0</v>
      </c>
      <c r="T85" s="142">
        <v>0</v>
      </c>
      <c r="U85" s="142">
        <v>0</v>
      </c>
      <c r="V85" s="142">
        <v>0</v>
      </c>
      <c r="W85" s="142">
        <v>0</v>
      </c>
      <c r="X85" s="142">
        <v>0</v>
      </c>
      <c r="Y85" s="142">
        <v>0</v>
      </c>
      <c r="Z85" s="142"/>
      <c r="AA85" s="142">
        <v>0</v>
      </c>
      <c r="AB85" s="142">
        <v>0</v>
      </c>
      <c r="AC85" s="142">
        <v>0</v>
      </c>
      <c r="AD85" s="142">
        <v>0</v>
      </c>
      <c r="AE85" s="142">
        <v>0</v>
      </c>
      <c r="AF85" s="142">
        <v>0</v>
      </c>
      <c r="AG85" s="142">
        <v>0</v>
      </c>
      <c r="AH85" s="142">
        <v>0</v>
      </c>
      <c r="AI85" s="142">
        <v>0</v>
      </c>
      <c r="AJ85" s="142">
        <v>0</v>
      </c>
      <c r="AK85" s="142">
        <v>0</v>
      </c>
      <c r="AL85" s="142">
        <v>0</v>
      </c>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103"/>
      <c r="CI85" s="103"/>
      <c r="CJ85" s="103"/>
      <c r="CK85" s="103"/>
      <c r="CL85" s="103"/>
      <c r="CM85" s="103"/>
      <c r="CN85" s="103"/>
      <c r="CO85" s="103"/>
      <c r="CP85" s="103"/>
      <c r="CQ85" s="103"/>
      <c r="CR85" s="103"/>
      <c r="CS85" s="103"/>
      <c r="CT85" s="103"/>
      <c r="CU85" s="103"/>
      <c r="CV85" s="103"/>
      <c r="CW85" s="103"/>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row>
    <row r="86" spans="1:131">
      <c r="A86" s="79"/>
      <c r="B86" s="79" t="s">
        <v>409</v>
      </c>
      <c r="C86" s="142">
        <v>0</v>
      </c>
      <c r="D86" s="142">
        <v>0</v>
      </c>
      <c r="E86" s="142">
        <v>0</v>
      </c>
      <c r="F86" s="142">
        <v>0</v>
      </c>
      <c r="G86" s="142">
        <v>0</v>
      </c>
      <c r="H86" s="142">
        <v>0</v>
      </c>
      <c r="I86" s="142">
        <v>0</v>
      </c>
      <c r="J86" s="142">
        <v>0</v>
      </c>
      <c r="K86" s="142">
        <v>0</v>
      </c>
      <c r="L86" s="143">
        <v>0</v>
      </c>
      <c r="M86" s="142">
        <v>0</v>
      </c>
      <c r="N86" s="142">
        <v>0</v>
      </c>
      <c r="O86" s="142">
        <v>0</v>
      </c>
      <c r="P86" s="142">
        <v>0</v>
      </c>
      <c r="Q86" s="142">
        <v>0</v>
      </c>
      <c r="R86" s="142">
        <v>0</v>
      </c>
      <c r="S86" s="142">
        <v>0</v>
      </c>
      <c r="T86" s="142">
        <v>0</v>
      </c>
      <c r="U86" s="142">
        <v>0</v>
      </c>
      <c r="V86" s="142">
        <v>0</v>
      </c>
      <c r="W86" s="142">
        <v>0</v>
      </c>
      <c r="X86" s="142">
        <v>0</v>
      </c>
      <c r="Y86" s="142">
        <v>0</v>
      </c>
      <c r="Z86" s="142"/>
      <c r="AA86" s="142">
        <v>0</v>
      </c>
      <c r="AB86" s="142">
        <v>0</v>
      </c>
      <c r="AC86" s="142">
        <v>0</v>
      </c>
      <c r="AD86" s="142">
        <v>0</v>
      </c>
      <c r="AE86" s="142">
        <v>0</v>
      </c>
      <c r="AF86" s="142">
        <v>0</v>
      </c>
      <c r="AG86" s="142">
        <v>0</v>
      </c>
      <c r="AH86" s="142">
        <v>0</v>
      </c>
      <c r="AI86" s="142">
        <v>0</v>
      </c>
      <c r="AJ86" s="142">
        <v>0</v>
      </c>
      <c r="AK86" s="142">
        <v>0</v>
      </c>
      <c r="AL86" s="142">
        <v>0</v>
      </c>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103"/>
      <c r="CI86" s="103"/>
      <c r="CJ86" s="103"/>
      <c r="CK86" s="103"/>
      <c r="CL86" s="103"/>
      <c r="CM86" s="103"/>
      <c r="CN86" s="103"/>
      <c r="CO86" s="103"/>
      <c r="CP86" s="103"/>
      <c r="CQ86" s="103"/>
      <c r="CR86" s="103"/>
      <c r="CS86" s="103"/>
      <c r="CT86" s="103"/>
      <c r="CU86" s="103"/>
      <c r="CV86" s="103"/>
      <c r="CW86" s="103"/>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row>
    <row r="87" spans="1:131">
      <c r="A87" s="79"/>
      <c r="B87" s="79" t="s">
        <v>410</v>
      </c>
      <c r="C87" s="142">
        <v>0</v>
      </c>
      <c r="D87" s="142">
        <v>0</v>
      </c>
      <c r="E87" s="142">
        <v>0</v>
      </c>
      <c r="F87" s="142">
        <v>0</v>
      </c>
      <c r="G87" s="142">
        <v>0</v>
      </c>
      <c r="H87" s="142">
        <v>0</v>
      </c>
      <c r="I87" s="142">
        <v>0</v>
      </c>
      <c r="J87" s="142">
        <v>0</v>
      </c>
      <c r="K87" s="142">
        <v>0</v>
      </c>
      <c r="L87" s="143">
        <v>0</v>
      </c>
      <c r="M87" s="142">
        <v>0</v>
      </c>
      <c r="N87" s="142">
        <v>0</v>
      </c>
      <c r="O87" s="142">
        <v>0</v>
      </c>
      <c r="P87" s="142">
        <v>0</v>
      </c>
      <c r="Q87" s="142">
        <v>0</v>
      </c>
      <c r="R87" s="142">
        <v>0</v>
      </c>
      <c r="S87" s="142">
        <v>0</v>
      </c>
      <c r="T87" s="142">
        <v>0</v>
      </c>
      <c r="U87" s="142">
        <v>0</v>
      </c>
      <c r="V87" s="142">
        <v>0</v>
      </c>
      <c r="W87" s="142">
        <v>0</v>
      </c>
      <c r="X87" s="142">
        <v>0</v>
      </c>
      <c r="Y87" s="142">
        <v>0</v>
      </c>
      <c r="Z87" s="142"/>
      <c r="AA87" s="142">
        <v>0</v>
      </c>
      <c r="AB87" s="142">
        <v>0</v>
      </c>
      <c r="AC87" s="142">
        <v>0</v>
      </c>
      <c r="AD87" s="142">
        <v>0</v>
      </c>
      <c r="AE87" s="142">
        <v>0</v>
      </c>
      <c r="AF87" s="142">
        <v>0</v>
      </c>
      <c r="AG87" s="142">
        <v>0</v>
      </c>
      <c r="AH87" s="142">
        <v>0</v>
      </c>
      <c r="AI87" s="142">
        <v>0</v>
      </c>
      <c r="AJ87" s="142">
        <v>0</v>
      </c>
      <c r="AK87" s="142">
        <v>0</v>
      </c>
      <c r="AL87" s="142">
        <v>0</v>
      </c>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3"/>
      <c r="CT87" s="103"/>
      <c r="CU87" s="103"/>
      <c r="CV87" s="103"/>
      <c r="CW87" s="103"/>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row>
    <row r="88" spans="1:131">
      <c r="A88" s="79"/>
      <c r="B88" s="79" t="s">
        <v>411</v>
      </c>
      <c r="C88" s="142">
        <v>0</v>
      </c>
      <c r="D88" s="142">
        <v>0</v>
      </c>
      <c r="E88" s="142">
        <v>0</v>
      </c>
      <c r="F88" s="142">
        <v>0</v>
      </c>
      <c r="G88" s="142">
        <v>0</v>
      </c>
      <c r="H88" s="142">
        <v>0</v>
      </c>
      <c r="I88" s="142">
        <v>0</v>
      </c>
      <c r="J88" s="142">
        <v>0</v>
      </c>
      <c r="K88" s="142">
        <v>0</v>
      </c>
      <c r="L88" s="143">
        <v>0</v>
      </c>
      <c r="M88" s="142">
        <v>0</v>
      </c>
      <c r="N88" s="142">
        <v>0</v>
      </c>
      <c r="O88" s="142">
        <v>0</v>
      </c>
      <c r="P88" s="142">
        <v>0</v>
      </c>
      <c r="Q88" s="142">
        <v>0</v>
      </c>
      <c r="R88" s="142">
        <v>0</v>
      </c>
      <c r="S88" s="142">
        <v>0</v>
      </c>
      <c r="T88" s="142">
        <v>0</v>
      </c>
      <c r="U88" s="142">
        <v>0</v>
      </c>
      <c r="V88" s="142">
        <v>0</v>
      </c>
      <c r="W88" s="142">
        <v>0</v>
      </c>
      <c r="X88" s="142">
        <v>0</v>
      </c>
      <c r="Y88" s="142">
        <v>0</v>
      </c>
      <c r="Z88" s="142"/>
      <c r="AA88" s="142">
        <v>0</v>
      </c>
      <c r="AB88" s="142">
        <v>0</v>
      </c>
      <c r="AC88" s="142">
        <v>0</v>
      </c>
      <c r="AD88" s="142">
        <v>0</v>
      </c>
      <c r="AE88" s="142">
        <v>0</v>
      </c>
      <c r="AF88" s="142">
        <v>0</v>
      </c>
      <c r="AG88" s="142">
        <v>0</v>
      </c>
      <c r="AH88" s="142">
        <v>0</v>
      </c>
      <c r="AI88" s="142">
        <v>0</v>
      </c>
      <c r="AJ88" s="142">
        <v>0</v>
      </c>
      <c r="AK88" s="142">
        <v>0</v>
      </c>
      <c r="AL88" s="142">
        <v>0</v>
      </c>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103"/>
      <c r="CI88" s="103"/>
      <c r="CJ88" s="103"/>
      <c r="CK88" s="103"/>
      <c r="CL88" s="103"/>
      <c r="CM88" s="103"/>
      <c r="CN88" s="103"/>
      <c r="CO88" s="103"/>
      <c r="CP88" s="103"/>
      <c r="CQ88" s="103"/>
      <c r="CR88" s="103"/>
      <c r="CS88" s="103"/>
      <c r="CT88" s="103"/>
      <c r="CU88" s="103"/>
      <c r="CV88" s="103"/>
      <c r="CW88" s="103"/>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row>
    <row r="89" spans="1:131">
      <c r="A89" s="79"/>
      <c r="B89" s="79"/>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103"/>
      <c r="CI89" s="103"/>
      <c r="CJ89" s="103"/>
      <c r="CK89" s="103"/>
      <c r="CL89" s="103"/>
      <c r="CM89" s="103"/>
      <c r="CN89" s="103"/>
      <c r="CO89" s="103"/>
      <c r="CP89" s="103"/>
      <c r="CQ89" s="103"/>
      <c r="CR89" s="103"/>
      <c r="CS89" s="103"/>
      <c r="CT89" s="103"/>
      <c r="CU89" s="103"/>
      <c r="CV89" s="103"/>
      <c r="CW89" s="103"/>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row>
    <row r="90" spans="1:131">
      <c r="A90" s="79"/>
      <c r="B90" s="79"/>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103"/>
      <c r="CR90" s="103"/>
      <c r="CS90" s="103"/>
      <c r="CT90" s="103"/>
      <c r="CU90" s="103"/>
      <c r="CV90" s="103"/>
      <c r="CW90" s="103"/>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row>
    <row r="91" spans="1:131" ht="15.75" thickBot="1">
      <c r="A91" s="101" t="s">
        <v>175</v>
      </c>
      <c r="B91" s="102"/>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103"/>
      <c r="CI91" s="103"/>
      <c r="CJ91" s="103"/>
      <c r="CK91" s="103"/>
      <c r="CL91" s="103"/>
      <c r="CM91" s="103"/>
      <c r="CN91" s="103"/>
      <c r="CO91" s="103"/>
      <c r="CP91" s="103"/>
      <c r="CQ91" s="103"/>
      <c r="CR91" s="103"/>
      <c r="CS91" s="103"/>
      <c r="CT91" s="103"/>
      <c r="CU91" s="103"/>
      <c r="CV91" s="103"/>
      <c r="CW91" s="103"/>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row>
    <row r="92" spans="1:131" ht="15.75" thickBot="1">
      <c r="A92" s="104"/>
      <c r="B92" s="105"/>
      <c r="C92" s="106"/>
      <c r="D92" s="106"/>
      <c r="E92" s="106"/>
      <c r="F92" s="106"/>
      <c r="G92" s="106"/>
      <c r="H92" s="106"/>
      <c r="I92" s="106"/>
      <c r="J92" s="106"/>
      <c r="K92" s="106"/>
      <c r="L92" s="106"/>
      <c r="M92" s="106"/>
      <c r="N92" s="106"/>
      <c r="O92" s="107" t="s">
        <v>176</v>
      </c>
      <c r="P92" s="108"/>
      <c r="Q92" s="108"/>
      <c r="R92" s="108"/>
      <c r="S92" s="108"/>
      <c r="T92" s="108"/>
      <c r="U92" s="108"/>
      <c r="V92" s="108"/>
      <c r="W92" s="108"/>
      <c r="X92" s="108"/>
      <c r="Y92" s="108"/>
      <c r="Z92" s="109"/>
      <c r="AA92" s="106"/>
      <c r="AB92" s="107" t="s">
        <v>177</v>
      </c>
      <c r="AC92" s="108"/>
      <c r="AD92" s="108"/>
      <c r="AE92" s="108"/>
      <c r="AF92" s="108"/>
      <c r="AG92" s="108"/>
      <c r="AH92" s="108"/>
      <c r="AI92" s="108"/>
      <c r="AJ92" s="108"/>
      <c r="AK92" s="108"/>
      <c r="AL92" s="108"/>
      <c r="AM92" s="109"/>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103"/>
      <c r="CL92" s="103"/>
      <c r="CM92" s="103"/>
      <c r="CN92" s="103"/>
      <c r="CO92" s="103"/>
      <c r="CP92" s="103"/>
      <c r="CQ92" s="103"/>
      <c r="CR92" s="103"/>
      <c r="CS92" s="103"/>
      <c r="CT92" s="103"/>
      <c r="CU92" s="103"/>
      <c r="CV92" s="103"/>
      <c r="CW92" s="103"/>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row>
    <row r="93" spans="1:131" ht="102.75">
      <c r="A93" s="110" t="s">
        <v>178</v>
      </c>
      <c r="B93" s="111" t="s">
        <v>179</v>
      </c>
      <c r="C93" s="112" t="s">
        <v>180</v>
      </c>
      <c r="D93" s="112" t="s">
        <v>12</v>
      </c>
      <c r="E93" s="112" t="s">
        <v>181</v>
      </c>
      <c r="F93" s="112" t="s">
        <v>182</v>
      </c>
      <c r="G93" s="112" t="s">
        <v>183</v>
      </c>
      <c r="H93" s="112" t="s">
        <v>184</v>
      </c>
      <c r="I93" s="112" t="s">
        <v>185</v>
      </c>
      <c r="J93" s="112" t="s">
        <v>186</v>
      </c>
      <c r="K93" s="112" t="s">
        <v>187</v>
      </c>
      <c r="L93" s="112" t="s">
        <v>188</v>
      </c>
      <c r="M93" s="112" t="s">
        <v>189</v>
      </c>
      <c r="N93" s="112" t="s">
        <v>190</v>
      </c>
      <c r="O93" s="112" t="s">
        <v>191</v>
      </c>
      <c r="P93" s="112" t="s">
        <v>192</v>
      </c>
      <c r="Q93" s="112" t="s">
        <v>193</v>
      </c>
      <c r="R93" s="112" t="s">
        <v>194</v>
      </c>
      <c r="S93" s="112" t="s">
        <v>195</v>
      </c>
      <c r="T93" s="112" t="s">
        <v>196</v>
      </c>
      <c r="U93" s="112" t="s">
        <v>197</v>
      </c>
      <c r="V93" s="112" t="s">
        <v>198</v>
      </c>
      <c r="W93" s="112" t="s">
        <v>199</v>
      </c>
      <c r="X93" s="112" t="s">
        <v>200</v>
      </c>
      <c r="Y93" s="112" t="s">
        <v>201</v>
      </c>
      <c r="Z93" s="112" t="s">
        <v>202</v>
      </c>
      <c r="AA93" s="112"/>
      <c r="AB93" s="112" t="s">
        <v>191</v>
      </c>
      <c r="AC93" s="112" t="s">
        <v>192</v>
      </c>
      <c r="AD93" s="112" t="s">
        <v>193</v>
      </c>
      <c r="AE93" s="112" t="s">
        <v>194</v>
      </c>
      <c r="AF93" s="112" t="s">
        <v>195</v>
      </c>
      <c r="AG93" s="112" t="s">
        <v>196</v>
      </c>
      <c r="AH93" s="112" t="s">
        <v>197</v>
      </c>
      <c r="AI93" s="112" t="s">
        <v>198</v>
      </c>
      <c r="AJ93" s="112" t="s">
        <v>199</v>
      </c>
      <c r="AK93" s="112" t="s">
        <v>200</v>
      </c>
      <c r="AL93" s="112" t="s">
        <v>201</v>
      </c>
      <c r="AM93" s="112" t="s">
        <v>202</v>
      </c>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103"/>
      <c r="CR93" s="103"/>
      <c r="CS93" s="103"/>
      <c r="CT93" s="103"/>
      <c r="CU93" s="103"/>
      <c r="CV93" s="103"/>
      <c r="CW93" s="103"/>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row>
    <row r="94" spans="1:131">
      <c r="A94" s="79" t="s">
        <v>203</v>
      </c>
      <c r="B94" s="79"/>
      <c r="C94" s="113">
        <v>1658.8489688773964</v>
      </c>
      <c r="D94" s="113">
        <v>356.58923434217837</v>
      </c>
      <c r="E94" s="113">
        <v>71.31784686843568</v>
      </c>
      <c r="F94" s="113">
        <v>427.90708121061402</v>
      </c>
      <c r="G94" s="113">
        <v>830.31718788400326</v>
      </c>
      <c r="H94" s="113">
        <v>995.88744206600791</v>
      </c>
      <c r="I94" s="113">
        <v>2259.6789109388919</v>
      </c>
      <c r="J94" s="113">
        <v>6.4755631858574585</v>
      </c>
      <c r="K94" s="113">
        <v>29.699589688181337</v>
      </c>
      <c r="L94" s="134">
        <v>1.1994060301268088</v>
      </c>
      <c r="M94" s="113">
        <v>15.759194720379217</v>
      </c>
      <c r="N94" s="113">
        <v>0.2083451628546675</v>
      </c>
      <c r="O94" s="113">
        <v>80.114820583742315</v>
      </c>
      <c r="P94" s="113">
        <v>75.276235480578862</v>
      </c>
      <c r="Q94" s="113">
        <v>85.380663470248152</v>
      </c>
      <c r="R94" s="113">
        <v>77.794487668881743</v>
      </c>
      <c r="S94" s="113">
        <v>79.791118945435272</v>
      </c>
      <c r="T94" s="113">
        <v>79.536821389854666</v>
      </c>
      <c r="U94" s="113">
        <v>76.156286541187455</v>
      </c>
      <c r="V94" s="113">
        <v>86.8750726301881</v>
      </c>
      <c r="W94" s="113">
        <v>74.826608915807711</v>
      </c>
      <c r="X94" s="113">
        <v>85.010618673183387</v>
      </c>
      <c r="Y94" s="113">
        <v>73.465954614449188</v>
      </c>
      <c r="Z94" s="113">
        <v>74.801163461287786</v>
      </c>
      <c r="AA94" s="113"/>
      <c r="AB94" s="113">
        <v>64.498354299608351</v>
      </c>
      <c r="AC94" s="113">
        <v>58.016562779748021</v>
      </c>
      <c r="AD94" s="113">
        <v>57.703911153071353</v>
      </c>
      <c r="AE94" s="113">
        <v>57.983918613796597</v>
      </c>
      <c r="AF94" s="113">
        <v>58.732966212783417</v>
      </c>
      <c r="AG94" s="113">
        <v>54.447339341574377</v>
      </c>
      <c r="AH94" s="113">
        <v>61.216070699572775</v>
      </c>
      <c r="AI94" s="113">
        <v>58.338770127816346</v>
      </c>
      <c r="AJ94" s="113">
        <v>61.013344525619971</v>
      </c>
      <c r="AK94" s="113">
        <v>57.236678520878947</v>
      </c>
      <c r="AL94" s="113">
        <v>60.197394865299678</v>
      </c>
      <c r="AM94" s="103">
        <v>60.433805362781712</v>
      </c>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103"/>
      <c r="CI94" s="103"/>
      <c r="CJ94" s="103"/>
      <c r="CK94" s="103"/>
      <c r="CL94" s="103"/>
      <c r="CM94" s="103"/>
      <c r="CN94" s="103"/>
      <c r="CO94" s="103"/>
      <c r="CP94" s="103"/>
      <c r="CQ94" s="103"/>
      <c r="CR94" s="103"/>
      <c r="CS94" s="103"/>
      <c r="CT94" s="103"/>
      <c r="CU94" s="103"/>
      <c r="CV94" s="103"/>
      <c r="CW94" s="103"/>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row>
    <row r="95" spans="1:131">
      <c r="A95" s="79" t="s">
        <v>204</v>
      </c>
      <c r="B95" s="79"/>
      <c r="C95" s="113">
        <v>1658.8489688773964</v>
      </c>
      <c r="D95" s="113">
        <v>484.7925975406369</v>
      </c>
      <c r="E95" s="113">
        <v>96.958519508127381</v>
      </c>
      <c r="F95" s="113">
        <v>581.75111704876429</v>
      </c>
      <c r="G95" s="113">
        <v>1128.8384155497495</v>
      </c>
      <c r="H95" s="113">
        <v>995.88744206600791</v>
      </c>
      <c r="I95" s="113">
        <v>3072.0938921859288</v>
      </c>
      <c r="J95" s="113">
        <v>11.367444439786548</v>
      </c>
      <c r="K95" s="113">
        <v>42.941129366601679</v>
      </c>
      <c r="L95" s="114">
        <v>0.88222320249528907</v>
      </c>
      <c r="M95" s="113">
        <v>15.759194720379217</v>
      </c>
      <c r="N95" s="113">
        <v>0.2083451628546675</v>
      </c>
      <c r="O95" s="113">
        <v>80.114820583742315</v>
      </c>
      <c r="P95" s="113">
        <v>75.276235480578862</v>
      </c>
      <c r="Q95" s="113">
        <v>85.380663470248152</v>
      </c>
      <c r="R95" s="113">
        <v>77.794487668881743</v>
      </c>
      <c r="S95" s="113">
        <v>79.791118945435272</v>
      </c>
      <c r="T95" s="113">
        <v>79.536821389854666</v>
      </c>
      <c r="U95" s="113">
        <v>76.156286541187455</v>
      </c>
      <c r="V95" s="113">
        <v>86.8750726301881</v>
      </c>
      <c r="W95" s="113">
        <v>74.826608915807711</v>
      </c>
      <c r="X95" s="113">
        <v>85.010618673183387</v>
      </c>
      <c r="Y95" s="113">
        <v>73.465954614449188</v>
      </c>
      <c r="Z95" s="113">
        <v>74.801163461287786</v>
      </c>
      <c r="AA95" s="113"/>
      <c r="AB95" s="113">
        <v>64.498354299608351</v>
      </c>
      <c r="AC95" s="113">
        <v>58.016562779748021</v>
      </c>
      <c r="AD95" s="113">
        <v>57.703911153071353</v>
      </c>
      <c r="AE95" s="113">
        <v>57.983918613796597</v>
      </c>
      <c r="AF95" s="113">
        <v>58.732966212783417</v>
      </c>
      <c r="AG95" s="113">
        <v>54.447339341574377</v>
      </c>
      <c r="AH95" s="113">
        <v>61.216070699572775</v>
      </c>
      <c r="AI95" s="113">
        <v>58.338770127816346</v>
      </c>
      <c r="AJ95" s="113">
        <v>61.013344525619971</v>
      </c>
      <c r="AK95" s="113">
        <v>57.236678520878947</v>
      </c>
      <c r="AL95" s="113">
        <v>60.197394865299678</v>
      </c>
      <c r="AM95" s="103">
        <v>60.433805362781712</v>
      </c>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103"/>
      <c r="CI95" s="103"/>
      <c r="CJ95" s="103"/>
      <c r="CK95" s="103"/>
      <c r="CL95" s="103"/>
      <c r="CM95" s="103"/>
      <c r="CN95" s="103"/>
      <c r="CO95" s="103"/>
      <c r="CP95" s="103"/>
      <c r="CQ95" s="103"/>
      <c r="CR95" s="103"/>
      <c r="CS95" s="103"/>
      <c r="CT95" s="103"/>
      <c r="CU95" s="103"/>
      <c r="CV95" s="103"/>
      <c r="CW95" s="103"/>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row>
    <row r="96" spans="1:131">
      <c r="A96" s="79" t="s">
        <v>205</v>
      </c>
      <c r="B96" s="79"/>
      <c r="C96" s="113">
        <v>1443.3335761052115</v>
      </c>
      <c r="D96" s="113">
        <v>447.49652763248179</v>
      </c>
      <c r="E96" s="113">
        <v>89.499305526496357</v>
      </c>
      <c r="F96" s="113">
        <v>536.99583315897814</v>
      </c>
      <c r="G96" s="113">
        <v>1041.9946050729911</v>
      </c>
      <c r="H96" s="113">
        <v>866.50310554079113</v>
      </c>
      <c r="I96" s="113">
        <v>3259.179704782081</v>
      </c>
      <c r="J96" s="113">
        <v>12.493964261110371</v>
      </c>
      <c r="K96" s="113">
        <v>45.990438239462286</v>
      </c>
      <c r="L96" s="114">
        <v>0.83158118220784172</v>
      </c>
      <c r="M96" s="113">
        <v>13.711781662495888</v>
      </c>
      <c r="N96" s="113">
        <v>0.18127724380523469</v>
      </c>
      <c r="O96" s="113">
        <v>69.706412495414142</v>
      </c>
      <c r="P96" s="113">
        <v>65.496449761456248</v>
      </c>
      <c r="Q96" s="113">
        <v>74.288124264950397</v>
      </c>
      <c r="R96" s="113">
        <v>67.687534064289252</v>
      </c>
      <c r="S96" s="113">
        <v>69.424765731920658</v>
      </c>
      <c r="T96" s="113">
        <v>69.203506167501516</v>
      </c>
      <c r="U96" s="113">
        <v>66.26216579003659</v>
      </c>
      <c r="V96" s="113">
        <v>75.58838182754225</v>
      </c>
      <c r="W96" s="113">
        <v>65.105238065986342</v>
      </c>
      <c r="X96" s="113">
        <v>73.96615518260046</v>
      </c>
      <c r="Y96" s="113">
        <v>63.921358113399847</v>
      </c>
      <c r="Z96" s="113">
        <v>65.083098450170255</v>
      </c>
      <c r="AA96" s="113"/>
      <c r="AB96" s="113">
        <v>56.118816185631331</v>
      </c>
      <c r="AC96" s="113">
        <v>50.479130168730357</v>
      </c>
      <c r="AD96" s="113">
        <v>50.207097814445731</v>
      </c>
      <c r="AE96" s="113">
        <v>50.450727088241649</v>
      </c>
      <c r="AF96" s="113">
        <v>51.102459446040505</v>
      </c>
      <c r="AG96" s="113">
        <v>47.373615365641342</v>
      </c>
      <c r="AH96" s="113">
        <v>53.262962388744185</v>
      </c>
      <c r="AI96" s="113">
        <v>50.759476778132388</v>
      </c>
      <c r="AJ96" s="113">
        <v>53.086574122475774</v>
      </c>
      <c r="AK96" s="113">
        <v>49.800567407791718</v>
      </c>
      <c r="AL96" s="113">
        <v>52.376631527792838</v>
      </c>
      <c r="AM96" s="103">
        <v>52.582327896275665</v>
      </c>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03"/>
      <c r="CR96" s="103"/>
      <c r="CS96" s="103"/>
      <c r="CT96" s="103"/>
      <c r="CU96" s="103"/>
      <c r="CV96" s="103"/>
      <c r="CW96" s="103"/>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row>
    <row r="97" spans="1:131">
      <c r="A97" s="79" t="s">
        <v>206</v>
      </c>
      <c r="B97" s="79"/>
      <c r="C97" s="113">
        <v>1443.3335761052115</v>
      </c>
      <c r="D97" s="113">
        <v>581.53386844220199</v>
      </c>
      <c r="E97" s="113">
        <v>116.3067736884404</v>
      </c>
      <c r="F97" s="113">
        <v>697.84064213064244</v>
      </c>
      <c r="G97" s="113">
        <v>1354.10023579369</v>
      </c>
      <c r="H97" s="113">
        <v>866.50310554079113</v>
      </c>
      <c r="I97" s="113">
        <v>4235.3923765567661</v>
      </c>
      <c r="J97" s="113">
        <v>18.372138075153426</v>
      </c>
      <c r="K97" s="113">
        <v>61.901714036025368</v>
      </c>
      <c r="L97" s="114">
        <v>0.63991060826667712</v>
      </c>
      <c r="M97" s="113">
        <v>13.711781662495888</v>
      </c>
      <c r="N97" s="113">
        <v>0.18127724380523469</v>
      </c>
      <c r="O97" s="113">
        <v>69.706412495414142</v>
      </c>
      <c r="P97" s="113">
        <v>65.496449761456248</v>
      </c>
      <c r="Q97" s="113">
        <v>74.288124264950397</v>
      </c>
      <c r="R97" s="113">
        <v>67.687534064289252</v>
      </c>
      <c r="S97" s="113">
        <v>69.424765731920658</v>
      </c>
      <c r="T97" s="113">
        <v>69.203506167501516</v>
      </c>
      <c r="U97" s="113">
        <v>66.26216579003659</v>
      </c>
      <c r="V97" s="113">
        <v>75.58838182754225</v>
      </c>
      <c r="W97" s="113">
        <v>65.105238065986342</v>
      </c>
      <c r="X97" s="113">
        <v>73.96615518260046</v>
      </c>
      <c r="Y97" s="113">
        <v>63.921358113399847</v>
      </c>
      <c r="Z97" s="113">
        <v>65.083098450170255</v>
      </c>
      <c r="AA97" s="113"/>
      <c r="AB97" s="113">
        <v>56.118816185631331</v>
      </c>
      <c r="AC97" s="113">
        <v>50.479130168730357</v>
      </c>
      <c r="AD97" s="113">
        <v>50.207097814445731</v>
      </c>
      <c r="AE97" s="113">
        <v>50.450727088241649</v>
      </c>
      <c r="AF97" s="113">
        <v>51.102459446040505</v>
      </c>
      <c r="AG97" s="113">
        <v>47.373615365641342</v>
      </c>
      <c r="AH97" s="113">
        <v>53.262962388744185</v>
      </c>
      <c r="AI97" s="113">
        <v>50.759476778132388</v>
      </c>
      <c r="AJ97" s="113">
        <v>53.086574122475774</v>
      </c>
      <c r="AK97" s="113">
        <v>49.800567407791718</v>
      </c>
      <c r="AL97" s="113">
        <v>52.376631527792838</v>
      </c>
      <c r="AM97" s="103">
        <v>52.582327896275665</v>
      </c>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c r="CH97" s="103"/>
      <c r="CI97" s="103"/>
      <c r="CJ97" s="103"/>
      <c r="CK97" s="103"/>
      <c r="CL97" s="103"/>
      <c r="CM97" s="103"/>
      <c r="CN97" s="103"/>
      <c r="CO97" s="103"/>
      <c r="CP97" s="103"/>
      <c r="CQ97" s="103"/>
      <c r="CR97" s="103"/>
      <c r="CS97" s="103"/>
      <c r="CT97" s="103"/>
      <c r="CU97" s="103"/>
      <c r="CV97" s="103"/>
      <c r="CW97" s="103"/>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row>
    <row r="98" spans="1:131">
      <c r="A98" s="79" t="s">
        <v>207</v>
      </c>
      <c r="B98" s="79"/>
      <c r="C98" s="113">
        <v>1282.3061694466355</v>
      </c>
      <c r="D98" s="113">
        <v>545.41057057919818</v>
      </c>
      <c r="E98" s="113">
        <v>109.08211411583964</v>
      </c>
      <c r="F98" s="113">
        <v>654.49268469503784</v>
      </c>
      <c r="G98" s="113">
        <v>1269.9872222473418</v>
      </c>
      <c r="H98" s="113">
        <v>769.8305481661082</v>
      </c>
      <c r="I98" s="113">
        <v>4471.128701192084</v>
      </c>
      <c r="J98" s="113">
        <v>19.791602430160179</v>
      </c>
      <c r="K98" s="113">
        <v>65.743976879962702</v>
      </c>
      <c r="L98" s="114">
        <v>0.60617188478781125</v>
      </c>
      <c r="M98" s="113">
        <v>12.182008726887725</v>
      </c>
      <c r="N98" s="113">
        <v>0.16105280993947424</v>
      </c>
      <c r="O98" s="113">
        <v>61.929525005622054</v>
      </c>
      <c r="P98" s="113">
        <v>58.189252295094384</v>
      </c>
      <c r="Q98" s="113">
        <v>66.000072082172792</v>
      </c>
      <c r="R98" s="113">
        <v>60.135885399052349</v>
      </c>
      <c r="S98" s="113">
        <v>61.679300533323037</v>
      </c>
      <c r="T98" s="113">
        <v>61.482726082897408</v>
      </c>
      <c r="U98" s="113">
        <v>58.869540208954412</v>
      </c>
      <c r="V98" s="113">
        <v>67.155264701525837</v>
      </c>
      <c r="W98" s="113">
        <v>57.841686646400454</v>
      </c>
      <c r="X98" s="113">
        <v>65.714023903495701</v>
      </c>
      <c r="Y98" s="113">
        <v>56.789887816096517</v>
      </c>
      <c r="Z98" s="113">
        <v>57.822017065909733</v>
      </c>
      <c r="AA98" s="113"/>
      <c r="AB98" s="113">
        <v>49.857846729418242</v>
      </c>
      <c r="AC98" s="113">
        <v>44.847359692368343</v>
      </c>
      <c r="AD98" s="113">
        <v>44.605676985083463</v>
      </c>
      <c r="AE98" s="113">
        <v>44.822125438870103</v>
      </c>
      <c r="AF98" s="113">
        <v>45.401146419930235</v>
      </c>
      <c r="AG98" s="113">
        <v>42.088315728287085</v>
      </c>
      <c r="AH98" s="113">
        <v>47.320610013379259</v>
      </c>
      <c r="AI98" s="113">
        <v>45.096429063975243</v>
      </c>
      <c r="AJ98" s="113">
        <v>47.163900735774611</v>
      </c>
      <c r="AK98" s="113">
        <v>44.244501677344289</v>
      </c>
      <c r="AL98" s="113">
        <v>46.533163819384527</v>
      </c>
      <c r="AM98" s="103">
        <v>46.715911402275282</v>
      </c>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c r="CH98" s="103"/>
      <c r="CI98" s="103"/>
      <c r="CJ98" s="103"/>
      <c r="CK98" s="103"/>
      <c r="CL98" s="103"/>
      <c r="CM98" s="103"/>
      <c r="CN98" s="103"/>
      <c r="CO98" s="103"/>
      <c r="CP98" s="103"/>
      <c r="CQ98" s="103"/>
      <c r="CR98" s="103"/>
      <c r="CS98" s="103"/>
      <c r="CT98" s="103"/>
      <c r="CU98" s="103"/>
      <c r="CV98" s="103"/>
      <c r="CW98" s="103"/>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row>
    <row r="99" spans="1:131">
      <c r="A99" s="79" t="s">
        <v>208</v>
      </c>
      <c r="B99" s="79"/>
      <c r="C99" s="113">
        <v>1282.3061694466355</v>
      </c>
      <c r="D99" s="113">
        <v>678.27513934376702</v>
      </c>
      <c r="E99" s="113">
        <v>135.65502786875342</v>
      </c>
      <c r="F99" s="113">
        <v>813.93016721252047</v>
      </c>
      <c r="G99" s="113">
        <v>1579.3620560376301</v>
      </c>
      <c r="H99" s="113">
        <v>769.8305481661082</v>
      </c>
      <c r="I99" s="113">
        <v>5560.3165879320077</v>
      </c>
      <c r="J99" s="113">
        <v>26.350045994274488</v>
      </c>
      <c r="K99" s="113">
        <v>83.496634022477835</v>
      </c>
      <c r="L99" s="114">
        <v>0.48743133040532294</v>
      </c>
      <c r="M99" s="113">
        <v>12.182008726887725</v>
      </c>
      <c r="N99" s="113">
        <v>0.16105280993947424</v>
      </c>
      <c r="O99" s="113">
        <v>61.929525005622054</v>
      </c>
      <c r="P99" s="113">
        <v>58.189252295094384</v>
      </c>
      <c r="Q99" s="113">
        <v>66.000072082172792</v>
      </c>
      <c r="R99" s="113">
        <v>60.135885399052349</v>
      </c>
      <c r="S99" s="113">
        <v>61.679300533323037</v>
      </c>
      <c r="T99" s="113">
        <v>61.482726082897408</v>
      </c>
      <c r="U99" s="113">
        <v>58.869540208954412</v>
      </c>
      <c r="V99" s="113">
        <v>67.155264701525837</v>
      </c>
      <c r="W99" s="113">
        <v>57.841686646400454</v>
      </c>
      <c r="X99" s="113">
        <v>65.714023903495701</v>
      </c>
      <c r="Y99" s="113">
        <v>56.789887816096517</v>
      </c>
      <c r="Z99" s="113">
        <v>57.822017065909733</v>
      </c>
      <c r="AA99" s="113"/>
      <c r="AB99" s="113">
        <v>49.857846729418242</v>
      </c>
      <c r="AC99" s="113">
        <v>44.847359692368343</v>
      </c>
      <c r="AD99" s="113">
        <v>44.605676985083463</v>
      </c>
      <c r="AE99" s="113">
        <v>44.822125438870103</v>
      </c>
      <c r="AF99" s="113">
        <v>45.401146419930235</v>
      </c>
      <c r="AG99" s="113">
        <v>42.088315728287085</v>
      </c>
      <c r="AH99" s="113">
        <v>47.320610013379259</v>
      </c>
      <c r="AI99" s="113">
        <v>45.096429063975243</v>
      </c>
      <c r="AJ99" s="113">
        <v>47.163900735774611</v>
      </c>
      <c r="AK99" s="113">
        <v>44.244501677344289</v>
      </c>
      <c r="AL99" s="113">
        <v>46.533163819384527</v>
      </c>
      <c r="AM99" s="103">
        <v>46.715911402275282</v>
      </c>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103"/>
      <c r="CD99" s="103"/>
      <c r="CE99" s="103"/>
      <c r="CF99" s="103"/>
      <c r="CG99" s="103"/>
      <c r="CH99" s="103"/>
      <c r="CI99" s="103"/>
      <c r="CJ99" s="103"/>
      <c r="CK99" s="103"/>
      <c r="CL99" s="103"/>
      <c r="CM99" s="103"/>
      <c r="CN99" s="103"/>
      <c r="CO99" s="103"/>
      <c r="CP99" s="103"/>
      <c r="CQ99" s="103"/>
      <c r="CR99" s="103"/>
      <c r="CS99" s="103"/>
      <c r="CT99" s="103"/>
      <c r="CU99" s="103"/>
      <c r="CV99" s="103"/>
      <c r="CW99" s="103"/>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row>
    <row r="100" spans="1:131">
      <c r="A100" s="79"/>
      <c r="B100" s="79"/>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c r="CA100" s="103"/>
      <c r="CB100" s="103"/>
      <c r="CC100" s="103"/>
      <c r="CD100" s="103"/>
      <c r="CE100" s="103"/>
      <c r="CF100" s="103"/>
      <c r="CG100" s="103"/>
      <c r="CH100" s="103"/>
      <c r="CI100" s="103"/>
      <c r="CJ100" s="103"/>
      <c r="CK100" s="103"/>
      <c r="CL100" s="103"/>
      <c r="CM100" s="103"/>
      <c r="CN100" s="103"/>
      <c r="CO100" s="103"/>
      <c r="CP100" s="103"/>
      <c r="CQ100" s="103"/>
      <c r="CR100" s="103"/>
      <c r="CS100" s="103"/>
      <c r="CT100" s="103"/>
      <c r="CU100" s="103"/>
      <c r="CV100" s="103"/>
      <c r="CW100" s="103"/>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row>
  </sheetData>
  <mergeCells count="3">
    <mergeCell ref="I6:N6"/>
    <mergeCell ref="O6:P6"/>
    <mergeCell ref="R6:T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sheetPr>
    <tabColor rgb="FFFFC000"/>
  </sheetPr>
  <dimension ref="A1:EA10"/>
  <sheetViews>
    <sheetView workbookViewId="0">
      <selection sqref="A1:EA10"/>
    </sheetView>
  </sheetViews>
  <sheetFormatPr defaultRowHeight="15"/>
  <cols>
    <col min="1" max="1" width="60.42578125" customWidth="1"/>
    <col min="9" max="9" width="13.85546875" customWidth="1"/>
    <col min="10" max="10" width="16.5703125" customWidth="1"/>
    <col min="11" max="11" width="12.85546875" customWidth="1"/>
  </cols>
  <sheetData>
    <row r="1" spans="1:131" ht="15.75" thickBot="1">
      <c r="A1" s="101" t="s">
        <v>175</v>
      </c>
      <c r="B1" s="10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row>
    <row r="2" spans="1:131" ht="15.75" thickBot="1">
      <c r="A2" s="104"/>
      <c r="B2" s="105"/>
      <c r="C2" s="106"/>
      <c r="D2" s="106"/>
      <c r="E2" s="106"/>
      <c r="F2" s="106"/>
      <c r="G2" s="106"/>
      <c r="H2" s="106"/>
      <c r="I2" s="106"/>
      <c r="J2" s="106"/>
      <c r="K2" s="106"/>
      <c r="L2" s="106"/>
      <c r="M2" s="106"/>
      <c r="N2" s="106"/>
      <c r="O2" s="107" t="s">
        <v>176</v>
      </c>
      <c r="P2" s="108"/>
      <c r="Q2" s="108"/>
      <c r="R2" s="108"/>
      <c r="S2" s="108"/>
      <c r="T2" s="108"/>
      <c r="U2" s="108"/>
      <c r="V2" s="108"/>
      <c r="W2" s="108"/>
      <c r="X2" s="108"/>
      <c r="Y2" s="108"/>
      <c r="Z2" s="109"/>
      <c r="AA2" s="106"/>
      <c r="AB2" s="107" t="s">
        <v>177</v>
      </c>
      <c r="AC2" s="108"/>
      <c r="AD2" s="108"/>
      <c r="AE2" s="108"/>
      <c r="AF2" s="108"/>
      <c r="AG2" s="108"/>
      <c r="AH2" s="108"/>
      <c r="AI2" s="108"/>
      <c r="AJ2" s="108"/>
      <c r="AK2" s="108"/>
      <c r="AL2" s="108"/>
      <c r="AM2" s="109"/>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row>
    <row r="3" spans="1:131" ht="102.75">
      <c r="A3" s="110" t="s">
        <v>178</v>
      </c>
      <c r="B3" s="111" t="s">
        <v>179</v>
      </c>
      <c r="C3" s="112" t="s">
        <v>180</v>
      </c>
      <c r="D3" s="112" t="s">
        <v>12</v>
      </c>
      <c r="E3" s="112" t="s">
        <v>181</v>
      </c>
      <c r="F3" s="112" t="s">
        <v>182</v>
      </c>
      <c r="G3" s="112" t="s">
        <v>183</v>
      </c>
      <c r="H3" s="112" t="s">
        <v>184</v>
      </c>
      <c r="I3" s="112" t="s">
        <v>185</v>
      </c>
      <c r="J3" s="112" t="s">
        <v>186</v>
      </c>
      <c r="K3" s="112" t="s">
        <v>187</v>
      </c>
      <c r="L3" s="112" t="s">
        <v>188</v>
      </c>
      <c r="M3" s="112" t="s">
        <v>189</v>
      </c>
      <c r="N3" s="112" t="s">
        <v>190</v>
      </c>
      <c r="O3" s="112" t="s">
        <v>191</v>
      </c>
      <c r="P3" s="112" t="s">
        <v>192</v>
      </c>
      <c r="Q3" s="112" t="s">
        <v>193</v>
      </c>
      <c r="R3" s="112" t="s">
        <v>194</v>
      </c>
      <c r="S3" s="112" t="s">
        <v>195</v>
      </c>
      <c r="T3" s="112" t="s">
        <v>196</v>
      </c>
      <c r="U3" s="112" t="s">
        <v>197</v>
      </c>
      <c r="V3" s="112" t="s">
        <v>198</v>
      </c>
      <c r="W3" s="112" t="s">
        <v>199</v>
      </c>
      <c r="X3" s="112" t="s">
        <v>200</v>
      </c>
      <c r="Y3" s="112" t="s">
        <v>201</v>
      </c>
      <c r="Z3" s="112" t="s">
        <v>202</v>
      </c>
      <c r="AA3" s="112"/>
      <c r="AB3" s="112" t="s">
        <v>191</v>
      </c>
      <c r="AC3" s="112" t="s">
        <v>192</v>
      </c>
      <c r="AD3" s="112" t="s">
        <v>193</v>
      </c>
      <c r="AE3" s="112" t="s">
        <v>194</v>
      </c>
      <c r="AF3" s="112" t="s">
        <v>195</v>
      </c>
      <c r="AG3" s="112" t="s">
        <v>196</v>
      </c>
      <c r="AH3" s="112" t="s">
        <v>197</v>
      </c>
      <c r="AI3" s="112" t="s">
        <v>198</v>
      </c>
      <c r="AJ3" s="112" t="s">
        <v>199</v>
      </c>
      <c r="AK3" s="112" t="s">
        <v>200</v>
      </c>
      <c r="AL3" s="112" t="s">
        <v>201</v>
      </c>
      <c r="AM3" s="112" t="s">
        <v>202</v>
      </c>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row>
    <row r="4" spans="1:131">
      <c r="A4" s="79" t="s">
        <v>203</v>
      </c>
      <c r="B4" s="79"/>
      <c r="C4" s="113">
        <v>1658.8489688773964</v>
      </c>
      <c r="D4" s="113">
        <v>356.58923434217837</v>
      </c>
      <c r="E4" s="113">
        <v>71.31784686843568</v>
      </c>
      <c r="F4" s="113">
        <v>427.90708121061402</v>
      </c>
      <c r="G4" s="113">
        <v>724.46047715203724</v>
      </c>
      <c r="H4" s="113">
        <v>995.88744206600791</v>
      </c>
      <c r="I4" s="113">
        <v>2259.6789109388919</v>
      </c>
      <c r="J4" s="113">
        <v>6.4755631858574585</v>
      </c>
      <c r="K4" s="113">
        <v>25.004091661642736</v>
      </c>
      <c r="L4" s="134">
        <v>1.3268955152014623</v>
      </c>
      <c r="M4" s="113">
        <v>15.759194720379217</v>
      </c>
      <c r="N4" s="113">
        <v>0.2083451628546675</v>
      </c>
      <c r="O4" s="113">
        <v>80.114820583742315</v>
      </c>
      <c r="P4" s="113">
        <v>75.276235480578862</v>
      </c>
      <c r="Q4" s="113">
        <v>85.380663470248152</v>
      </c>
      <c r="R4" s="113">
        <v>77.794487668881743</v>
      </c>
      <c r="S4" s="113">
        <v>79.791118945435272</v>
      </c>
      <c r="T4" s="113">
        <v>79.536821389854666</v>
      </c>
      <c r="U4" s="113">
        <v>76.156286541187455</v>
      </c>
      <c r="V4" s="113">
        <v>86.8750726301881</v>
      </c>
      <c r="W4" s="113">
        <v>74.826608915807711</v>
      </c>
      <c r="X4" s="113">
        <v>85.010618673183387</v>
      </c>
      <c r="Y4" s="113">
        <v>73.465954614449188</v>
      </c>
      <c r="Z4" s="113">
        <v>74.801163461287786</v>
      </c>
      <c r="AA4" s="113"/>
      <c r="AB4" s="113">
        <v>64.498354299608351</v>
      </c>
      <c r="AC4" s="113">
        <v>58.016562779748021</v>
      </c>
      <c r="AD4" s="113">
        <v>57.703911153071353</v>
      </c>
      <c r="AE4" s="113">
        <v>57.983918613796597</v>
      </c>
      <c r="AF4" s="113">
        <v>58.732966212783417</v>
      </c>
      <c r="AG4" s="113">
        <v>54.447339341574377</v>
      </c>
      <c r="AH4" s="113">
        <v>61.216070699572775</v>
      </c>
      <c r="AI4" s="113">
        <v>58.338770127816346</v>
      </c>
      <c r="AJ4" s="113">
        <v>61.013344525619971</v>
      </c>
      <c r="AK4" s="113">
        <v>57.236678520878947</v>
      </c>
      <c r="AL4" s="113">
        <v>60.197394865299678</v>
      </c>
      <c r="AM4" s="103">
        <v>60.433805362781712</v>
      </c>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row>
    <row r="5" spans="1:131">
      <c r="A5" s="79" t="s">
        <v>204</v>
      </c>
      <c r="B5" s="79"/>
      <c r="C5" s="113">
        <v>1658.8489688773964</v>
      </c>
      <c r="D5" s="113">
        <v>484.7925975406369</v>
      </c>
      <c r="E5" s="113">
        <v>96.958519508127381</v>
      </c>
      <c r="F5" s="113">
        <v>581.75111704876429</v>
      </c>
      <c r="G5" s="113">
        <v>1022.9817048177833</v>
      </c>
      <c r="H5" s="113">
        <v>995.88744206600791</v>
      </c>
      <c r="I5" s="113">
        <v>3072.0938921859288</v>
      </c>
      <c r="J5" s="113">
        <v>11.367444439786548</v>
      </c>
      <c r="K5" s="113">
        <v>38.245631340063071</v>
      </c>
      <c r="L5" s="114">
        <v>0.97599810355622896</v>
      </c>
      <c r="M5" s="113">
        <v>15.759194720379217</v>
      </c>
      <c r="N5" s="113">
        <v>0.2083451628546675</v>
      </c>
      <c r="O5" s="113">
        <v>80.114820583742315</v>
      </c>
      <c r="P5" s="113">
        <v>75.276235480578862</v>
      </c>
      <c r="Q5" s="113">
        <v>85.380663470248152</v>
      </c>
      <c r="R5" s="113">
        <v>77.794487668881743</v>
      </c>
      <c r="S5" s="113">
        <v>79.791118945435272</v>
      </c>
      <c r="T5" s="113">
        <v>79.536821389854666</v>
      </c>
      <c r="U5" s="113">
        <v>76.156286541187455</v>
      </c>
      <c r="V5" s="113">
        <v>86.8750726301881</v>
      </c>
      <c r="W5" s="113">
        <v>74.826608915807711</v>
      </c>
      <c r="X5" s="113">
        <v>85.010618673183387</v>
      </c>
      <c r="Y5" s="113">
        <v>73.465954614449188</v>
      </c>
      <c r="Z5" s="113">
        <v>74.801163461287786</v>
      </c>
      <c r="AA5" s="113"/>
      <c r="AB5" s="113">
        <v>64.498354299608351</v>
      </c>
      <c r="AC5" s="113">
        <v>58.016562779748021</v>
      </c>
      <c r="AD5" s="113">
        <v>57.703911153071353</v>
      </c>
      <c r="AE5" s="113">
        <v>57.983918613796597</v>
      </c>
      <c r="AF5" s="113">
        <v>58.732966212783417</v>
      </c>
      <c r="AG5" s="113">
        <v>54.447339341574377</v>
      </c>
      <c r="AH5" s="113">
        <v>61.216070699572775</v>
      </c>
      <c r="AI5" s="113">
        <v>58.338770127816346</v>
      </c>
      <c r="AJ5" s="113">
        <v>61.013344525619971</v>
      </c>
      <c r="AK5" s="113">
        <v>57.236678520878947</v>
      </c>
      <c r="AL5" s="113">
        <v>60.197394865299678</v>
      </c>
      <c r="AM5" s="103">
        <v>60.433805362781712</v>
      </c>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row>
    <row r="6" spans="1:131">
      <c r="A6" s="79" t="s">
        <v>205</v>
      </c>
      <c r="B6" s="79"/>
      <c r="C6" s="113">
        <v>1443.3335761052115</v>
      </c>
      <c r="D6" s="113">
        <v>447.49652763248179</v>
      </c>
      <c r="E6" s="113">
        <v>89.499305526496357</v>
      </c>
      <c r="F6" s="113">
        <v>536.99583315897814</v>
      </c>
      <c r="G6" s="113">
        <v>935.68485216466388</v>
      </c>
      <c r="H6" s="113">
        <v>866.50310554079113</v>
      </c>
      <c r="I6" s="113">
        <v>3259.179704782081</v>
      </c>
      <c r="J6" s="113">
        <v>12.493964261110371</v>
      </c>
      <c r="K6" s="113">
        <v>40.570722502572544</v>
      </c>
      <c r="L6" s="114">
        <v>0.93360642532402882</v>
      </c>
      <c r="M6" s="113">
        <v>13.711781662495888</v>
      </c>
      <c r="N6" s="113">
        <v>0.18127724380523469</v>
      </c>
      <c r="O6" s="113">
        <v>69.706412495414142</v>
      </c>
      <c r="P6" s="113">
        <v>65.496449761456248</v>
      </c>
      <c r="Q6" s="113">
        <v>74.288124264950397</v>
      </c>
      <c r="R6" s="113">
        <v>67.687534064289252</v>
      </c>
      <c r="S6" s="113">
        <v>69.424765731920658</v>
      </c>
      <c r="T6" s="113">
        <v>69.203506167501516</v>
      </c>
      <c r="U6" s="113">
        <v>66.26216579003659</v>
      </c>
      <c r="V6" s="113">
        <v>75.58838182754225</v>
      </c>
      <c r="W6" s="113">
        <v>65.105238065986342</v>
      </c>
      <c r="X6" s="113">
        <v>73.96615518260046</v>
      </c>
      <c r="Y6" s="113">
        <v>63.921358113399847</v>
      </c>
      <c r="Z6" s="113">
        <v>65.083098450170255</v>
      </c>
      <c r="AA6" s="113"/>
      <c r="AB6" s="113">
        <v>56.118816185631331</v>
      </c>
      <c r="AC6" s="113">
        <v>50.479130168730357</v>
      </c>
      <c r="AD6" s="113">
        <v>50.207097814445731</v>
      </c>
      <c r="AE6" s="113">
        <v>50.450727088241649</v>
      </c>
      <c r="AF6" s="113">
        <v>51.102459446040505</v>
      </c>
      <c r="AG6" s="113">
        <v>47.373615365641342</v>
      </c>
      <c r="AH6" s="113">
        <v>53.262962388744185</v>
      </c>
      <c r="AI6" s="113">
        <v>50.759476778132388</v>
      </c>
      <c r="AJ6" s="113">
        <v>53.086574122475774</v>
      </c>
      <c r="AK6" s="113">
        <v>49.800567407791718</v>
      </c>
      <c r="AL6" s="113">
        <v>52.376631527792838</v>
      </c>
      <c r="AM6" s="103">
        <v>52.582327896275665</v>
      </c>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row>
    <row r="7" spans="1:131">
      <c r="A7" s="79" t="s">
        <v>207</v>
      </c>
      <c r="B7" s="79"/>
      <c r="C7" s="113">
        <v>1282.3061694466355</v>
      </c>
      <c r="D7" s="113">
        <v>545.41057057919818</v>
      </c>
      <c r="E7" s="113">
        <v>109.08211411583964</v>
      </c>
      <c r="F7" s="113">
        <v>654.49268469503784</v>
      </c>
      <c r="G7" s="113">
        <v>1123.0461824553986</v>
      </c>
      <c r="H7" s="113">
        <v>769.8305481661082</v>
      </c>
      <c r="I7" s="113">
        <v>4471.128701192084</v>
      </c>
      <c r="J7" s="113">
        <v>19.791602430160179</v>
      </c>
      <c r="K7" s="113">
        <v>57.312153684675614</v>
      </c>
      <c r="L7" s="114">
        <v>0.72187465503452253</v>
      </c>
      <c r="M7" s="113">
        <v>12.182008726887725</v>
      </c>
      <c r="N7" s="113">
        <v>0.16105280993947424</v>
      </c>
      <c r="O7" s="113">
        <v>61.929525005622054</v>
      </c>
      <c r="P7" s="113">
        <v>58.189252295094384</v>
      </c>
      <c r="Q7" s="113">
        <v>66.000072082172792</v>
      </c>
      <c r="R7" s="113">
        <v>60.135885399052349</v>
      </c>
      <c r="S7" s="113">
        <v>61.679300533323037</v>
      </c>
      <c r="T7" s="113">
        <v>61.482726082897408</v>
      </c>
      <c r="U7" s="113">
        <v>58.869540208954412</v>
      </c>
      <c r="V7" s="113">
        <v>67.155264701525837</v>
      </c>
      <c r="W7" s="113">
        <v>57.841686646400454</v>
      </c>
      <c r="X7" s="113">
        <v>65.714023903495701</v>
      </c>
      <c r="Y7" s="113">
        <v>56.789887816096517</v>
      </c>
      <c r="Z7" s="113">
        <v>57.822017065909733</v>
      </c>
      <c r="AA7" s="113"/>
      <c r="AB7" s="113">
        <v>49.857846729418242</v>
      </c>
      <c r="AC7" s="113">
        <v>44.847359692368343</v>
      </c>
      <c r="AD7" s="113">
        <v>44.605676985083463</v>
      </c>
      <c r="AE7" s="113">
        <v>44.822125438870103</v>
      </c>
      <c r="AF7" s="113">
        <v>45.401146419930235</v>
      </c>
      <c r="AG7" s="113">
        <v>42.088315728287085</v>
      </c>
      <c r="AH7" s="113">
        <v>47.320610013379259</v>
      </c>
      <c r="AI7" s="113">
        <v>45.096429063975243</v>
      </c>
      <c r="AJ7" s="113">
        <v>47.163900735774611</v>
      </c>
      <c r="AK7" s="113">
        <v>44.244501677344289</v>
      </c>
      <c r="AL7" s="113">
        <v>46.533163819384527</v>
      </c>
      <c r="AM7" s="103">
        <v>46.715911402275282</v>
      </c>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row>
    <row r="8" spans="1:131">
      <c r="A8" s="79" t="s">
        <v>206</v>
      </c>
      <c r="B8" s="79"/>
      <c r="C8" s="113">
        <v>1443.3335761052115</v>
      </c>
      <c r="D8" s="113">
        <v>581.53386844220199</v>
      </c>
      <c r="E8" s="113">
        <v>116.3067736884404</v>
      </c>
      <c r="F8" s="113">
        <v>697.84064213064244</v>
      </c>
      <c r="G8" s="113">
        <v>1247.7904828853627</v>
      </c>
      <c r="H8" s="113">
        <v>866.50310554079113</v>
      </c>
      <c r="I8" s="113">
        <v>4235.3923765567661</v>
      </c>
      <c r="J8" s="113">
        <v>18.372138075153426</v>
      </c>
      <c r="K8" s="113">
        <v>56.481998299135633</v>
      </c>
      <c r="L8" s="114">
        <v>0.71842012336621119</v>
      </c>
      <c r="M8" s="113">
        <v>13.711781662495888</v>
      </c>
      <c r="N8" s="113">
        <v>0.18127724380523469</v>
      </c>
      <c r="O8" s="113">
        <v>69.706412495414142</v>
      </c>
      <c r="P8" s="113">
        <v>65.496449761456248</v>
      </c>
      <c r="Q8" s="113">
        <v>74.288124264950397</v>
      </c>
      <c r="R8" s="113">
        <v>67.687534064289252</v>
      </c>
      <c r="S8" s="113">
        <v>69.424765731920658</v>
      </c>
      <c r="T8" s="113">
        <v>69.203506167501516</v>
      </c>
      <c r="U8" s="113">
        <v>66.26216579003659</v>
      </c>
      <c r="V8" s="113">
        <v>75.58838182754225</v>
      </c>
      <c r="W8" s="113">
        <v>65.105238065986342</v>
      </c>
      <c r="X8" s="113">
        <v>73.96615518260046</v>
      </c>
      <c r="Y8" s="113">
        <v>63.921358113399847</v>
      </c>
      <c r="Z8" s="113">
        <v>65.083098450170255</v>
      </c>
      <c r="AA8" s="113"/>
      <c r="AB8" s="113">
        <v>56.118816185631331</v>
      </c>
      <c r="AC8" s="113">
        <v>50.479130168730357</v>
      </c>
      <c r="AD8" s="113">
        <v>50.207097814445731</v>
      </c>
      <c r="AE8" s="113">
        <v>50.450727088241649</v>
      </c>
      <c r="AF8" s="113">
        <v>51.102459446040505</v>
      </c>
      <c r="AG8" s="113">
        <v>47.373615365641342</v>
      </c>
      <c r="AH8" s="113">
        <v>53.262962388744185</v>
      </c>
      <c r="AI8" s="113">
        <v>50.759476778132388</v>
      </c>
      <c r="AJ8" s="113">
        <v>53.086574122475774</v>
      </c>
      <c r="AK8" s="113">
        <v>49.800567407791718</v>
      </c>
      <c r="AL8" s="113">
        <v>52.376631527792838</v>
      </c>
      <c r="AM8" s="103">
        <v>52.582327896275665</v>
      </c>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row>
    <row r="9" spans="1:131">
      <c r="A9" s="79" t="s">
        <v>208</v>
      </c>
      <c r="B9" s="79"/>
      <c r="C9" s="113">
        <v>1282.3061694466355</v>
      </c>
      <c r="D9" s="113">
        <v>678.27513934376702</v>
      </c>
      <c r="E9" s="113">
        <v>135.65502786875342</v>
      </c>
      <c r="F9" s="113">
        <v>813.93016721252047</v>
      </c>
      <c r="G9" s="113">
        <v>1432.4210162456868</v>
      </c>
      <c r="H9" s="113">
        <v>769.8305481661082</v>
      </c>
      <c r="I9" s="113">
        <v>5560.3165879320077</v>
      </c>
      <c r="J9" s="113">
        <v>26.350045994274488</v>
      </c>
      <c r="K9" s="113">
        <v>75.06481082719074</v>
      </c>
      <c r="L9" s="114">
        <v>0.58046955380078369</v>
      </c>
      <c r="M9" s="113">
        <v>12.182008726887725</v>
      </c>
      <c r="N9" s="113">
        <v>0.16105280993947424</v>
      </c>
      <c r="O9" s="113">
        <v>61.929525005622054</v>
      </c>
      <c r="P9" s="113">
        <v>58.189252295094384</v>
      </c>
      <c r="Q9" s="113">
        <v>66.000072082172792</v>
      </c>
      <c r="R9" s="113">
        <v>60.135885399052349</v>
      </c>
      <c r="S9" s="113">
        <v>61.679300533323037</v>
      </c>
      <c r="T9" s="113">
        <v>61.482726082897408</v>
      </c>
      <c r="U9" s="113">
        <v>58.869540208954412</v>
      </c>
      <c r="V9" s="113">
        <v>67.155264701525837</v>
      </c>
      <c r="W9" s="113">
        <v>57.841686646400454</v>
      </c>
      <c r="X9" s="113">
        <v>65.714023903495701</v>
      </c>
      <c r="Y9" s="113">
        <v>56.789887816096517</v>
      </c>
      <c r="Z9" s="113">
        <v>57.822017065909733</v>
      </c>
      <c r="AA9" s="113"/>
      <c r="AB9" s="113">
        <v>49.857846729418242</v>
      </c>
      <c r="AC9" s="113">
        <v>44.847359692368343</v>
      </c>
      <c r="AD9" s="113">
        <v>44.605676985083463</v>
      </c>
      <c r="AE9" s="113">
        <v>44.822125438870103</v>
      </c>
      <c r="AF9" s="113">
        <v>45.401146419930235</v>
      </c>
      <c r="AG9" s="113">
        <v>42.088315728287085</v>
      </c>
      <c r="AH9" s="113">
        <v>47.320610013379259</v>
      </c>
      <c r="AI9" s="113">
        <v>45.096429063975243</v>
      </c>
      <c r="AJ9" s="113">
        <v>47.163900735774611</v>
      </c>
      <c r="AK9" s="113">
        <v>44.244501677344289</v>
      </c>
      <c r="AL9" s="113">
        <v>46.533163819384527</v>
      </c>
      <c r="AM9" s="103">
        <v>46.715911402275282</v>
      </c>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row>
    <row r="10" spans="1:131">
      <c r="A10" s="79"/>
      <c r="B10" s="79"/>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FFC000"/>
  </sheetPr>
  <dimension ref="A1:EA100"/>
  <sheetViews>
    <sheetView workbookViewId="0">
      <selection activeCell="A16" sqref="A16:EA100"/>
    </sheetView>
  </sheetViews>
  <sheetFormatPr defaultRowHeight="15"/>
  <cols>
    <col min="1" max="1" width="60.7109375" customWidth="1"/>
    <col min="2" max="2" width="60.140625" customWidth="1"/>
    <col min="3" max="3" width="17.42578125" bestFit="1" customWidth="1"/>
    <col min="4" max="4" width="10.7109375" customWidth="1"/>
    <col min="5" max="5" width="12.5703125" customWidth="1"/>
    <col min="6" max="6" width="13.7109375" customWidth="1"/>
    <col min="7" max="7" width="31.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70" t="s">
        <v>150</v>
      </c>
      <c r="B1" s="71"/>
      <c r="C1" s="71"/>
      <c r="D1" s="71"/>
      <c r="E1" s="71"/>
      <c r="F1" s="71"/>
      <c r="G1" s="71"/>
      <c r="H1" s="72"/>
      <c r="I1" s="73"/>
      <c r="J1" s="73"/>
      <c r="K1" s="73"/>
      <c r="L1" s="73"/>
      <c r="M1" s="73"/>
      <c r="N1" s="74"/>
      <c r="O1" s="75"/>
      <c r="P1" s="74"/>
      <c r="Q1" s="74"/>
      <c r="R1" s="74"/>
      <c r="S1" s="72"/>
      <c r="T1" s="72"/>
      <c r="U1" s="72"/>
      <c r="V1" s="74"/>
      <c r="W1" s="72"/>
      <c r="X1" s="72"/>
      <c r="Y1" s="72"/>
      <c r="Z1" s="72"/>
      <c r="AA1" s="72"/>
      <c r="AB1" s="72"/>
      <c r="AC1" s="72"/>
      <c r="AD1" s="72"/>
      <c r="AE1" s="72"/>
      <c r="AF1" s="72"/>
      <c r="AG1" s="72"/>
      <c r="AH1" s="72"/>
      <c r="AI1" s="72"/>
      <c r="AJ1" s="72"/>
      <c r="AK1" s="72"/>
      <c r="AL1" s="72"/>
      <c r="AM1" s="72"/>
      <c r="AN1" s="72"/>
      <c r="AO1" s="72"/>
      <c r="AP1" s="76"/>
      <c r="AQ1" s="72"/>
      <c r="AR1" s="72"/>
      <c r="AS1" s="72"/>
      <c r="AT1" s="72"/>
      <c r="AU1" s="72"/>
      <c r="AV1" s="76"/>
      <c r="AW1" s="72"/>
      <c r="AX1" s="72"/>
      <c r="AY1" s="72"/>
      <c r="AZ1" s="72"/>
      <c r="BA1" s="72"/>
      <c r="BB1" s="72"/>
      <c r="BC1" s="72"/>
      <c r="BD1" s="72"/>
      <c r="BE1" s="72"/>
      <c r="BF1" s="72"/>
      <c r="BG1" s="72"/>
      <c r="BH1" s="72"/>
      <c r="BI1" s="72"/>
      <c r="BJ1" s="72"/>
      <c r="BK1" s="72"/>
      <c r="BL1" s="72"/>
      <c r="BM1" s="77"/>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6"/>
      <c r="CQ1" s="72"/>
      <c r="CR1" s="72"/>
      <c r="CS1" s="72"/>
      <c r="CT1" s="72"/>
      <c r="CU1" s="72"/>
      <c r="CV1" s="72"/>
      <c r="CW1" s="72"/>
      <c r="CX1" s="72"/>
      <c r="CY1" s="72"/>
      <c r="CZ1" s="72"/>
      <c r="DA1" s="72"/>
    </row>
    <row r="2" spans="1:131">
      <c r="A2" s="78" t="s">
        <v>151</v>
      </c>
      <c r="B2" s="72"/>
      <c r="C2" s="72"/>
      <c r="D2" s="72"/>
      <c r="E2" s="72"/>
      <c r="F2" s="72"/>
      <c r="G2" s="72"/>
      <c r="H2" s="72"/>
      <c r="I2" s="73"/>
      <c r="J2" s="73"/>
      <c r="K2" s="73"/>
      <c r="L2" s="73"/>
      <c r="M2" s="73"/>
      <c r="N2" s="74"/>
      <c r="O2" s="74"/>
      <c r="P2" s="74"/>
      <c r="Q2" s="74"/>
      <c r="R2" s="74"/>
      <c r="S2" s="72"/>
      <c r="T2" s="72"/>
      <c r="U2" s="72"/>
      <c r="V2" s="74"/>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6"/>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row>
    <row r="3" spans="1:131">
      <c r="A3" s="78" t="s">
        <v>152</v>
      </c>
      <c r="B3" s="79"/>
      <c r="C3" s="78">
        <v>2012</v>
      </c>
      <c r="D3" s="79"/>
      <c r="E3" s="79"/>
      <c r="F3" s="79"/>
      <c r="G3" s="79"/>
      <c r="H3" s="79"/>
      <c r="I3" s="79"/>
      <c r="J3" s="80"/>
      <c r="K3" s="81"/>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81"/>
      <c r="CP3" s="81"/>
      <c r="CQ3" s="79"/>
      <c r="CR3" s="79"/>
      <c r="CS3" s="79"/>
      <c r="CT3" s="79"/>
      <c r="CU3" s="79"/>
      <c r="CV3" s="79"/>
      <c r="CW3" s="79"/>
      <c r="CX3" s="79"/>
      <c r="CY3" s="79"/>
      <c r="CZ3" s="79"/>
      <c r="DA3" s="79"/>
    </row>
    <row r="4" spans="1:131">
      <c r="A4" s="79"/>
      <c r="B4" s="82"/>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row>
    <row r="5" spans="1:131">
      <c r="A5" s="83">
        <v>1</v>
      </c>
      <c r="B5" s="83">
        <v>2</v>
      </c>
      <c r="C5" s="83">
        <v>3</v>
      </c>
      <c r="D5" s="83">
        <v>4</v>
      </c>
      <c r="E5" s="83">
        <v>5</v>
      </c>
      <c r="F5" s="83">
        <v>6</v>
      </c>
      <c r="G5" s="83">
        <v>7</v>
      </c>
      <c r="H5" s="83">
        <v>8</v>
      </c>
      <c r="I5" s="83">
        <v>9</v>
      </c>
      <c r="J5" s="83">
        <v>10</v>
      </c>
      <c r="K5" s="83">
        <v>11</v>
      </c>
      <c r="L5" s="83">
        <v>12</v>
      </c>
      <c r="M5" s="83">
        <v>13</v>
      </c>
      <c r="N5" s="83">
        <v>14</v>
      </c>
      <c r="O5" s="83">
        <v>15</v>
      </c>
      <c r="P5" s="83">
        <v>16</v>
      </c>
      <c r="Q5" s="83">
        <v>17</v>
      </c>
      <c r="R5" s="83">
        <v>18</v>
      </c>
      <c r="S5" s="83">
        <v>19</v>
      </c>
      <c r="T5" s="83">
        <v>20</v>
      </c>
      <c r="U5" s="83">
        <v>21</v>
      </c>
      <c r="V5" s="83">
        <v>22</v>
      </c>
      <c r="W5" s="83">
        <v>23</v>
      </c>
      <c r="X5" s="83">
        <v>24</v>
      </c>
      <c r="Y5" s="83">
        <v>25</v>
      </c>
      <c r="Z5" s="83">
        <v>26</v>
      </c>
      <c r="AA5" s="83">
        <v>27</v>
      </c>
      <c r="AB5" s="83">
        <v>28</v>
      </c>
      <c r="AC5" s="83">
        <v>29</v>
      </c>
      <c r="AD5" s="83">
        <v>30</v>
      </c>
      <c r="AE5" s="83">
        <v>31</v>
      </c>
      <c r="AF5" s="83">
        <v>32</v>
      </c>
      <c r="AG5" s="83">
        <v>33</v>
      </c>
      <c r="AH5" s="83">
        <v>34</v>
      </c>
      <c r="AI5" s="83">
        <v>35</v>
      </c>
      <c r="AJ5" s="83">
        <v>36</v>
      </c>
      <c r="AK5" s="83">
        <v>37</v>
      </c>
      <c r="AL5" s="83">
        <v>38</v>
      </c>
      <c r="AM5" s="83">
        <v>39</v>
      </c>
      <c r="AN5" s="83">
        <v>40</v>
      </c>
      <c r="AO5" s="83">
        <v>41</v>
      </c>
      <c r="AP5" s="83">
        <v>42</v>
      </c>
      <c r="AQ5" s="83">
        <v>43</v>
      </c>
      <c r="AR5" s="83">
        <v>44</v>
      </c>
      <c r="AS5" s="83">
        <v>45</v>
      </c>
      <c r="AT5" s="83">
        <v>46</v>
      </c>
      <c r="AU5" s="83">
        <v>47</v>
      </c>
      <c r="AV5" s="83">
        <v>48</v>
      </c>
      <c r="AW5" s="83">
        <v>49</v>
      </c>
      <c r="AX5" s="83">
        <v>50</v>
      </c>
      <c r="AY5" s="83">
        <v>51</v>
      </c>
      <c r="AZ5" s="83">
        <v>52</v>
      </c>
      <c r="BA5" s="83">
        <v>53</v>
      </c>
      <c r="BB5" s="83">
        <v>54</v>
      </c>
      <c r="BC5" s="83">
        <v>55</v>
      </c>
      <c r="BD5" s="83">
        <v>56</v>
      </c>
      <c r="BE5" s="83">
        <v>57</v>
      </c>
      <c r="BF5" s="83">
        <v>58</v>
      </c>
      <c r="BG5" s="83">
        <v>59</v>
      </c>
      <c r="BH5" s="83">
        <v>60</v>
      </c>
      <c r="BI5" s="83">
        <v>61</v>
      </c>
      <c r="BJ5" s="83">
        <v>62</v>
      </c>
      <c r="BK5" s="83">
        <v>63</v>
      </c>
      <c r="BL5" s="83">
        <v>64</v>
      </c>
      <c r="BM5" s="83">
        <v>65</v>
      </c>
      <c r="BN5" s="83">
        <v>66</v>
      </c>
      <c r="BO5" s="83">
        <v>67</v>
      </c>
      <c r="BP5" s="83">
        <v>68</v>
      </c>
      <c r="BQ5" s="83">
        <v>69</v>
      </c>
      <c r="BR5" s="83">
        <v>70</v>
      </c>
      <c r="BS5" s="83">
        <v>71</v>
      </c>
      <c r="BT5" s="83">
        <v>72</v>
      </c>
      <c r="BU5" s="83">
        <v>73</v>
      </c>
      <c r="BV5" s="83">
        <v>74</v>
      </c>
      <c r="BW5" s="83">
        <v>75</v>
      </c>
      <c r="BX5" s="83">
        <v>76</v>
      </c>
      <c r="BY5" s="83">
        <v>77</v>
      </c>
      <c r="BZ5" s="83">
        <v>78</v>
      </c>
      <c r="CA5" s="83">
        <v>79</v>
      </c>
      <c r="CB5" s="83">
        <v>80</v>
      </c>
      <c r="CC5" s="83">
        <v>81</v>
      </c>
      <c r="CD5" s="83">
        <v>82</v>
      </c>
      <c r="CE5" s="83">
        <v>83</v>
      </c>
      <c r="CF5" s="83">
        <v>84</v>
      </c>
      <c r="CG5" s="83">
        <v>85</v>
      </c>
      <c r="CH5" s="83">
        <v>86</v>
      </c>
      <c r="CI5" s="83">
        <v>87</v>
      </c>
      <c r="CJ5" s="83">
        <v>88</v>
      </c>
      <c r="CK5" s="83">
        <v>89</v>
      </c>
      <c r="CL5" s="83">
        <v>90</v>
      </c>
      <c r="CM5" s="83">
        <v>91</v>
      </c>
      <c r="CN5" s="83">
        <v>92</v>
      </c>
      <c r="CO5" s="83">
        <v>93</v>
      </c>
      <c r="CP5" s="83">
        <v>94</v>
      </c>
      <c r="CQ5" s="83">
        <v>95</v>
      </c>
      <c r="CR5" s="83">
        <v>96</v>
      </c>
      <c r="CS5" s="83">
        <v>97</v>
      </c>
      <c r="CT5" s="83">
        <v>98</v>
      </c>
      <c r="CU5" s="83">
        <v>99</v>
      </c>
      <c r="CV5" s="83">
        <v>100</v>
      </c>
      <c r="CW5" s="83">
        <v>101</v>
      </c>
      <c r="CX5" s="83">
        <v>102</v>
      </c>
      <c r="CY5" s="83">
        <v>103</v>
      </c>
      <c r="CZ5" s="83">
        <v>104</v>
      </c>
      <c r="DA5" s="83">
        <v>105</v>
      </c>
    </row>
    <row r="6" spans="1:131">
      <c r="A6" s="84" t="s">
        <v>153</v>
      </c>
      <c r="B6" s="85"/>
      <c r="C6" s="85"/>
      <c r="D6" s="85"/>
      <c r="E6" s="85"/>
      <c r="F6" s="85"/>
      <c r="G6" s="86"/>
      <c r="H6" s="87"/>
      <c r="I6" s="347" t="s">
        <v>154</v>
      </c>
      <c r="J6" s="348"/>
      <c r="K6" s="348"/>
      <c r="L6" s="348"/>
      <c r="M6" s="348"/>
      <c r="N6" s="349"/>
      <c r="O6" s="350" t="s">
        <v>155</v>
      </c>
      <c r="P6" s="351"/>
      <c r="Q6" s="88" t="s">
        <v>156</v>
      </c>
      <c r="R6" s="352" t="s">
        <v>157</v>
      </c>
      <c r="S6" s="352"/>
      <c r="T6" s="352"/>
      <c r="U6" s="89"/>
      <c r="V6" s="89"/>
      <c r="W6" s="89"/>
      <c r="X6" s="90"/>
      <c r="Y6" s="91"/>
      <c r="Z6" s="89"/>
      <c r="AA6" s="89"/>
      <c r="AB6" s="89"/>
      <c r="AC6" s="89"/>
      <c r="AD6" s="89"/>
      <c r="AE6" s="92"/>
      <c r="AF6" s="92"/>
      <c r="AG6" s="92"/>
      <c r="AH6" s="92"/>
      <c r="AI6" s="92"/>
      <c r="AJ6" s="92"/>
      <c r="AK6" s="92"/>
      <c r="AL6" s="92"/>
      <c r="AM6" s="92"/>
      <c r="AN6" s="92"/>
      <c r="AO6" s="9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row>
    <row r="7" spans="1:131" ht="26.25">
      <c r="A7" s="93" t="s">
        <v>64</v>
      </c>
      <c r="B7" s="93" t="s">
        <v>73</v>
      </c>
      <c r="C7" s="93" t="s">
        <v>158</v>
      </c>
      <c r="D7" s="93" t="s">
        <v>159</v>
      </c>
      <c r="E7" s="93" t="s">
        <v>160</v>
      </c>
      <c r="F7" s="94" t="s">
        <v>161</v>
      </c>
      <c r="G7" s="93" t="s">
        <v>162</v>
      </c>
      <c r="H7" s="95" t="s">
        <v>163</v>
      </c>
      <c r="I7" s="95" t="s">
        <v>164</v>
      </c>
      <c r="J7" s="95" t="s">
        <v>165</v>
      </c>
      <c r="K7" s="95" t="s">
        <v>166</v>
      </c>
      <c r="L7" s="95" t="s">
        <v>167</v>
      </c>
      <c r="M7" s="95" t="s">
        <v>168</v>
      </c>
      <c r="N7" s="95" t="s">
        <v>169</v>
      </c>
      <c r="O7" s="96" t="s">
        <v>170</v>
      </c>
      <c r="P7" s="95" t="s">
        <v>162</v>
      </c>
      <c r="Q7" s="97" t="s">
        <v>171</v>
      </c>
      <c r="R7" s="98" t="s">
        <v>172</v>
      </c>
      <c r="S7" s="98" t="s">
        <v>173</v>
      </c>
      <c r="T7" s="98" t="s">
        <v>174</v>
      </c>
      <c r="U7" s="99"/>
      <c r="V7" s="99"/>
      <c r="W7" s="99"/>
      <c r="X7" s="99"/>
      <c r="Y7" s="99"/>
      <c r="Z7" s="99"/>
      <c r="AA7" s="99"/>
      <c r="AB7" s="99"/>
      <c r="AC7" s="99"/>
      <c r="AD7" s="99"/>
      <c r="AE7" s="92"/>
      <c r="AF7" s="92"/>
      <c r="AG7" s="92"/>
      <c r="AH7" s="92"/>
      <c r="AI7" s="92"/>
      <c r="AJ7" s="92"/>
      <c r="AK7" s="92"/>
      <c r="AL7" s="92"/>
      <c r="AM7" s="92"/>
      <c r="AN7" s="92"/>
      <c r="AO7" s="9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row>
    <row r="8" spans="1:131">
      <c r="A8" t="str">
        <f>'Measure Development'!B9</f>
        <v>NR_PARKING_GARAGE_FIX_REPL_from HPS to BI-LEVEL_LED_FIX</v>
      </c>
      <c r="B8" t="str">
        <f>'Measure Development'!C9</f>
        <v>NR_PARKING_GARAGE_FIX_REPL_from HPS to BI-LEVEL_LED_FIX</v>
      </c>
      <c r="C8" s="3">
        <f>'Measure Development'!Z9</f>
        <v>1194.6579392555182</v>
      </c>
      <c r="D8" s="100">
        <f>'Measure Development'!AN9</f>
        <v>8.5616438356164384</v>
      </c>
      <c r="E8" s="7">
        <f>'Measure Development'!AT9</f>
        <v>545.41057057919818</v>
      </c>
      <c r="G8" t="str">
        <f>'Measure Development'!AY9</f>
        <v>Total Industrial-Total Industrial</v>
      </c>
      <c r="I8" s="6">
        <f>(-1)*'Measure Development'!AW9</f>
        <v>-34.929230242566504</v>
      </c>
      <c r="J8" s="100">
        <f>'Measure Development'!AX9</f>
        <v>2.0547945205479454</v>
      </c>
      <c r="Q8" t="str">
        <f>'Measure Development'!BF9</f>
        <v>L</v>
      </c>
    </row>
    <row r="9" spans="1:131">
      <c r="A9" t="str">
        <f>'Measure Development'!B10</f>
        <v>NR_PARKING_GARAGE_FIX_REPL_from MH to BI-LEVEL_LED_FIX</v>
      </c>
      <c r="B9" t="str">
        <f>'Measure Development'!C10</f>
        <v>NR_PARKING_GARAGE_FIX_REPL_from MH to BI-LEVEL_LED_FIX</v>
      </c>
      <c r="C9" s="3">
        <f>'Measure Development'!Z10</f>
        <v>1545.4632738376483</v>
      </c>
      <c r="D9" s="100">
        <f>'Measure Development'!AN10</f>
        <v>8.5616438356164384</v>
      </c>
      <c r="E9" s="7">
        <f>'Measure Development'!AT10</f>
        <v>356.58923434217837</v>
      </c>
      <c r="G9" t="str">
        <f>'Measure Development'!AY10</f>
        <v>Total Industrial-Total Industrial</v>
      </c>
      <c r="I9" s="6">
        <f>(-1)*'Measure Development'!AW10</f>
        <v>-38.504490931832393</v>
      </c>
      <c r="J9" s="100">
        <f>'Measure Development'!AX10</f>
        <v>3.1963470319634704</v>
      </c>
      <c r="Q9" t="str">
        <f>'Measure Development'!BF10</f>
        <v>L</v>
      </c>
    </row>
    <row r="10" spans="1:131">
      <c r="A10" t="str">
        <f>'Measure Development'!B11</f>
        <v>NR_PARKING_GARAGE_FIX_REPL_from HID to BI-LEVEL_LED_FIX</v>
      </c>
      <c r="B10" t="str">
        <f>'Measure Development'!C11</f>
        <v>NR_PARKING_GARAGE_FIX_REPL_from HID to BI-LEVEL_LED_FIX</v>
      </c>
      <c r="C10" s="3">
        <f>'Measure Development'!Z11</f>
        <v>1344.678795729609</v>
      </c>
      <c r="D10" s="100">
        <f>'Measure Development'!AN11</f>
        <v>8.5616438356164384</v>
      </c>
      <c r="E10" s="7">
        <f>'Measure Development'!AT11</f>
        <v>447.49652763248179</v>
      </c>
      <c r="G10" t="str">
        <f>'Measure Development'!AY11</f>
        <v>Total Industrial-Total Industrial</v>
      </c>
      <c r="I10" s="6">
        <f>(-1)*'Measure Development'!AW11</f>
        <v>-37.95479234741758</v>
      </c>
      <c r="J10" s="100">
        <f>'Measure Development'!AX11</f>
        <v>2.6255707762557079</v>
      </c>
      <c r="Q10" t="str">
        <f>'Measure Development'!BF11</f>
        <v>L</v>
      </c>
    </row>
    <row r="11" spans="1:131">
      <c r="A11" t="str">
        <f>'Measure Development'!B12</f>
        <v>Retro_PARKING_GARAGE_FIX_REPL_from HPS to BI-LEVEL_LED_FIX</v>
      </c>
      <c r="B11" t="str">
        <f>'Measure Development'!C12</f>
        <v>Retro_PARKING_GARAGE_FIX_REPL_from HPS to BI-LEVEL_LED_FIX</v>
      </c>
      <c r="C11" s="3">
        <f>'Measure Development'!Z12</f>
        <v>1194.6579392555182</v>
      </c>
      <c r="D11" s="100">
        <f>'Measure Development'!AN12</f>
        <v>8.5616438356164384</v>
      </c>
      <c r="E11" s="7">
        <f>'Measure Development'!AT12</f>
        <v>678.27513934376702</v>
      </c>
      <c r="G11" t="str">
        <f>'Measure Development'!AY12</f>
        <v>Total Industrial-Total Industrial</v>
      </c>
      <c r="I11" s="6">
        <f>(-1)*'Measure Development'!AW12</f>
        <v>-34.929230242566504</v>
      </c>
      <c r="J11" s="100">
        <f>'Measure Development'!AX12</f>
        <v>2.0547945205479454</v>
      </c>
      <c r="Q11" t="str">
        <f>'Measure Development'!BF12</f>
        <v>R</v>
      </c>
    </row>
    <row r="12" spans="1:131">
      <c r="A12" t="str">
        <f>'Measure Development'!B13</f>
        <v>Retro_PARKING_GARAGE_FIX_REPL_from MH to BI-LEVEL_LED_FIX</v>
      </c>
      <c r="B12" t="str">
        <f>'Measure Development'!C13</f>
        <v>Retro_PARKING_GARAGE_FIX_REPL_from MH to BI-LEVEL_LED_FIX</v>
      </c>
      <c r="C12" s="3">
        <f>'Measure Development'!Z13</f>
        <v>1545.4632738376483</v>
      </c>
      <c r="D12" s="100">
        <f>'Measure Development'!AN13</f>
        <v>8.5616438356164384</v>
      </c>
      <c r="E12" s="7">
        <f>'Measure Development'!AT13</f>
        <v>484.7925975406369</v>
      </c>
      <c r="G12" t="str">
        <f>'Measure Development'!AY13</f>
        <v>Total Industrial-Total Industrial</v>
      </c>
      <c r="I12" s="6">
        <f>(-1)*'Measure Development'!AW13</f>
        <v>-38.504490931832393</v>
      </c>
      <c r="J12" s="100">
        <f>'Measure Development'!AX13</f>
        <v>3.1963470319634704</v>
      </c>
      <c r="Q12" t="str">
        <f>'Measure Development'!BF13</f>
        <v>R</v>
      </c>
    </row>
    <row r="13" spans="1:131">
      <c r="A13" t="str">
        <f>'Measure Development'!B14</f>
        <v>Retro_PARKING_GARAGE_FIX_REPL_from HID to BI-LEVEL_LED_FIX</v>
      </c>
      <c r="B13" t="str">
        <f>'Measure Development'!C14</f>
        <v>Retro_PARKING_GARAGE_FIX_REPL_from HID to BI-LEVEL_LED_FIX</v>
      </c>
      <c r="C13" s="3">
        <f>'Measure Development'!Z14</f>
        <v>1344.678795729609</v>
      </c>
      <c r="D13" s="100">
        <f>'Measure Development'!AN14</f>
        <v>8.5616438356164384</v>
      </c>
      <c r="E13" s="7">
        <f>'Measure Development'!AT14</f>
        <v>581.53386844220199</v>
      </c>
      <c r="G13" t="str">
        <f>'Measure Development'!AY14</f>
        <v>Total Industrial-Total Industrial</v>
      </c>
      <c r="I13" s="6">
        <f>(-1)*'Measure Development'!AW14</f>
        <v>-37.95479234741758</v>
      </c>
      <c r="J13" s="100">
        <f>'Measure Development'!AX14</f>
        <v>2.6255707762557079</v>
      </c>
      <c r="Q13" t="str">
        <f>'Measure Development'!BF14</f>
        <v>R</v>
      </c>
    </row>
    <row r="16" spans="1:13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row>
    <row r="17" spans="1:131">
      <c r="A17" s="115" t="s">
        <v>209</v>
      </c>
      <c r="B17" s="116"/>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row>
    <row r="18" spans="1:131">
      <c r="A18" s="79" t="s">
        <v>210</v>
      </c>
      <c r="B18" s="79" t="s">
        <v>211</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row>
    <row r="19" spans="1:131">
      <c r="A19" s="79" t="s">
        <v>212</v>
      </c>
      <c r="B19" s="79" t="s">
        <v>711</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row>
    <row r="20" spans="1:13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row>
    <row r="21" spans="1:131" ht="15.75" thickBot="1">
      <c r="A21" s="101" t="s">
        <v>213</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02"/>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row>
    <row r="22" spans="1:131">
      <c r="A22" s="79"/>
      <c r="B22" s="118" t="s">
        <v>214</v>
      </c>
      <c r="C22" s="119"/>
      <c r="D22" s="119" t="s">
        <v>214</v>
      </c>
      <c r="E22" s="120"/>
      <c r="F22" s="79"/>
      <c r="G22" s="118" t="s">
        <v>215</v>
      </c>
      <c r="H22" s="119"/>
      <c r="I22" s="119"/>
      <c r="J22" s="119"/>
      <c r="K22" s="119"/>
      <c r="L22" s="119"/>
      <c r="M22" s="119"/>
      <c r="N22" s="119"/>
      <c r="O22" s="120"/>
      <c r="P22" s="79"/>
      <c r="Q22" s="118" t="s">
        <v>216</v>
      </c>
      <c r="R22" s="119"/>
      <c r="S22" s="119"/>
      <c r="T22" s="119"/>
      <c r="U22" s="120"/>
      <c r="V22" s="79"/>
      <c r="W22" s="118" t="s">
        <v>217</v>
      </c>
      <c r="X22" s="120"/>
      <c r="Y22" s="79"/>
      <c r="Z22" s="118" t="s">
        <v>218</v>
      </c>
      <c r="AA22" s="119"/>
      <c r="AB22" s="120"/>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row>
    <row r="23" spans="1:131">
      <c r="A23" s="79"/>
      <c r="B23" s="121" t="s">
        <v>219</v>
      </c>
      <c r="C23" s="122" t="s">
        <v>220</v>
      </c>
      <c r="D23" s="122" t="s">
        <v>219</v>
      </c>
      <c r="E23" s="123" t="s">
        <v>220</v>
      </c>
      <c r="F23" s="79"/>
      <c r="G23" s="121" t="s">
        <v>221</v>
      </c>
      <c r="H23" s="122" t="s">
        <v>712</v>
      </c>
      <c r="I23" s="122"/>
      <c r="J23" s="122"/>
      <c r="K23" s="122" t="s">
        <v>222</v>
      </c>
      <c r="L23" s="122"/>
      <c r="M23" s="122"/>
      <c r="N23" s="122"/>
      <c r="O23" s="123"/>
      <c r="P23" s="79"/>
      <c r="Q23" s="121"/>
      <c r="R23" s="122" t="s">
        <v>223</v>
      </c>
      <c r="S23" s="122" t="s">
        <v>224</v>
      </c>
      <c r="T23" s="122" t="s">
        <v>225</v>
      </c>
      <c r="U23" s="123" t="s">
        <v>226</v>
      </c>
      <c r="V23" s="79"/>
      <c r="W23" s="121" t="s">
        <v>227</v>
      </c>
      <c r="X23" s="123">
        <v>20</v>
      </c>
      <c r="Y23" s="79"/>
      <c r="Z23" s="121"/>
      <c r="AA23" s="122" t="s">
        <v>220</v>
      </c>
      <c r="AB23" s="123" t="s">
        <v>228</v>
      </c>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row>
    <row r="24" spans="1:131">
      <c r="A24" s="79"/>
      <c r="B24" s="121" t="s">
        <v>229</v>
      </c>
      <c r="C24" s="122" t="s">
        <v>230</v>
      </c>
      <c r="D24" s="122" t="s">
        <v>229</v>
      </c>
      <c r="E24" s="123" t="s">
        <v>230</v>
      </c>
      <c r="F24" s="79"/>
      <c r="G24" s="121" t="s">
        <v>231</v>
      </c>
      <c r="H24" s="122" t="s">
        <v>232</v>
      </c>
      <c r="I24" s="122"/>
      <c r="J24" s="122"/>
      <c r="K24" s="122" t="s">
        <v>233</v>
      </c>
      <c r="L24" s="122"/>
      <c r="M24" s="122"/>
      <c r="N24" s="122"/>
      <c r="O24" s="123"/>
      <c r="P24" s="79"/>
      <c r="Q24" s="121" t="s">
        <v>234</v>
      </c>
      <c r="R24" s="122">
        <v>6.8012888465852586E-2</v>
      </c>
      <c r="S24" s="122">
        <v>4.387844424080023E-2</v>
      </c>
      <c r="T24" s="122">
        <v>5.3289007766645871E-2</v>
      </c>
      <c r="U24" s="123">
        <v>5.447903102274565E-2</v>
      </c>
      <c r="V24" s="79"/>
      <c r="W24" s="121" t="s">
        <v>235</v>
      </c>
      <c r="X24" s="123">
        <v>2016</v>
      </c>
      <c r="Y24" s="79"/>
      <c r="Z24" s="121" t="s">
        <v>236</v>
      </c>
      <c r="AA24" s="122">
        <v>4.03890184699085E-3</v>
      </c>
      <c r="AB24" s="123">
        <v>0.01</v>
      </c>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row>
    <row r="25" spans="1:131">
      <c r="A25" s="79"/>
      <c r="B25" s="121" t="s">
        <v>237</v>
      </c>
      <c r="C25" s="122" t="s">
        <v>238</v>
      </c>
      <c r="D25" s="122" t="s">
        <v>237</v>
      </c>
      <c r="E25" s="123" t="s">
        <v>238</v>
      </c>
      <c r="F25" s="79"/>
      <c r="G25" s="121" t="s">
        <v>239</v>
      </c>
      <c r="H25" s="122" t="s">
        <v>240</v>
      </c>
      <c r="I25" s="122"/>
      <c r="J25" s="122"/>
      <c r="K25" s="122" t="s">
        <v>241</v>
      </c>
      <c r="L25" s="122"/>
      <c r="M25" s="122"/>
      <c r="N25" s="122"/>
      <c r="O25" s="123"/>
      <c r="P25" s="79"/>
      <c r="Q25" s="121" t="s">
        <v>242</v>
      </c>
      <c r="R25" s="122">
        <v>12</v>
      </c>
      <c r="S25" s="122">
        <v>12</v>
      </c>
      <c r="T25" s="122">
        <v>1</v>
      </c>
      <c r="U25" s="123">
        <v>1</v>
      </c>
      <c r="V25" s="79"/>
      <c r="W25" s="121" t="s">
        <v>243</v>
      </c>
      <c r="X25" s="123">
        <v>2016</v>
      </c>
      <c r="Y25" s="79"/>
      <c r="Z25" s="121" t="s">
        <v>244</v>
      </c>
      <c r="AA25" s="122">
        <v>26</v>
      </c>
      <c r="AB25" s="123">
        <v>0</v>
      </c>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row>
    <row r="26" spans="1:131" ht="15.75" thickBot="1">
      <c r="A26" s="79"/>
      <c r="B26" s="124" t="s">
        <v>245</v>
      </c>
      <c r="C26" s="125" t="s">
        <v>238</v>
      </c>
      <c r="D26" s="125" t="s">
        <v>245</v>
      </c>
      <c r="E26" s="126" t="s">
        <v>238</v>
      </c>
      <c r="F26" s="79"/>
      <c r="G26" s="121" t="s">
        <v>246</v>
      </c>
      <c r="H26" s="122" t="s">
        <v>247</v>
      </c>
      <c r="I26" s="122"/>
      <c r="J26" s="122"/>
      <c r="K26" s="122" t="s">
        <v>233</v>
      </c>
      <c r="L26" s="122"/>
      <c r="M26" s="122"/>
      <c r="N26" s="122"/>
      <c r="O26" s="123"/>
      <c r="P26" s="79"/>
      <c r="Q26" s="121"/>
      <c r="R26" s="122" t="s">
        <v>223</v>
      </c>
      <c r="S26" s="122" t="s">
        <v>224</v>
      </c>
      <c r="T26" s="122" t="s">
        <v>225</v>
      </c>
      <c r="U26" s="123" t="s">
        <v>226</v>
      </c>
      <c r="V26" s="79"/>
      <c r="W26" s="121" t="s">
        <v>248</v>
      </c>
      <c r="X26" s="123">
        <v>2012</v>
      </c>
      <c r="Y26" s="79"/>
      <c r="Z26" s="121" t="s">
        <v>249</v>
      </c>
      <c r="AA26" s="122">
        <v>0.9</v>
      </c>
      <c r="AB26" s="123" t="s">
        <v>111</v>
      </c>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row>
    <row r="27" spans="1:131">
      <c r="A27" s="79"/>
      <c r="B27" s="79"/>
      <c r="C27" s="79"/>
      <c r="D27" s="79"/>
      <c r="E27" s="79"/>
      <c r="F27" s="79"/>
      <c r="G27" s="121" t="s">
        <v>250</v>
      </c>
      <c r="H27" s="122" t="s">
        <v>240</v>
      </c>
      <c r="I27" s="122"/>
      <c r="J27" s="122"/>
      <c r="K27" s="122"/>
      <c r="L27" s="122"/>
      <c r="M27" s="122"/>
      <c r="N27" s="122"/>
      <c r="O27" s="123"/>
      <c r="P27" s="79"/>
      <c r="Q27" s="121" t="s">
        <v>251</v>
      </c>
      <c r="R27" s="122">
        <v>0.35</v>
      </c>
      <c r="S27" s="122">
        <v>0.19500000000000001</v>
      </c>
      <c r="T27" s="122">
        <v>0.45499999999999996</v>
      </c>
      <c r="U27" s="123">
        <v>0</v>
      </c>
      <c r="V27" s="79"/>
      <c r="W27" s="121" t="s">
        <v>252</v>
      </c>
      <c r="X27" s="123">
        <v>0.04</v>
      </c>
      <c r="Y27" s="79"/>
      <c r="Z27" s="121" t="s">
        <v>253</v>
      </c>
      <c r="AA27" s="122">
        <v>4.7399348199455904E-2</v>
      </c>
      <c r="AB27" s="123">
        <v>0</v>
      </c>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row>
    <row r="28" spans="1:131">
      <c r="A28" s="79"/>
      <c r="B28" s="79" t="s">
        <v>254</v>
      </c>
      <c r="C28" s="79" t="s">
        <v>220</v>
      </c>
      <c r="D28" s="79"/>
      <c r="E28" s="79"/>
      <c r="F28" s="79"/>
      <c r="G28" s="121" t="s">
        <v>255</v>
      </c>
      <c r="H28" s="122" t="s">
        <v>256</v>
      </c>
      <c r="I28" s="122"/>
      <c r="J28" s="122"/>
      <c r="K28" s="122" t="s">
        <v>257</v>
      </c>
      <c r="L28" s="122"/>
      <c r="M28" s="122"/>
      <c r="N28" s="122"/>
      <c r="O28" s="123"/>
      <c r="P28" s="79"/>
      <c r="Q28" s="121" t="s">
        <v>258</v>
      </c>
      <c r="R28" s="122">
        <v>1</v>
      </c>
      <c r="S28" s="122">
        <v>0</v>
      </c>
      <c r="T28" s="122">
        <v>0</v>
      </c>
      <c r="U28" s="123">
        <v>0</v>
      </c>
      <c r="V28" s="79"/>
      <c r="W28" s="121" t="s">
        <v>259</v>
      </c>
      <c r="X28" s="123">
        <v>0</v>
      </c>
      <c r="Y28" s="79"/>
      <c r="Z28" s="121" t="s">
        <v>260</v>
      </c>
      <c r="AA28" s="122">
        <v>31</v>
      </c>
      <c r="AB28" s="123">
        <v>0</v>
      </c>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row>
    <row r="29" spans="1:131">
      <c r="A29" s="79"/>
      <c r="B29" s="79" t="s">
        <v>261</v>
      </c>
      <c r="C29" s="79" t="s">
        <v>262</v>
      </c>
      <c r="D29" s="79"/>
      <c r="E29" s="79"/>
      <c r="F29" s="79"/>
      <c r="G29" s="121" t="s">
        <v>263</v>
      </c>
      <c r="H29" s="122" t="s">
        <v>257</v>
      </c>
      <c r="I29" s="122"/>
      <c r="J29" s="122"/>
      <c r="K29" s="122" t="s">
        <v>264</v>
      </c>
      <c r="L29" s="122"/>
      <c r="M29" s="122"/>
      <c r="N29" s="122"/>
      <c r="O29" s="123"/>
      <c r="P29" s="79"/>
      <c r="Q29" s="121" t="s">
        <v>265</v>
      </c>
      <c r="R29" s="122">
        <v>1</v>
      </c>
      <c r="S29" s="122">
        <v>0</v>
      </c>
      <c r="T29" s="122">
        <v>0</v>
      </c>
      <c r="U29" s="123">
        <v>0</v>
      </c>
      <c r="V29" s="79"/>
      <c r="W29" s="121" t="s">
        <v>266</v>
      </c>
      <c r="X29" s="123">
        <v>0.2</v>
      </c>
      <c r="Y29" s="79"/>
      <c r="Z29" s="121" t="s">
        <v>267</v>
      </c>
      <c r="AA29" s="122">
        <v>0.7</v>
      </c>
      <c r="AB29" s="123" t="s">
        <v>111</v>
      </c>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row>
    <row r="30" spans="1:131">
      <c r="A30" s="79"/>
      <c r="B30" s="79" t="s">
        <v>268</v>
      </c>
      <c r="C30" s="79" t="s">
        <v>269</v>
      </c>
      <c r="D30" s="79"/>
      <c r="E30" s="79"/>
      <c r="F30" s="79"/>
      <c r="G30" s="121" t="s">
        <v>270</v>
      </c>
      <c r="H30" s="122" t="s">
        <v>264</v>
      </c>
      <c r="I30" s="122"/>
      <c r="J30" s="122"/>
      <c r="K30" s="122" t="s">
        <v>271</v>
      </c>
      <c r="L30" s="122"/>
      <c r="M30" s="122"/>
      <c r="N30" s="122"/>
      <c r="O30" s="123"/>
      <c r="P30" s="79"/>
      <c r="Q30" s="121" t="s">
        <v>272</v>
      </c>
      <c r="R30" s="122"/>
      <c r="S30" s="122">
        <v>0.3</v>
      </c>
      <c r="T30" s="122">
        <v>0.7</v>
      </c>
      <c r="U30" s="123">
        <v>0</v>
      </c>
      <c r="V30" s="79"/>
      <c r="W30" s="121" t="s">
        <v>273</v>
      </c>
      <c r="X30" s="123">
        <v>0</v>
      </c>
      <c r="Y30" s="79"/>
      <c r="Z30" s="121" t="s">
        <v>274</v>
      </c>
      <c r="AA30" s="122">
        <v>0</v>
      </c>
      <c r="AB30" s="123">
        <v>0</v>
      </c>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row>
    <row r="31" spans="1:131" ht="15.75" thickBot="1">
      <c r="A31" s="79"/>
      <c r="B31" s="79" t="s">
        <v>275</v>
      </c>
      <c r="C31" s="79" t="s">
        <v>276</v>
      </c>
      <c r="D31" s="79"/>
      <c r="E31" s="79"/>
      <c r="F31" s="79"/>
      <c r="G31" s="124" t="s">
        <v>277</v>
      </c>
      <c r="H31" s="125" t="s">
        <v>271</v>
      </c>
      <c r="I31" s="125"/>
      <c r="J31" s="125"/>
      <c r="K31" s="125"/>
      <c r="L31" s="125"/>
      <c r="M31" s="125"/>
      <c r="N31" s="125"/>
      <c r="O31" s="126"/>
      <c r="P31" s="79"/>
      <c r="Q31" s="124" t="s">
        <v>278</v>
      </c>
      <c r="R31" s="125"/>
      <c r="S31" s="125">
        <v>20</v>
      </c>
      <c r="T31" s="125"/>
      <c r="U31" s="126"/>
      <c r="V31" s="79"/>
      <c r="W31" s="124" t="s">
        <v>279</v>
      </c>
      <c r="X31" s="126">
        <v>2018</v>
      </c>
      <c r="Y31" s="79"/>
      <c r="Z31" s="124" t="s">
        <v>280</v>
      </c>
      <c r="AA31" s="125">
        <v>0</v>
      </c>
      <c r="AB31" s="126">
        <v>0</v>
      </c>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row>
    <row r="32" spans="1:13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row>
    <row r="33" spans="1:13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row>
    <row r="34" spans="1:13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row>
    <row r="35" spans="1:13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row>
    <row r="36" spans="1:13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row>
    <row r="37" spans="1:13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row>
    <row r="38" spans="1:13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row>
    <row r="39" spans="1:131" ht="15.75" thickBot="1">
      <c r="A39" s="101" t="s">
        <v>281</v>
      </c>
      <c r="B39" s="102"/>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row>
    <row r="40" spans="1:131" ht="27" thickBot="1">
      <c r="A40" s="127" t="s">
        <v>282</v>
      </c>
      <c r="B40" s="128"/>
      <c r="C40" s="129" t="s">
        <v>283</v>
      </c>
      <c r="D40" s="130"/>
      <c r="E40" s="130"/>
      <c r="F40" s="130"/>
      <c r="G40" s="130"/>
      <c r="H40" s="130"/>
      <c r="I40" s="130"/>
      <c r="J40" s="130"/>
      <c r="K40" s="131"/>
      <c r="L40" s="129" t="s">
        <v>284</v>
      </c>
      <c r="M40" s="130"/>
      <c r="N40" s="130"/>
      <c r="O40" s="130"/>
      <c r="P40" s="130"/>
      <c r="Q40" s="131"/>
      <c r="R40" s="129" t="s">
        <v>285</v>
      </c>
      <c r="S40" s="130"/>
      <c r="T40" s="130"/>
      <c r="U40" s="131"/>
      <c r="V40" s="129" t="s">
        <v>286</v>
      </c>
      <c r="W40" s="130"/>
      <c r="X40" s="130"/>
      <c r="Y40" s="131"/>
      <c r="Z40" s="129" t="s">
        <v>287</v>
      </c>
      <c r="AA40" s="130"/>
      <c r="AB40" s="130"/>
      <c r="AC40" s="131"/>
      <c r="AD40" s="129" t="s">
        <v>288</v>
      </c>
      <c r="AE40" s="130"/>
      <c r="AF40" s="130"/>
      <c r="AG40" s="131"/>
      <c r="AH40" s="129" t="s">
        <v>289</v>
      </c>
      <c r="AI40" s="130"/>
      <c r="AJ40" s="130"/>
      <c r="AK40" s="130"/>
      <c r="AL40" s="131"/>
      <c r="AM40" s="129" t="s">
        <v>290</v>
      </c>
      <c r="AN40" s="130"/>
      <c r="AO40" s="130"/>
      <c r="AP40" s="130"/>
      <c r="AQ40" s="130"/>
      <c r="AR40" s="130"/>
      <c r="AS40" s="131"/>
      <c r="AT40" s="129" t="s">
        <v>291</v>
      </c>
      <c r="AU40" s="130"/>
      <c r="AV40" s="130"/>
      <c r="AW40" s="130"/>
      <c r="AX40" s="130"/>
      <c r="AY40" s="130"/>
      <c r="AZ40" s="131"/>
      <c r="BA40" s="129" t="s">
        <v>292</v>
      </c>
      <c r="BB40" s="130"/>
      <c r="BC40" s="130"/>
      <c r="BD40" s="130"/>
      <c r="BE40" s="130"/>
      <c r="BF40" s="131"/>
      <c r="BG40" s="129" t="s">
        <v>293</v>
      </c>
      <c r="BH40" s="131"/>
      <c r="BI40" s="129" t="s">
        <v>294</v>
      </c>
      <c r="BJ40" s="130"/>
      <c r="BK40" s="130"/>
      <c r="BL40" s="130"/>
      <c r="BM40" s="131"/>
      <c r="BN40" s="129" t="s">
        <v>295</v>
      </c>
      <c r="BO40" s="130"/>
      <c r="BP40" s="130"/>
      <c r="BQ40" s="130"/>
      <c r="BR40" s="130"/>
      <c r="BS40" s="130"/>
      <c r="BT40" s="130"/>
      <c r="BU40" s="130"/>
      <c r="BV40" s="130"/>
      <c r="BW40" s="130"/>
      <c r="BX40" s="130"/>
      <c r="BY40" s="130"/>
      <c r="BZ40" s="130"/>
      <c r="CA40" s="130"/>
      <c r="CB40" s="130"/>
      <c r="CC40" s="131"/>
      <c r="CD40" s="129" t="s">
        <v>296</v>
      </c>
      <c r="CE40" s="131"/>
      <c r="CF40" s="129" t="s">
        <v>297</v>
      </c>
      <c r="CG40" s="130"/>
      <c r="CH40" s="130"/>
      <c r="CI40" s="130"/>
      <c r="CJ40" s="130"/>
      <c r="CK40" s="131"/>
      <c r="CL40" s="132"/>
      <c r="CM40" s="129" t="s">
        <v>155</v>
      </c>
      <c r="CN40" s="130"/>
      <c r="CO40" s="130"/>
      <c r="CP40" s="131"/>
      <c r="CQ40" s="129" t="s">
        <v>298</v>
      </c>
      <c r="CR40" s="130"/>
      <c r="CS40" s="130"/>
      <c r="CT40" s="130"/>
      <c r="CU40" s="131"/>
      <c r="CV40" s="129" t="s">
        <v>299</v>
      </c>
      <c r="CW40" s="131"/>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row>
    <row r="41" spans="1:131" ht="128.25">
      <c r="A41" s="110" t="s">
        <v>178</v>
      </c>
      <c r="B41" s="111" t="s">
        <v>179</v>
      </c>
      <c r="C41" s="112" t="s">
        <v>300</v>
      </c>
      <c r="D41" s="112" t="s">
        <v>301</v>
      </c>
      <c r="E41" s="112" t="s">
        <v>302</v>
      </c>
      <c r="F41" s="112" t="s">
        <v>303</v>
      </c>
      <c r="G41" s="112" t="s">
        <v>304</v>
      </c>
      <c r="H41" s="112" t="s">
        <v>305</v>
      </c>
      <c r="I41" s="112" t="s">
        <v>306</v>
      </c>
      <c r="J41" s="112" t="s">
        <v>307</v>
      </c>
      <c r="K41" s="112" t="s">
        <v>308</v>
      </c>
      <c r="L41" s="112" t="s">
        <v>309</v>
      </c>
      <c r="M41" s="112" t="s">
        <v>310</v>
      </c>
      <c r="N41" s="112" t="s">
        <v>311</v>
      </c>
      <c r="O41" s="112" t="s">
        <v>312</v>
      </c>
      <c r="P41" s="112" t="s">
        <v>313</v>
      </c>
      <c r="Q41" s="112" t="s">
        <v>314</v>
      </c>
      <c r="R41" s="112" t="s">
        <v>315</v>
      </c>
      <c r="S41" s="112" t="s">
        <v>316</v>
      </c>
      <c r="T41" s="112" t="s">
        <v>317</v>
      </c>
      <c r="U41" s="112" t="s">
        <v>223</v>
      </c>
      <c r="V41" s="112" t="s">
        <v>315</v>
      </c>
      <c r="W41" s="112" t="s">
        <v>316</v>
      </c>
      <c r="X41" s="112" t="s">
        <v>317</v>
      </c>
      <c r="Y41" s="112" t="s">
        <v>223</v>
      </c>
      <c r="Z41" s="112" t="s">
        <v>315</v>
      </c>
      <c r="AA41" s="112" t="s">
        <v>316</v>
      </c>
      <c r="AB41" s="112" t="s">
        <v>317</v>
      </c>
      <c r="AC41" s="112" t="s">
        <v>223</v>
      </c>
      <c r="AD41" s="112" t="s">
        <v>315</v>
      </c>
      <c r="AE41" s="112" t="s">
        <v>316</v>
      </c>
      <c r="AF41" s="112" t="s">
        <v>317</v>
      </c>
      <c r="AG41" s="112" t="s">
        <v>223</v>
      </c>
      <c r="AH41" s="112" t="s">
        <v>315</v>
      </c>
      <c r="AI41" s="112" t="s">
        <v>316</v>
      </c>
      <c r="AJ41" s="112" t="s">
        <v>317</v>
      </c>
      <c r="AK41" s="112" t="s">
        <v>223</v>
      </c>
      <c r="AL41" s="112" t="s">
        <v>318</v>
      </c>
      <c r="AM41" s="112" t="s">
        <v>319</v>
      </c>
      <c r="AN41" s="112" t="s">
        <v>320</v>
      </c>
      <c r="AO41" s="112" t="s">
        <v>321</v>
      </c>
      <c r="AP41" s="112" t="s">
        <v>322</v>
      </c>
      <c r="AQ41" s="112" t="s">
        <v>323</v>
      </c>
      <c r="AR41" s="112" t="s">
        <v>324</v>
      </c>
      <c r="AS41" s="112" t="s">
        <v>325</v>
      </c>
      <c r="AT41" s="112" t="s">
        <v>326</v>
      </c>
      <c r="AU41" s="112" t="s">
        <v>327</v>
      </c>
      <c r="AV41" s="112" t="s">
        <v>328</v>
      </c>
      <c r="AW41" s="112" t="s">
        <v>329</v>
      </c>
      <c r="AX41" s="112" t="s">
        <v>330</v>
      </c>
      <c r="AY41" s="112" t="s">
        <v>331</v>
      </c>
      <c r="AZ41" s="112" t="s">
        <v>332</v>
      </c>
      <c r="BA41" s="112" t="s">
        <v>333</v>
      </c>
      <c r="BB41" s="112" t="s">
        <v>334</v>
      </c>
      <c r="BC41" s="112" t="s">
        <v>335</v>
      </c>
      <c r="BD41" s="112" t="s">
        <v>336</v>
      </c>
      <c r="BE41" s="112" t="s">
        <v>337</v>
      </c>
      <c r="BF41" s="112" t="s">
        <v>338</v>
      </c>
      <c r="BG41" s="112" t="s">
        <v>339</v>
      </c>
      <c r="BH41" s="112" t="s">
        <v>340</v>
      </c>
      <c r="BI41" s="112" t="s">
        <v>341</v>
      </c>
      <c r="BJ41" s="112" t="s">
        <v>342</v>
      </c>
      <c r="BK41" s="112" t="s">
        <v>343</v>
      </c>
      <c r="BL41" s="112" t="s">
        <v>344</v>
      </c>
      <c r="BM41" s="112" t="s">
        <v>345</v>
      </c>
      <c r="BN41" s="112" t="s">
        <v>346</v>
      </c>
      <c r="BO41" s="112" t="s">
        <v>347</v>
      </c>
      <c r="BP41" s="112" t="s">
        <v>348</v>
      </c>
      <c r="BQ41" s="112" t="s">
        <v>349</v>
      </c>
      <c r="BR41" s="112" t="s">
        <v>350</v>
      </c>
      <c r="BS41" s="112" t="s">
        <v>351</v>
      </c>
      <c r="BT41" s="112" t="s">
        <v>352</v>
      </c>
      <c r="BU41" s="112" t="s">
        <v>353</v>
      </c>
      <c r="BV41" s="112" t="s">
        <v>354</v>
      </c>
      <c r="BW41" s="112" t="s">
        <v>355</v>
      </c>
      <c r="BX41" s="112" t="s">
        <v>356</v>
      </c>
      <c r="BY41" s="112" t="s">
        <v>357</v>
      </c>
      <c r="BZ41" s="112" t="s">
        <v>358</v>
      </c>
      <c r="CA41" s="112" t="s">
        <v>359</v>
      </c>
      <c r="CB41" s="112" t="s">
        <v>360</v>
      </c>
      <c r="CC41" s="112" t="s">
        <v>361</v>
      </c>
      <c r="CD41" s="112" t="s">
        <v>188</v>
      </c>
      <c r="CE41" s="112" t="s">
        <v>187</v>
      </c>
      <c r="CF41" s="112" t="s">
        <v>362</v>
      </c>
      <c r="CG41" s="112" t="s">
        <v>363</v>
      </c>
      <c r="CH41" s="112" t="s">
        <v>364</v>
      </c>
      <c r="CI41" s="112" t="s">
        <v>365</v>
      </c>
      <c r="CJ41" s="112" t="s">
        <v>366</v>
      </c>
      <c r="CK41" s="112" t="s">
        <v>367</v>
      </c>
      <c r="CL41" s="112"/>
      <c r="CM41" s="112" t="s">
        <v>368</v>
      </c>
      <c r="CN41" s="112" t="s">
        <v>369</v>
      </c>
      <c r="CO41" s="112" t="s">
        <v>370</v>
      </c>
      <c r="CP41" s="112" t="s">
        <v>371</v>
      </c>
      <c r="CQ41" s="112" t="s">
        <v>372</v>
      </c>
      <c r="CR41" s="112" t="s">
        <v>373</v>
      </c>
      <c r="CS41" s="112" t="s">
        <v>374</v>
      </c>
      <c r="CT41" s="112" t="s">
        <v>375</v>
      </c>
      <c r="CU41" s="112" t="s">
        <v>376</v>
      </c>
      <c r="CV41" s="112" t="s">
        <v>377</v>
      </c>
      <c r="CW41" s="133" t="s">
        <v>378</v>
      </c>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row>
    <row r="42" spans="1:131">
      <c r="A42" s="79" t="s">
        <v>207</v>
      </c>
      <c r="B42" s="79" t="s">
        <v>207</v>
      </c>
      <c r="C42" s="103">
        <v>8.5616438356164384</v>
      </c>
      <c r="D42" s="103">
        <v>1194.6579392555182</v>
      </c>
      <c r="E42" s="103">
        <v>0</v>
      </c>
      <c r="F42" s="103">
        <v>545.41057057919818</v>
      </c>
      <c r="G42" s="103">
        <v>0</v>
      </c>
      <c r="H42" s="103">
        <v>-146.9410397919433</v>
      </c>
      <c r="I42" s="103" t="s">
        <v>710</v>
      </c>
      <c r="J42" s="103"/>
      <c r="K42" s="103"/>
      <c r="L42" s="103">
        <v>1282.3061694466355</v>
      </c>
      <c r="M42" s="103">
        <v>0.16105280993947424</v>
      </c>
      <c r="N42" s="103">
        <v>0.15989040298042945</v>
      </c>
      <c r="O42" s="103">
        <v>0</v>
      </c>
      <c r="P42" s="103">
        <v>0</v>
      </c>
      <c r="Q42" s="103">
        <v>0</v>
      </c>
      <c r="R42" s="103">
        <v>108.76215364178397</v>
      </c>
      <c r="S42" s="103">
        <v>251.33279443597667</v>
      </c>
      <c r="T42" s="103">
        <v>0</v>
      </c>
      <c r="U42" s="103">
        <v>800.81016005374147</v>
      </c>
      <c r="V42" s="103" t="s">
        <v>379</v>
      </c>
      <c r="W42" s="103" t="s">
        <v>379</v>
      </c>
      <c r="X42" s="103" t="s">
        <v>379</v>
      </c>
      <c r="Y42" s="103" t="s">
        <v>379</v>
      </c>
      <c r="Z42" s="103">
        <v>0</v>
      </c>
      <c r="AA42" s="103">
        <v>0</v>
      </c>
      <c r="AB42" s="103">
        <v>0</v>
      </c>
      <c r="AC42" s="103">
        <v>0</v>
      </c>
      <c r="AD42" s="103">
        <v>0</v>
      </c>
      <c r="AE42" s="103">
        <v>0</v>
      </c>
      <c r="AF42" s="103">
        <v>0</v>
      </c>
      <c r="AG42" s="103">
        <v>-146.9410397919433</v>
      </c>
      <c r="AH42" s="103">
        <v>108.76215364178397</v>
      </c>
      <c r="AI42" s="103">
        <v>251.33279443597667</v>
      </c>
      <c r="AJ42" s="103">
        <v>0</v>
      </c>
      <c r="AK42" s="103">
        <v>653.86912026179812</v>
      </c>
      <c r="AL42" s="103">
        <v>1013.9640683395588</v>
      </c>
      <c r="AM42" s="103">
        <v>645.56093634006356</v>
      </c>
      <c r="AN42" s="103">
        <v>56.907766392139273</v>
      </c>
      <c r="AO42" s="103">
        <v>0</v>
      </c>
      <c r="AP42" s="103">
        <v>0</v>
      </c>
      <c r="AQ42" s="103">
        <v>702.46870273220281</v>
      </c>
      <c r="AR42" s="103">
        <v>108.76215364178397</v>
      </c>
      <c r="AS42" s="134">
        <v>6.458760508235561</v>
      </c>
      <c r="AT42" s="103">
        <v>645.56093634006356</v>
      </c>
      <c r="AU42" s="103">
        <v>67.361845433905344</v>
      </c>
      <c r="AV42" s="103">
        <v>0</v>
      </c>
      <c r="AW42" s="103">
        <v>0</v>
      </c>
      <c r="AX42" s="103">
        <v>712.92278177396895</v>
      </c>
      <c r="AY42" s="103">
        <v>251.33279443597667</v>
      </c>
      <c r="AZ42" s="134">
        <v>2.8365688742444455</v>
      </c>
      <c r="BA42" s="103">
        <v>645.56093634006356</v>
      </c>
      <c r="BB42" s="103">
        <v>124.26961182604461</v>
      </c>
      <c r="BC42" s="103">
        <v>0</v>
      </c>
      <c r="BD42" s="103">
        <v>0</v>
      </c>
      <c r="BE42" s="103">
        <v>769.8305481661082</v>
      </c>
      <c r="BF42" s="103">
        <v>360.09494807776065</v>
      </c>
      <c r="BG42" s="103">
        <v>13.532213621593165</v>
      </c>
      <c r="BH42" s="134">
        <v>2.1378543416828699</v>
      </c>
      <c r="BI42" s="103">
        <v>6.2410287224362984</v>
      </c>
      <c r="BJ42" s="103">
        <v>14.422068122440129</v>
      </c>
      <c r="BK42" s="103">
        <v>0</v>
      </c>
      <c r="BL42" s="103">
        <v>37.520551254515418</v>
      </c>
      <c r="BM42" s="103">
        <v>58.183648099391846</v>
      </c>
      <c r="BN42" s="103">
        <v>645.56093634006356</v>
      </c>
      <c r="BO42" s="103">
        <v>0</v>
      </c>
      <c r="BP42" s="103">
        <v>124.26961182604461</v>
      </c>
      <c r="BQ42" s="103">
        <v>0</v>
      </c>
      <c r="BR42" s="103">
        <v>0</v>
      </c>
      <c r="BS42" s="103">
        <v>0</v>
      </c>
      <c r="BT42" s="103">
        <v>0</v>
      </c>
      <c r="BU42" s="103">
        <v>0</v>
      </c>
      <c r="BV42" s="103">
        <v>0</v>
      </c>
      <c r="BW42" s="103">
        <v>0</v>
      </c>
      <c r="BX42" s="103">
        <v>1160.9051081315022</v>
      </c>
      <c r="BY42" s="103"/>
      <c r="BZ42" s="103">
        <v>0</v>
      </c>
      <c r="CA42" s="103">
        <v>-146.9410397919433</v>
      </c>
      <c r="CB42" s="103">
        <v>769.8305481661082</v>
      </c>
      <c r="CC42" s="103">
        <v>1013.9640683395589</v>
      </c>
      <c r="CD42" s="114">
        <v>0.78970415543576333</v>
      </c>
      <c r="CE42" s="103">
        <v>51.05276487610859</v>
      </c>
      <c r="CF42" s="103">
        <v>12.182008726887725</v>
      </c>
      <c r="CG42" s="103">
        <v>0</v>
      </c>
      <c r="CH42" s="103">
        <v>12.182008726887725</v>
      </c>
      <c r="CI42" s="103">
        <v>0.60909543048715165</v>
      </c>
      <c r="CJ42" s="103">
        <v>0</v>
      </c>
      <c r="CK42" s="103">
        <v>0.60909543048715165</v>
      </c>
      <c r="CL42" s="103"/>
      <c r="CM42" s="103">
        <v>0</v>
      </c>
      <c r="CN42" s="103"/>
      <c r="CO42" s="103">
        <v>0</v>
      </c>
      <c r="CP42" s="103">
        <v>0</v>
      </c>
      <c r="CQ42" s="103">
        <v>0</v>
      </c>
      <c r="CR42" s="103">
        <v>0</v>
      </c>
      <c r="CS42" s="103">
        <v>0</v>
      </c>
      <c r="CT42" s="103">
        <v>0</v>
      </c>
      <c r="CU42" s="103">
        <v>0</v>
      </c>
      <c r="CV42" s="103">
        <v>9999</v>
      </c>
      <c r="CW42" s="134">
        <v>9999</v>
      </c>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row>
    <row r="43" spans="1:131">
      <c r="A43" s="79" t="s">
        <v>203</v>
      </c>
      <c r="B43" s="79" t="s">
        <v>203</v>
      </c>
      <c r="C43" s="103">
        <v>8.5616438356164384</v>
      </c>
      <c r="D43" s="103">
        <v>1545.4632738376483</v>
      </c>
      <c r="E43" s="103">
        <v>0</v>
      </c>
      <c r="F43" s="103">
        <v>356.58923434217837</v>
      </c>
      <c r="G43" s="103">
        <v>0</v>
      </c>
      <c r="H43" s="103">
        <v>-105.85671073196603</v>
      </c>
      <c r="I43" s="103" t="s">
        <v>710</v>
      </c>
      <c r="J43" s="103"/>
      <c r="K43" s="103"/>
      <c r="L43" s="103">
        <v>1658.8489688773964</v>
      </c>
      <c r="M43" s="103">
        <v>0.2083451628546675</v>
      </c>
      <c r="N43" s="103">
        <v>0.20684142090023278</v>
      </c>
      <c r="O43" s="103">
        <v>0</v>
      </c>
      <c r="P43" s="103">
        <v>0</v>
      </c>
      <c r="Q43" s="103">
        <v>0</v>
      </c>
      <c r="R43" s="103">
        <v>71.108656825891913</v>
      </c>
      <c r="S43" s="103">
        <v>164.32129035898672</v>
      </c>
      <c r="T43" s="103">
        <v>0</v>
      </c>
      <c r="U43" s="103">
        <v>523.56939383068891</v>
      </c>
      <c r="V43" s="103" t="s">
        <v>379</v>
      </c>
      <c r="W43" s="103" t="s">
        <v>379</v>
      </c>
      <c r="X43" s="103" t="s">
        <v>379</v>
      </c>
      <c r="Y43" s="103" t="s">
        <v>379</v>
      </c>
      <c r="Z43" s="103">
        <v>0</v>
      </c>
      <c r="AA43" s="103">
        <v>0</v>
      </c>
      <c r="AB43" s="103">
        <v>0</v>
      </c>
      <c r="AC43" s="103">
        <v>0</v>
      </c>
      <c r="AD43" s="103">
        <v>0</v>
      </c>
      <c r="AE43" s="103">
        <v>0</v>
      </c>
      <c r="AF43" s="103">
        <v>0</v>
      </c>
      <c r="AG43" s="103">
        <v>-105.85671073196603</v>
      </c>
      <c r="AH43" s="103">
        <v>71.108656825891913</v>
      </c>
      <c r="AI43" s="103">
        <v>164.32129035898672</v>
      </c>
      <c r="AJ43" s="103">
        <v>0</v>
      </c>
      <c r="AK43" s="103">
        <v>417.71268309872289</v>
      </c>
      <c r="AL43" s="103">
        <v>653.14263028360153</v>
      </c>
      <c r="AM43" s="103">
        <v>835.12667965823778</v>
      </c>
      <c r="AN43" s="103">
        <v>73.618447645349619</v>
      </c>
      <c r="AO43" s="103">
        <v>0</v>
      </c>
      <c r="AP43" s="103">
        <v>0</v>
      </c>
      <c r="AQ43" s="103">
        <v>908.74512730358742</v>
      </c>
      <c r="AR43" s="103">
        <v>71.108656825891913</v>
      </c>
      <c r="AS43" s="134">
        <v>12.779669422369082</v>
      </c>
      <c r="AT43" s="103">
        <v>835.12667965823778</v>
      </c>
      <c r="AU43" s="103">
        <v>87.142314762420469</v>
      </c>
      <c r="AV43" s="103">
        <v>0</v>
      </c>
      <c r="AW43" s="103">
        <v>0</v>
      </c>
      <c r="AX43" s="103">
        <v>922.26899442065826</v>
      </c>
      <c r="AY43" s="103">
        <v>164.32129035898672</v>
      </c>
      <c r="AZ43" s="134">
        <v>5.6125958626895569</v>
      </c>
      <c r="BA43" s="103">
        <v>835.12667965823778</v>
      </c>
      <c r="BB43" s="103">
        <v>160.76076240777007</v>
      </c>
      <c r="BC43" s="103">
        <v>0</v>
      </c>
      <c r="BD43" s="103">
        <v>0</v>
      </c>
      <c r="BE43" s="103">
        <v>995.88744206600791</v>
      </c>
      <c r="BF43" s="103">
        <v>235.42994718487864</v>
      </c>
      <c r="BG43" s="103">
        <v>3.312109429244567</v>
      </c>
      <c r="BH43" s="134">
        <v>4.2300797072513312</v>
      </c>
      <c r="BI43" s="103">
        <v>3.1541746903624479</v>
      </c>
      <c r="BJ43" s="103">
        <v>7.2888179621653792</v>
      </c>
      <c r="BK43" s="103">
        <v>0</v>
      </c>
      <c r="BL43" s="103">
        <v>18.528528475785279</v>
      </c>
      <c r="BM43" s="103">
        <v>28.97152112831311</v>
      </c>
      <c r="BN43" s="103">
        <v>835.12667965823778</v>
      </c>
      <c r="BO43" s="103">
        <v>0</v>
      </c>
      <c r="BP43" s="103">
        <v>160.76076240777007</v>
      </c>
      <c r="BQ43" s="103">
        <v>0</v>
      </c>
      <c r="BR43" s="103">
        <v>0</v>
      </c>
      <c r="BS43" s="103">
        <v>0</v>
      </c>
      <c r="BT43" s="103">
        <v>0</v>
      </c>
      <c r="BU43" s="103">
        <v>0</v>
      </c>
      <c r="BV43" s="103">
        <v>0</v>
      </c>
      <c r="BW43" s="103">
        <v>0</v>
      </c>
      <c r="BX43" s="103">
        <v>758.99934101556755</v>
      </c>
      <c r="BY43" s="103"/>
      <c r="BZ43" s="103">
        <v>0</v>
      </c>
      <c r="CA43" s="103">
        <v>-105.85671073196603</v>
      </c>
      <c r="CB43" s="103">
        <v>995.88744206600791</v>
      </c>
      <c r="CC43" s="103">
        <v>653.14263028360153</v>
      </c>
      <c r="CD43" s="134">
        <v>1.451574584141011</v>
      </c>
      <c r="CE43" s="103">
        <v>21.840637905029844</v>
      </c>
      <c r="CF43" s="103">
        <v>15.759194720379217</v>
      </c>
      <c r="CG43" s="103">
        <v>0</v>
      </c>
      <c r="CH43" s="103">
        <v>15.759194720379217</v>
      </c>
      <c r="CI43" s="103">
        <v>0.78795326021676315</v>
      </c>
      <c r="CJ43" s="103">
        <v>0</v>
      </c>
      <c r="CK43" s="103">
        <v>0.78795326021676315</v>
      </c>
      <c r="CL43" s="103"/>
      <c r="CM43" s="103">
        <v>0</v>
      </c>
      <c r="CN43" s="103"/>
      <c r="CO43" s="103">
        <v>0</v>
      </c>
      <c r="CP43" s="103">
        <v>0</v>
      </c>
      <c r="CQ43" s="103">
        <v>0</v>
      </c>
      <c r="CR43" s="103">
        <v>0</v>
      </c>
      <c r="CS43" s="103">
        <v>0</v>
      </c>
      <c r="CT43" s="103">
        <v>0</v>
      </c>
      <c r="CU43" s="103">
        <v>0</v>
      </c>
      <c r="CV43" s="103">
        <v>9999</v>
      </c>
      <c r="CW43" s="134">
        <v>9999</v>
      </c>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row>
    <row r="44" spans="1:131">
      <c r="A44" s="79" t="s">
        <v>205</v>
      </c>
      <c r="B44" s="79" t="s">
        <v>205</v>
      </c>
      <c r="C44" s="103">
        <v>8.5616438356164384</v>
      </c>
      <c r="D44" s="103">
        <v>1344.678795729609</v>
      </c>
      <c r="E44" s="103">
        <v>0</v>
      </c>
      <c r="F44" s="103">
        <v>447.49652763248179</v>
      </c>
      <c r="G44" s="103">
        <v>0</v>
      </c>
      <c r="H44" s="103">
        <v>-106.30975290832721</v>
      </c>
      <c r="I44" s="103" t="s">
        <v>710</v>
      </c>
      <c r="J44" s="103"/>
      <c r="K44" s="103"/>
      <c r="L44" s="103">
        <v>1443.3335761052115</v>
      </c>
      <c r="M44" s="103">
        <v>0.18127724380523469</v>
      </c>
      <c r="N44" s="103">
        <v>0.17996886595206432</v>
      </c>
      <c r="O44" s="103">
        <v>0</v>
      </c>
      <c r="P44" s="103">
        <v>0</v>
      </c>
      <c r="Q44" s="103">
        <v>0</v>
      </c>
      <c r="R44" s="103">
        <v>89.236785493253322</v>
      </c>
      <c r="S44" s="103">
        <v>206.21263843645335</v>
      </c>
      <c r="T44" s="103">
        <v>0</v>
      </c>
      <c r="U44" s="103">
        <v>657.04587561678807</v>
      </c>
      <c r="V44" s="103" t="s">
        <v>379</v>
      </c>
      <c r="W44" s="103" t="s">
        <v>379</v>
      </c>
      <c r="X44" s="103" t="s">
        <v>379</v>
      </c>
      <c r="Y44" s="103" t="s">
        <v>379</v>
      </c>
      <c r="Z44" s="103">
        <v>0</v>
      </c>
      <c r="AA44" s="103">
        <v>0</v>
      </c>
      <c r="AB44" s="103">
        <v>0</v>
      </c>
      <c r="AC44" s="103">
        <v>0</v>
      </c>
      <c r="AD44" s="103">
        <v>0</v>
      </c>
      <c r="AE44" s="103">
        <v>0</v>
      </c>
      <c r="AF44" s="103">
        <v>0</v>
      </c>
      <c r="AG44" s="103">
        <v>-106.30975290832721</v>
      </c>
      <c r="AH44" s="103">
        <v>89.236785493253322</v>
      </c>
      <c r="AI44" s="103">
        <v>206.21263843645335</v>
      </c>
      <c r="AJ44" s="103">
        <v>0</v>
      </c>
      <c r="AK44" s="103">
        <v>550.73612270846081</v>
      </c>
      <c r="AL44" s="103">
        <v>846.18554663816747</v>
      </c>
      <c r="AM44" s="103">
        <v>726.62816185593522</v>
      </c>
      <c r="AN44" s="103">
        <v>64.054039457964706</v>
      </c>
      <c r="AO44" s="103">
        <v>0</v>
      </c>
      <c r="AP44" s="103">
        <v>0</v>
      </c>
      <c r="AQ44" s="103">
        <v>790.6822013138999</v>
      </c>
      <c r="AR44" s="103">
        <v>89.236785493253322</v>
      </c>
      <c r="AS44" s="134">
        <v>8.8604962285836582</v>
      </c>
      <c r="AT44" s="103">
        <v>726.62816185593522</v>
      </c>
      <c r="AU44" s="103">
        <v>75.820904226891244</v>
      </c>
      <c r="AV44" s="103">
        <v>0</v>
      </c>
      <c r="AW44" s="103">
        <v>0</v>
      </c>
      <c r="AX44" s="103">
        <v>802.44906608282645</v>
      </c>
      <c r="AY44" s="103">
        <v>206.21263843645335</v>
      </c>
      <c r="AZ44" s="134">
        <v>3.8913670479518636</v>
      </c>
      <c r="BA44" s="103">
        <v>726.62816185593522</v>
      </c>
      <c r="BB44" s="103">
        <v>139.87494368485596</v>
      </c>
      <c r="BC44" s="103">
        <v>0</v>
      </c>
      <c r="BD44" s="103">
        <v>0</v>
      </c>
      <c r="BE44" s="103">
        <v>866.50310554079113</v>
      </c>
      <c r="BF44" s="103">
        <v>295.44942392970665</v>
      </c>
      <c r="BG44" s="103">
        <v>7.9312521737167359</v>
      </c>
      <c r="BH44" s="134">
        <v>2.9328305806646271</v>
      </c>
      <c r="BI44" s="103">
        <v>4.5493287061281062</v>
      </c>
      <c r="BJ44" s="103">
        <v>10.512806690871892</v>
      </c>
      <c r="BK44" s="103">
        <v>0</v>
      </c>
      <c r="BL44" s="103">
        <v>28.076758241462169</v>
      </c>
      <c r="BM44" s="103">
        <v>43.138893638462172</v>
      </c>
      <c r="BN44" s="103">
        <v>726.62816185593522</v>
      </c>
      <c r="BO44" s="103">
        <v>0</v>
      </c>
      <c r="BP44" s="103">
        <v>139.87494368485596</v>
      </c>
      <c r="BQ44" s="103">
        <v>0</v>
      </c>
      <c r="BR44" s="103">
        <v>0</v>
      </c>
      <c r="BS44" s="103">
        <v>0</v>
      </c>
      <c r="BT44" s="103">
        <v>0</v>
      </c>
      <c r="BU44" s="103">
        <v>0</v>
      </c>
      <c r="BV44" s="103">
        <v>0</v>
      </c>
      <c r="BW44" s="103">
        <v>0</v>
      </c>
      <c r="BX44" s="103">
        <v>952.49529954649472</v>
      </c>
      <c r="BY44" s="103"/>
      <c r="BZ44" s="103">
        <v>0</v>
      </c>
      <c r="CA44" s="103">
        <v>-106.30975290832721</v>
      </c>
      <c r="CB44" s="103">
        <v>866.50310554079113</v>
      </c>
      <c r="CC44" s="103">
        <v>846.18554663816747</v>
      </c>
      <c r="CD44" s="134">
        <v>1.0213308757663133</v>
      </c>
      <c r="CE44" s="103">
        <v>36.008010415178902</v>
      </c>
      <c r="CF44" s="103">
        <v>13.711781662495888</v>
      </c>
      <c r="CG44" s="103">
        <v>0</v>
      </c>
      <c r="CH44" s="103">
        <v>13.711781662495888</v>
      </c>
      <c r="CI44" s="103">
        <v>0.68558344864997534</v>
      </c>
      <c r="CJ44" s="103">
        <v>0</v>
      </c>
      <c r="CK44" s="103">
        <v>0.68558344864997534</v>
      </c>
      <c r="CL44" s="103"/>
      <c r="CM44" s="103">
        <v>0</v>
      </c>
      <c r="CN44" s="103"/>
      <c r="CO44" s="103">
        <v>0</v>
      </c>
      <c r="CP44" s="103">
        <v>0</v>
      </c>
      <c r="CQ44" s="103">
        <v>0</v>
      </c>
      <c r="CR44" s="103">
        <v>0</v>
      </c>
      <c r="CS44" s="103">
        <v>0</v>
      </c>
      <c r="CT44" s="103">
        <v>0</v>
      </c>
      <c r="CU44" s="103">
        <v>0</v>
      </c>
      <c r="CV44" s="103">
        <v>9999</v>
      </c>
      <c r="CW44" s="134">
        <v>9999</v>
      </c>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row>
    <row r="45" spans="1:131">
      <c r="A45" s="79" t="s">
        <v>208</v>
      </c>
      <c r="B45" s="79" t="s">
        <v>208</v>
      </c>
      <c r="C45" s="103">
        <v>8.5616438356164384</v>
      </c>
      <c r="D45" s="103">
        <v>1194.6579392555182</v>
      </c>
      <c r="E45" s="103">
        <v>0</v>
      </c>
      <c r="F45" s="103">
        <v>678.27513934376702</v>
      </c>
      <c r="G45" s="103">
        <v>0</v>
      </c>
      <c r="H45" s="103">
        <v>-146.9410397919433</v>
      </c>
      <c r="I45" s="103" t="s">
        <v>710</v>
      </c>
      <c r="J45" s="103"/>
      <c r="K45" s="103"/>
      <c r="L45" s="103">
        <v>1282.3061694466355</v>
      </c>
      <c r="M45" s="103">
        <v>0.16105280993947424</v>
      </c>
      <c r="N45" s="103">
        <v>0.15989040298042945</v>
      </c>
      <c r="O45" s="103">
        <v>0</v>
      </c>
      <c r="P45" s="103">
        <v>0</v>
      </c>
      <c r="Q45" s="103">
        <v>0</v>
      </c>
      <c r="R45" s="103">
        <v>135.25712352506946</v>
      </c>
      <c r="S45" s="103">
        <v>312.55863997407869</v>
      </c>
      <c r="T45" s="103">
        <v>0</v>
      </c>
      <c r="U45" s="103">
        <v>995.89126466972857</v>
      </c>
      <c r="V45" s="103" t="s">
        <v>379</v>
      </c>
      <c r="W45" s="103" t="s">
        <v>379</v>
      </c>
      <c r="X45" s="103" t="s">
        <v>379</v>
      </c>
      <c r="Y45" s="103" t="s">
        <v>379</v>
      </c>
      <c r="Z45" s="103">
        <v>0</v>
      </c>
      <c r="AA45" s="103">
        <v>0</v>
      </c>
      <c r="AB45" s="103">
        <v>0</v>
      </c>
      <c r="AC45" s="103">
        <v>0</v>
      </c>
      <c r="AD45" s="103">
        <v>0</v>
      </c>
      <c r="AE45" s="103">
        <v>0</v>
      </c>
      <c r="AF45" s="103">
        <v>0</v>
      </c>
      <c r="AG45" s="103">
        <v>-146.9410397919433</v>
      </c>
      <c r="AH45" s="103">
        <v>135.25712352506946</v>
      </c>
      <c r="AI45" s="103">
        <v>312.55863997407869</v>
      </c>
      <c r="AJ45" s="103">
        <v>0</v>
      </c>
      <c r="AK45" s="103">
        <v>848.95022487778533</v>
      </c>
      <c r="AL45" s="103">
        <v>1296.7659883769334</v>
      </c>
      <c r="AM45" s="103">
        <v>645.56093634006356</v>
      </c>
      <c r="AN45" s="103">
        <v>56.907766392139273</v>
      </c>
      <c r="AO45" s="103">
        <v>0</v>
      </c>
      <c r="AP45" s="103">
        <v>0</v>
      </c>
      <c r="AQ45" s="103">
        <v>702.46870273220281</v>
      </c>
      <c r="AR45" s="103">
        <v>135.25712352506946</v>
      </c>
      <c r="AS45" s="134">
        <v>5.1935800823237424</v>
      </c>
      <c r="AT45" s="103">
        <v>645.56093634006356</v>
      </c>
      <c r="AU45" s="103">
        <v>67.361845433905344</v>
      </c>
      <c r="AV45" s="103">
        <v>0</v>
      </c>
      <c r="AW45" s="103">
        <v>0</v>
      </c>
      <c r="AX45" s="103">
        <v>712.92278177396895</v>
      </c>
      <c r="AY45" s="103">
        <v>312.55863997407869</v>
      </c>
      <c r="AZ45" s="134">
        <v>2.2809248908719768</v>
      </c>
      <c r="BA45" s="103">
        <v>645.56093634006356</v>
      </c>
      <c r="BB45" s="103">
        <v>124.26961182604461</v>
      </c>
      <c r="BC45" s="103">
        <v>0</v>
      </c>
      <c r="BD45" s="103">
        <v>0</v>
      </c>
      <c r="BE45" s="103">
        <v>769.8305481661082</v>
      </c>
      <c r="BF45" s="103">
        <v>447.81576349914815</v>
      </c>
      <c r="BG45" s="103">
        <v>18.565840763655267</v>
      </c>
      <c r="BH45" s="134">
        <v>1.7190787169946791</v>
      </c>
      <c r="BI45" s="103">
        <v>7.7613725415397798</v>
      </c>
      <c r="BJ45" s="103">
        <v>17.935351445398751</v>
      </c>
      <c r="BK45" s="103">
        <v>0</v>
      </c>
      <c r="BL45" s="103">
        <v>48.714764832916259</v>
      </c>
      <c r="BM45" s="103">
        <v>74.411488819854782</v>
      </c>
      <c r="BN45" s="103">
        <v>645.56093634006356</v>
      </c>
      <c r="BO45" s="103">
        <v>0</v>
      </c>
      <c r="BP45" s="103">
        <v>124.26961182604461</v>
      </c>
      <c r="BQ45" s="103">
        <v>0</v>
      </c>
      <c r="BR45" s="103">
        <v>0</v>
      </c>
      <c r="BS45" s="103">
        <v>0</v>
      </c>
      <c r="BT45" s="103">
        <v>0</v>
      </c>
      <c r="BU45" s="103">
        <v>0</v>
      </c>
      <c r="BV45" s="103">
        <v>0</v>
      </c>
      <c r="BW45" s="103">
        <v>0</v>
      </c>
      <c r="BX45" s="103">
        <v>1443.7070281688766</v>
      </c>
      <c r="BY45" s="103"/>
      <c r="BZ45" s="103">
        <v>0</v>
      </c>
      <c r="CA45" s="103">
        <v>-146.9410397919433</v>
      </c>
      <c r="CB45" s="103">
        <v>769.8305481661082</v>
      </c>
      <c r="CC45" s="103">
        <v>1296.7659883769334</v>
      </c>
      <c r="CD45" s="114">
        <v>0.63501220820462245</v>
      </c>
      <c r="CE45" s="103">
        <v>67.280605596571519</v>
      </c>
      <c r="CF45" s="103">
        <v>12.182008726887725</v>
      </c>
      <c r="CG45" s="103">
        <v>0</v>
      </c>
      <c r="CH45" s="103">
        <v>12.182008726887725</v>
      </c>
      <c r="CI45" s="103">
        <v>0.60909543048715165</v>
      </c>
      <c r="CJ45" s="103">
        <v>0</v>
      </c>
      <c r="CK45" s="103">
        <v>0.60909543048715165</v>
      </c>
      <c r="CL45" s="103"/>
      <c r="CM45" s="103">
        <v>0</v>
      </c>
      <c r="CN45" s="103"/>
      <c r="CO45" s="103">
        <v>0</v>
      </c>
      <c r="CP45" s="103">
        <v>0</v>
      </c>
      <c r="CQ45" s="103">
        <v>0</v>
      </c>
      <c r="CR45" s="103">
        <v>0</v>
      </c>
      <c r="CS45" s="103">
        <v>0</v>
      </c>
      <c r="CT45" s="103">
        <v>0</v>
      </c>
      <c r="CU45" s="103">
        <v>0</v>
      </c>
      <c r="CV45" s="103">
        <v>9999</v>
      </c>
      <c r="CW45" s="134">
        <v>9999</v>
      </c>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row>
    <row r="46" spans="1:131">
      <c r="A46" s="79" t="s">
        <v>204</v>
      </c>
      <c r="B46" s="79" t="s">
        <v>204</v>
      </c>
      <c r="C46" s="103">
        <v>8.5616438356164384</v>
      </c>
      <c r="D46" s="103">
        <v>1545.4632738376483</v>
      </c>
      <c r="E46" s="103">
        <v>0</v>
      </c>
      <c r="F46" s="103">
        <v>484.7925975406369</v>
      </c>
      <c r="G46" s="103">
        <v>0</v>
      </c>
      <c r="H46" s="103">
        <v>-105.85671073196603</v>
      </c>
      <c r="I46" s="103" t="s">
        <v>710</v>
      </c>
      <c r="J46" s="103"/>
      <c r="K46" s="103"/>
      <c r="L46" s="103">
        <v>1658.8489688773964</v>
      </c>
      <c r="M46" s="103">
        <v>0.2083451628546675</v>
      </c>
      <c r="N46" s="103">
        <v>0.20684142090023278</v>
      </c>
      <c r="O46" s="103">
        <v>0</v>
      </c>
      <c r="P46" s="103">
        <v>0</v>
      </c>
      <c r="Q46" s="103">
        <v>0</v>
      </c>
      <c r="R46" s="103">
        <v>96.674120052570331</v>
      </c>
      <c r="S46" s="103">
        <v>223.39918739083416</v>
      </c>
      <c r="T46" s="103">
        <v>0</v>
      </c>
      <c r="U46" s="103">
        <v>711.80658859821767</v>
      </c>
      <c r="V46" s="103" t="s">
        <v>379</v>
      </c>
      <c r="W46" s="103" t="s">
        <v>379</v>
      </c>
      <c r="X46" s="103" t="s">
        <v>379</v>
      </c>
      <c r="Y46" s="103" t="s">
        <v>379</v>
      </c>
      <c r="Z46" s="103">
        <v>0</v>
      </c>
      <c r="AA46" s="103">
        <v>0</v>
      </c>
      <c r="AB46" s="103">
        <v>0</v>
      </c>
      <c r="AC46" s="103">
        <v>0</v>
      </c>
      <c r="AD46" s="103">
        <v>0</v>
      </c>
      <c r="AE46" s="103">
        <v>0</v>
      </c>
      <c r="AF46" s="103">
        <v>0</v>
      </c>
      <c r="AG46" s="103">
        <v>-105.85671073196603</v>
      </c>
      <c r="AH46" s="103">
        <v>96.674120052570331</v>
      </c>
      <c r="AI46" s="103">
        <v>223.39918739083416</v>
      </c>
      <c r="AJ46" s="103">
        <v>0</v>
      </c>
      <c r="AK46" s="103">
        <v>605.94987786625165</v>
      </c>
      <c r="AL46" s="103">
        <v>926.02318530965613</v>
      </c>
      <c r="AM46" s="103">
        <v>835.12667965823778</v>
      </c>
      <c r="AN46" s="103">
        <v>73.618447645349619</v>
      </c>
      <c r="AO46" s="103">
        <v>0</v>
      </c>
      <c r="AP46" s="103">
        <v>0</v>
      </c>
      <c r="AQ46" s="103">
        <v>908.74512730358742</v>
      </c>
      <c r="AR46" s="103">
        <v>96.674120052570331</v>
      </c>
      <c r="AS46" s="134">
        <v>9.4000868775368396</v>
      </c>
      <c r="AT46" s="103">
        <v>835.12667965823778</v>
      </c>
      <c r="AU46" s="103">
        <v>87.142314762420469</v>
      </c>
      <c r="AV46" s="103">
        <v>0</v>
      </c>
      <c r="AW46" s="103">
        <v>0</v>
      </c>
      <c r="AX46" s="103">
        <v>922.26899442065826</v>
      </c>
      <c r="AY46" s="103">
        <v>223.39918739083416</v>
      </c>
      <c r="AZ46" s="134">
        <v>4.1283453408770008</v>
      </c>
      <c r="BA46" s="103">
        <v>835.12667965823778</v>
      </c>
      <c r="BB46" s="103">
        <v>160.76076240777007</v>
      </c>
      <c r="BC46" s="103">
        <v>0</v>
      </c>
      <c r="BD46" s="103">
        <v>0</v>
      </c>
      <c r="BE46" s="103">
        <v>995.88744206600791</v>
      </c>
      <c r="BF46" s="103">
        <v>320.07330744340447</v>
      </c>
      <c r="BG46" s="103">
        <v>7.0666444823867991</v>
      </c>
      <c r="BH46" s="134">
        <v>3.1114354708947456</v>
      </c>
      <c r="BI46" s="103">
        <v>4.2881848187554121</v>
      </c>
      <c r="BJ46" s="103">
        <v>9.9093428869146489</v>
      </c>
      <c r="BK46" s="103">
        <v>0</v>
      </c>
      <c r="BL46" s="103">
        <v>26.878186900276532</v>
      </c>
      <c r="BM46" s="103">
        <v>41.075714605946594</v>
      </c>
      <c r="BN46" s="103">
        <v>835.12667965823778</v>
      </c>
      <c r="BO46" s="103">
        <v>0</v>
      </c>
      <c r="BP46" s="103">
        <v>160.76076240777007</v>
      </c>
      <c r="BQ46" s="103">
        <v>0</v>
      </c>
      <c r="BR46" s="103">
        <v>0</v>
      </c>
      <c r="BS46" s="103">
        <v>0</v>
      </c>
      <c r="BT46" s="103">
        <v>0</v>
      </c>
      <c r="BU46" s="103">
        <v>0</v>
      </c>
      <c r="BV46" s="103">
        <v>0</v>
      </c>
      <c r="BW46" s="103">
        <v>0</v>
      </c>
      <c r="BX46" s="103">
        <v>1031.879896041622</v>
      </c>
      <c r="BY46" s="103"/>
      <c r="BZ46" s="103">
        <v>0</v>
      </c>
      <c r="CA46" s="103">
        <v>-105.85671073196603</v>
      </c>
      <c r="CB46" s="103">
        <v>995.88744206600791</v>
      </c>
      <c r="CC46" s="103">
        <v>926.02318530965601</v>
      </c>
      <c r="CD46" s="134">
        <v>1.0677058028016215</v>
      </c>
      <c r="CE46" s="103">
        <v>33.944831382663331</v>
      </c>
      <c r="CF46" s="103">
        <v>15.759194720379217</v>
      </c>
      <c r="CG46" s="103">
        <v>0</v>
      </c>
      <c r="CH46" s="103">
        <v>15.759194720379217</v>
      </c>
      <c r="CI46" s="103">
        <v>0.78795326021676315</v>
      </c>
      <c r="CJ46" s="103">
        <v>0</v>
      </c>
      <c r="CK46" s="103">
        <v>0.78795326021676315</v>
      </c>
      <c r="CL46" s="103"/>
      <c r="CM46" s="103">
        <v>0</v>
      </c>
      <c r="CN46" s="103"/>
      <c r="CO46" s="103">
        <v>0</v>
      </c>
      <c r="CP46" s="103">
        <v>0</v>
      </c>
      <c r="CQ46" s="103">
        <v>0</v>
      </c>
      <c r="CR46" s="103">
        <v>0</v>
      </c>
      <c r="CS46" s="103">
        <v>0</v>
      </c>
      <c r="CT46" s="103">
        <v>0</v>
      </c>
      <c r="CU46" s="103">
        <v>0</v>
      </c>
      <c r="CV46" s="103">
        <v>9999</v>
      </c>
      <c r="CW46" s="134">
        <v>9999</v>
      </c>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row>
    <row r="47" spans="1:131">
      <c r="A47" s="79" t="s">
        <v>206</v>
      </c>
      <c r="B47" s="79" t="s">
        <v>206</v>
      </c>
      <c r="C47" s="103">
        <v>8.5616438356164384</v>
      </c>
      <c r="D47" s="103">
        <v>1344.678795729609</v>
      </c>
      <c r="E47" s="103">
        <v>0</v>
      </c>
      <c r="F47" s="103">
        <v>581.53386844220199</v>
      </c>
      <c r="G47" s="103">
        <v>0</v>
      </c>
      <c r="H47" s="103">
        <v>-106.30975290832721</v>
      </c>
      <c r="I47" s="103" t="s">
        <v>710</v>
      </c>
      <c r="J47" s="103"/>
      <c r="K47" s="103"/>
      <c r="L47" s="103">
        <v>1443.3335761052115</v>
      </c>
      <c r="M47" s="103">
        <v>0.18127724380523469</v>
      </c>
      <c r="N47" s="103">
        <v>0.17996886595206432</v>
      </c>
      <c r="O47" s="103">
        <v>0</v>
      </c>
      <c r="P47" s="103">
        <v>0</v>
      </c>
      <c r="Q47" s="103">
        <v>0</v>
      </c>
      <c r="R47" s="103">
        <v>115.9656217888199</v>
      </c>
      <c r="S47" s="103">
        <v>267.97891368245644</v>
      </c>
      <c r="T47" s="103">
        <v>0</v>
      </c>
      <c r="U47" s="103">
        <v>853.84892663397318</v>
      </c>
      <c r="V47" s="103" t="s">
        <v>379</v>
      </c>
      <c r="W47" s="103" t="s">
        <v>379</v>
      </c>
      <c r="X47" s="103" t="s">
        <v>379</v>
      </c>
      <c r="Y47" s="103" t="s">
        <v>379</v>
      </c>
      <c r="Z47" s="103">
        <v>0</v>
      </c>
      <c r="AA47" s="103">
        <v>0</v>
      </c>
      <c r="AB47" s="103">
        <v>0</v>
      </c>
      <c r="AC47" s="103">
        <v>0</v>
      </c>
      <c r="AD47" s="103">
        <v>0</v>
      </c>
      <c r="AE47" s="103">
        <v>0</v>
      </c>
      <c r="AF47" s="103">
        <v>0</v>
      </c>
      <c r="AG47" s="103">
        <v>-106.30975290832721</v>
      </c>
      <c r="AH47" s="103">
        <v>115.9656217888199</v>
      </c>
      <c r="AI47" s="103">
        <v>267.97891368245644</v>
      </c>
      <c r="AJ47" s="103">
        <v>0</v>
      </c>
      <c r="AK47" s="103">
        <v>747.53917372564592</v>
      </c>
      <c r="AL47" s="103">
        <v>1131.4837091969223</v>
      </c>
      <c r="AM47" s="103">
        <v>726.62816185593522</v>
      </c>
      <c r="AN47" s="103">
        <v>64.054039457964706</v>
      </c>
      <c r="AO47" s="103">
        <v>0</v>
      </c>
      <c r="AP47" s="103">
        <v>0</v>
      </c>
      <c r="AQ47" s="103">
        <v>790.6822013138999</v>
      </c>
      <c r="AR47" s="103">
        <v>115.9656217888199</v>
      </c>
      <c r="AS47" s="134">
        <v>6.8182465554643246</v>
      </c>
      <c r="AT47" s="103">
        <v>726.62816185593522</v>
      </c>
      <c r="AU47" s="103">
        <v>75.820904226891244</v>
      </c>
      <c r="AV47" s="103">
        <v>0</v>
      </c>
      <c r="AW47" s="103">
        <v>0</v>
      </c>
      <c r="AX47" s="103">
        <v>802.44906608282645</v>
      </c>
      <c r="AY47" s="103">
        <v>267.97891368245644</v>
      </c>
      <c r="AZ47" s="134">
        <v>2.9944485372222021</v>
      </c>
      <c r="BA47" s="103">
        <v>726.62816185593522</v>
      </c>
      <c r="BB47" s="103">
        <v>139.87494368485596</v>
      </c>
      <c r="BC47" s="103">
        <v>0</v>
      </c>
      <c r="BD47" s="103">
        <v>0</v>
      </c>
      <c r="BE47" s="103">
        <v>866.50310554079113</v>
      </c>
      <c r="BF47" s="103">
        <v>383.94453547127637</v>
      </c>
      <c r="BG47" s="103">
        <v>12.442770031097531</v>
      </c>
      <c r="BH47" s="134">
        <v>2.2568444800944847</v>
      </c>
      <c r="BI47" s="103">
        <v>5.9119759773032117</v>
      </c>
      <c r="BJ47" s="103">
        <v>13.661677277077578</v>
      </c>
      <c r="BK47" s="103">
        <v>0</v>
      </c>
      <c r="BL47" s="103">
        <v>38.109860223982196</v>
      </c>
      <c r="BM47" s="103">
        <v>57.683513478362997</v>
      </c>
      <c r="BN47" s="103">
        <v>726.62816185593522</v>
      </c>
      <c r="BO47" s="103">
        <v>0</v>
      </c>
      <c r="BP47" s="103">
        <v>139.87494368485596</v>
      </c>
      <c r="BQ47" s="103">
        <v>0</v>
      </c>
      <c r="BR47" s="103">
        <v>0</v>
      </c>
      <c r="BS47" s="103">
        <v>0</v>
      </c>
      <c r="BT47" s="103">
        <v>0</v>
      </c>
      <c r="BU47" s="103">
        <v>0</v>
      </c>
      <c r="BV47" s="103">
        <v>0</v>
      </c>
      <c r="BW47" s="103">
        <v>0</v>
      </c>
      <c r="BX47" s="103">
        <v>1237.7934621052495</v>
      </c>
      <c r="BY47" s="103"/>
      <c r="BZ47" s="103">
        <v>0</v>
      </c>
      <c r="CA47" s="103">
        <v>-106.30975290832721</v>
      </c>
      <c r="CB47" s="103">
        <v>866.50310554079113</v>
      </c>
      <c r="CC47" s="103">
        <v>1131.4837091969223</v>
      </c>
      <c r="CD47" s="114">
        <v>0.78592502564567601</v>
      </c>
      <c r="CE47" s="103">
        <v>50.552630255079734</v>
      </c>
      <c r="CF47" s="103">
        <v>13.711781662495888</v>
      </c>
      <c r="CG47" s="103">
        <v>0</v>
      </c>
      <c r="CH47" s="103">
        <v>13.711781662495888</v>
      </c>
      <c r="CI47" s="103">
        <v>0.68558344864997534</v>
      </c>
      <c r="CJ47" s="103">
        <v>0</v>
      </c>
      <c r="CK47" s="103">
        <v>0.68558344864997534</v>
      </c>
      <c r="CL47" s="103"/>
      <c r="CM47" s="103">
        <v>0</v>
      </c>
      <c r="CN47" s="103"/>
      <c r="CO47" s="103">
        <v>0</v>
      </c>
      <c r="CP47" s="103">
        <v>0</v>
      </c>
      <c r="CQ47" s="103">
        <v>0</v>
      </c>
      <c r="CR47" s="103">
        <v>0</v>
      </c>
      <c r="CS47" s="103">
        <v>0</v>
      </c>
      <c r="CT47" s="103">
        <v>0</v>
      </c>
      <c r="CU47" s="103">
        <v>0</v>
      </c>
      <c r="CV47" s="103">
        <v>9999</v>
      </c>
      <c r="CW47" s="134">
        <v>9999</v>
      </c>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row>
    <row r="48" spans="1:131">
      <c r="A48" s="79"/>
      <c r="B48" s="79"/>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row>
    <row r="49" spans="1:131">
      <c r="A49" s="79"/>
      <c r="B49" s="79"/>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row>
    <row r="50" spans="1:131" ht="15.75" thickBot="1">
      <c r="A50" s="101" t="s">
        <v>380</v>
      </c>
      <c r="B50" s="102"/>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row>
    <row r="51" spans="1:131" ht="27" thickBot="1">
      <c r="A51" s="127" t="s">
        <v>282</v>
      </c>
      <c r="B51" s="128"/>
      <c r="C51" s="129" t="s">
        <v>283</v>
      </c>
      <c r="D51" s="130"/>
      <c r="E51" s="130"/>
      <c r="F51" s="130"/>
      <c r="G51" s="130"/>
      <c r="H51" s="130"/>
      <c r="I51" s="130"/>
      <c r="J51" s="130"/>
      <c r="K51" s="131"/>
      <c r="L51" s="129" t="s">
        <v>284</v>
      </c>
      <c r="M51" s="130"/>
      <c r="N51" s="130"/>
      <c r="O51" s="130"/>
      <c r="P51" s="130"/>
      <c r="Q51" s="131"/>
      <c r="R51" s="129" t="s">
        <v>285</v>
      </c>
      <c r="S51" s="130"/>
      <c r="T51" s="130"/>
      <c r="U51" s="131"/>
      <c r="V51" s="129" t="s">
        <v>286</v>
      </c>
      <c r="W51" s="130"/>
      <c r="X51" s="130"/>
      <c r="Y51" s="131"/>
      <c r="Z51" s="129" t="s">
        <v>287</v>
      </c>
      <c r="AA51" s="130"/>
      <c r="AB51" s="130"/>
      <c r="AC51" s="131"/>
      <c r="AD51" s="129" t="s">
        <v>288</v>
      </c>
      <c r="AE51" s="130"/>
      <c r="AF51" s="130"/>
      <c r="AG51" s="131"/>
      <c r="AH51" s="129" t="s">
        <v>289</v>
      </c>
      <c r="AI51" s="130"/>
      <c r="AJ51" s="130"/>
      <c r="AK51" s="130"/>
      <c r="AL51" s="131"/>
      <c r="AM51" s="129" t="s">
        <v>290</v>
      </c>
      <c r="AN51" s="130"/>
      <c r="AO51" s="130"/>
      <c r="AP51" s="130"/>
      <c r="AQ51" s="130"/>
      <c r="AR51" s="130"/>
      <c r="AS51" s="131"/>
      <c r="AT51" s="129" t="s">
        <v>291</v>
      </c>
      <c r="AU51" s="130"/>
      <c r="AV51" s="130"/>
      <c r="AW51" s="130"/>
      <c r="AX51" s="130"/>
      <c r="AY51" s="130"/>
      <c r="AZ51" s="131"/>
      <c r="BA51" s="129" t="s">
        <v>292</v>
      </c>
      <c r="BB51" s="130"/>
      <c r="BC51" s="130"/>
      <c r="BD51" s="130"/>
      <c r="BE51" s="130"/>
      <c r="BF51" s="131"/>
      <c r="BG51" s="129" t="s">
        <v>293</v>
      </c>
      <c r="BH51" s="131"/>
      <c r="BI51" s="129" t="s">
        <v>294</v>
      </c>
      <c r="BJ51" s="130"/>
      <c r="BK51" s="130"/>
      <c r="BL51" s="130"/>
      <c r="BM51" s="131"/>
      <c r="BN51" s="129" t="s">
        <v>295</v>
      </c>
      <c r="BO51" s="130"/>
      <c r="BP51" s="130"/>
      <c r="BQ51" s="130"/>
      <c r="BR51" s="130"/>
      <c r="BS51" s="130"/>
      <c r="BT51" s="130"/>
      <c r="BU51" s="130"/>
      <c r="BV51" s="130"/>
      <c r="BW51" s="130"/>
      <c r="BX51" s="130"/>
      <c r="BY51" s="130"/>
      <c r="BZ51" s="130"/>
      <c r="CA51" s="130"/>
      <c r="CB51" s="130"/>
      <c r="CC51" s="131"/>
      <c r="CD51" s="129" t="s">
        <v>296</v>
      </c>
      <c r="CE51" s="131"/>
      <c r="CF51" s="129" t="s">
        <v>297</v>
      </c>
      <c r="CG51" s="130"/>
      <c r="CH51" s="130"/>
      <c r="CI51" s="130"/>
      <c r="CJ51" s="130"/>
      <c r="CK51" s="131"/>
      <c r="CL51" s="132"/>
      <c r="CM51" s="129" t="s">
        <v>155</v>
      </c>
      <c r="CN51" s="130"/>
      <c r="CO51" s="130"/>
      <c r="CP51" s="131"/>
      <c r="CQ51" s="129" t="s">
        <v>298</v>
      </c>
      <c r="CR51" s="130"/>
      <c r="CS51" s="130"/>
      <c r="CT51" s="130"/>
      <c r="CU51" s="131"/>
      <c r="CV51" s="129" t="s">
        <v>299</v>
      </c>
      <c r="CW51" s="131"/>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row>
    <row r="52" spans="1:131" ht="128.25">
      <c r="A52" s="110" t="s">
        <v>178</v>
      </c>
      <c r="B52" s="111" t="s">
        <v>179</v>
      </c>
      <c r="C52" s="112" t="s">
        <v>300</v>
      </c>
      <c r="D52" s="112" t="s">
        <v>301</v>
      </c>
      <c r="E52" s="112" t="s">
        <v>302</v>
      </c>
      <c r="F52" s="112" t="s">
        <v>303</v>
      </c>
      <c r="G52" s="112" t="s">
        <v>304</v>
      </c>
      <c r="H52" s="112" t="s">
        <v>305</v>
      </c>
      <c r="I52" s="112" t="s">
        <v>306</v>
      </c>
      <c r="J52" s="112" t="s">
        <v>307</v>
      </c>
      <c r="K52" s="112" t="s">
        <v>308</v>
      </c>
      <c r="L52" s="112" t="s">
        <v>309</v>
      </c>
      <c r="M52" s="112" t="s">
        <v>310</v>
      </c>
      <c r="N52" s="112" t="s">
        <v>311</v>
      </c>
      <c r="O52" s="112" t="s">
        <v>312</v>
      </c>
      <c r="P52" s="112" t="s">
        <v>313</v>
      </c>
      <c r="Q52" s="112" t="s">
        <v>314</v>
      </c>
      <c r="R52" s="112" t="s">
        <v>315</v>
      </c>
      <c r="S52" s="112" t="s">
        <v>316</v>
      </c>
      <c r="T52" s="112" t="s">
        <v>317</v>
      </c>
      <c r="U52" s="112" t="s">
        <v>223</v>
      </c>
      <c r="V52" s="112" t="s">
        <v>315</v>
      </c>
      <c r="W52" s="112" t="s">
        <v>316</v>
      </c>
      <c r="X52" s="112" t="s">
        <v>317</v>
      </c>
      <c r="Y52" s="112" t="s">
        <v>223</v>
      </c>
      <c r="Z52" s="112" t="s">
        <v>315</v>
      </c>
      <c r="AA52" s="112" t="s">
        <v>316</v>
      </c>
      <c r="AB52" s="112" t="s">
        <v>317</v>
      </c>
      <c r="AC52" s="112" t="s">
        <v>223</v>
      </c>
      <c r="AD52" s="112" t="s">
        <v>315</v>
      </c>
      <c r="AE52" s="112" t="s">
        <v>316</v>
      </c>
      <c r="AF52" s="112" t="s">
        <v>317</v>
      </c>
      <c r="AG52" s="112" t="s">
        <v>223</v>
      </c>
      <c r="AH52" s="112" t="s">
        <v>315</v>
      </c>
      <c r="AI52" s="112" t="s">
        <v>316</v>
      </c>
      <c r="AJ52" s="112" t="s">
        <v>317</v>
      </c>
      <c r="AK52" s="112" t="s">
        <v>223</v>
      </c>
      <c r="AL52" s="112" t="s">
        <v>318</v>
      </c>
      <c r="AM52" s="112" t="s">
        <v>319</v>
      </c>
      <c r="AN52" s="112" t="s">
        <v>320</v>
      </c>
      <c r="AO52" s="112" t="s">
        <v>321</v>
      </c>
      <c r="AP52" s="112" t="s">
        <v>322</v>
      </c>
      <c r="AQ52" s="112" t="s">
        <v>323</v>
      </c>
      <c r="AR52" s="112" t="s">
        <v>324</v>
      </c>
      <c r="AS52" s="112" t="s">
        <v>325</v>
      </c>
      <c r="AT52" s="112" t="s">
        <v>326</v>
      </c>
      <c r="AU52" s="112" t="s">
        <v>327</v>
      </c>
      <c r="AV52" s="112" t="s">
        <v>328</v>
      </c>
      <c r="AW52" s="112" t="s">
        <v>329</v>
      </c>
      <c r="AX52" s="112" t="s">
        <v>330</v>
      </c>
      <c r="AY52" s="112" t="s">
        <v>331</v>
      </c>
      <c r="AZ52" s="112" t="s">
        <v>332</v>
      </c>
      <c r="BA52" s="112" t="s">
        <v>333</v>
      </c>
      <c r="BB52" s="112" t="s">
        <v>334</v>
      </c>
      <c r="BC52" s="112" t="s">
        <v>335</v>
      </c>
      <c r="BD52" s="112" t="s">
        <v>336</v>
      </c>
      <c r="BE52" s="112" t="s">
        <v>337</v>
      </c>
      <c r="BF52" s="112" t="s">
        <v>338</v>
      </c>
      <c r="BG52" s="112" t="s">
        <v>339</v>
      </c>
      <c r="BH52" s="112" t="s">
        <v>340</v>
      </c>
      <c r="BI52" s="112" t="s">
        <v>341</v>
      </c>
      <c r="BJ52" s="112" t="s">
        <v>342</v>
      </c>
      <c r="BK52" s="112" t="s">
        <v>343</v>
      </c>
      <c r="BL52" s="112" t="s">
        <v>344</v>
      </c>
      <c r="BM52" s="112" t="s">
        <v>345</v>
      </c>
      <c r="BN52" s="112" t="s">
        <v>346</v>
      </c>
      <c r="BO52" s="112" t="s">
        <v>347</v>
      </c>
      <c r="BP52" s="112" t="s">
        <v>348</v>
      </c>
      <c r="BQ52" s="112" t="s">
        <v>349</v>
      </c>
      <c r="BR52" s="112" t="s">
        <v>350</v>
      </c>
      <c r="BS52" s="112" t="s">
        <v>351</v>
      </c>
      <c r="BT52" s="112" t="s">
        <v>352</v>
      </c>
      <c r="BU52" s="112" t="s">
        <v>353</v>
      </c>
      <c r="BV52" s="112" t="s">
        <v>354</v>
      </c>
      <c r="BW52" s="112" t="s">
        <v>355</v>
      </c>
      <c r="BX52" s="112" t="s">
        <v>356</v>
      </c>
      <c r="BY52" s="112" t="s">
        <v>357</v>
      </c>
      <c r="BZ52" s="112" t="s">
        <v>358</v>
      </c>
      <c r="CA52" s="112" t="s">
        <v>359</v>
      </c>
      <c r="CB52" s="112" t="s">
        <v>360</v>
      </c>
      <c r="CC52" s="112" t="s">
        <v>361</v>
      </c>
      <c r="CD52" s="112" t="s">
        <v>188</v>
      </c>
      <c r="CE52" s="112" t="s">
        <v>187</v>
      </c>
      <c r="CF52" s="112" t="s">
        <v>362</v>
      </c>
      <c r="CG52" s="112" t="s">
        <v>363</v>
      </c>
      <c r="CH52" s="112" t="s">
        <v>364</v>
      </c>
      <c r="CI52" s="112" t="s">
        <v>365</v>
      </c>
      <c r="CJ52" s="112" t="s">
        <v>366</v>
      </c>
      <c r="CK52" s="112" t="s">
        <v>367</v>
      </c>
      <c r="CL52" s="112"/>
      <c r="CM52" s="112" t="s">
        <v>368</v>
      </c>
      <c r="CN52" s="112" t="s">
        <v>369</v>
      </c>
      <c r="CO52" s="112" t="s">
        <v>370</v>
      </c>
      <c r="CP52" s="112" t="s">
        <v>371</v>
      </c>
      <c r="CQ52" s="112" t="s">
        <v>372</v>
      </c>
      <c r="CR52" s="112" t="s">
        <v>373</v>
      </c>
      <c r="CS52" s="112" t="s">
        <v>374</v>
      </c>
      <c r="CT52" s="112" t="s">
        <v>375</v>
      </c>
      <c r="CU52" s="112" t="s">
        <v>376</v>
      </c>
      <c r="CV52" s="112" t="s">
        <v>377</v>
      </c>
      <c r="CW52" s="112" t="s">
        <v>378</v>
      </c>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row>
    <row r="53" spans="1:131">
      <c r="A53" s="79" t="s">
        <v>203</v>
      </c>
      <c r="B53" s="79"/>
      <c r="C53" s="103">
        <v>8.5616438356164384</v>
      </c>
      <c r="D53" s="103">
        <v>1545.4632738376483</v>
      </c>
      <c r="E53" s="103">
        <v>0</v>
      </c>
      <c r="F53" s="103">
        <v>356.58923434217837</v>
      </c>
      <c r="G53" s="103">
        <v>0</v>
      </c>
      <c r="H53" s="103">
        <v>-105.85671073196603</v>
      </c>
      <c r="I53" s="103"/>
      <c r="J53" s="103"/>
      <c r="K53" s="103"/>
      <c r="L53" s="103">
        <v>1658.8489688773964</v>
      </c>
      <c r="M53" s="103">
        <v>0.2083451628546675</v>
      </c>
      <c r="N53" s="103">
        <v>0.20684142090023278</v>
      </c>
      <c r="O53" s="103">
        <v>0</v>
      </c>
      <c r="P53" s="103">
        <v>0</v>
      </c>
      <c r="Q53" s="103">
        <v>0</v>
      </c>
      <c r="R53" s="103">
        <v>71.108656825891913</v>
      </c>
      <c r="S53" s="103">
        <v>164.32129035898672</v>
      </c>
      <c r="T53" s="103">
        <v>0</v>
      </c>
      <c r="U53" s="103">
        <v>523.56939383068891</v>
      </c>
      <c r="V53" s="103">
        <v>21.395354060530703</v>
      </c>
      <c r="W53" s="103">
        <v>49.922492807904973</v>
      </c>
      <c r="X53" s="103">
        <v>0</v>
      </c>
      <c r="Y53" s="103">
        <v>0</v>
      </c>
      <c r="Z53" s="103">
        <v>0</v>
      </c>
      <c r="AA53" s="103">
        <v>0</v>
      </c>
      <c r="AB53" s="103">
        <v>0</v>
      </c>
      <c r="AC53" s="103">
        <v>0</v>
      </c>
      <c r="AD53" s="103">
        <v>0</v>
      </c>
      <c r="AE53" s="103">
        <v>0</v>
      </c>
      <c r="AF53" s="103">
        <v>0</v>
      </c>
      <c r="AG53" s="103">
        <v>-105.85671073196603</v>
      </c>
      <c r="AH53" s="103">
        <v>92.50401088642262</v>
      </c>
      <c r="AI53" s="103">
        <v>214.24378316689169</v>
      </c>
      <c r="AJ53" s="103">
        <v>0</v>
      </c>
      <c r="AK53" s="103">
        <v>417.71268309872289</v>
      </c>
      <c r="AL53" s="103">
        <v>724.46047715203724</v>
      </c>
      <c r="AM53" s="103">
        <v>835.12667965823778</v>
      </c>
      <c r="AN53" s="103">
        <v>73.618447645349619</v>
      </c>
      <c r="AO53" s="103">
        <v>0</v>
      </c>
      <c r="AP53" s="103">
        <v>0</v>
      </c>
      <c r="AQ53" s="103">
        <v>908.74512730358742</v>
      </c>
      <c r="AR53" s="103">
        <v>92.50401088642262</v>
      </c>
      <c r="AS53" s="134">
        <v>9.8238456753983794</v>
      </c>
      <c r="AT53" s="103">
        <v>835.12667965823778</v>
      </c>
      <c r="AU53" s="103">
        <v>87.142314762420469</v>
      </c>
      <c r="AV53" s="103">
        <v>0</v>
      </c>
      <c r="AW53" s="103">
        <v>0</v>
      </c>
      <c r="AX53" s="103">
        <v>922.26899442065826</v>
      </c>
      <c r="AY53" s="103">
        <v>214.24378316689169</v>
      </c>
      <c r="AZ53" s="134">
        <v>4.3047643240234832</v>
      </c>
      <c r="BA53" s="103">
        <v>835.12667965823778</v>
      </c>
      <c r="BB53" s="103">
        <v>160.76076240777007</v>
      </c>
      <c r="BC53" s="103">
        <v>0</v>
      </c>
      <c r="BD53" s="103">
        <v>0</v>
      </c>
      <c r="BE53" s="103">
        <v>995.88744206600791</v>
      </c>
      <c r="BF53" s="103">
        <v>306.74779405331435</v>
      </c>
      <c r="BG53" s="103">
        <v>6.4755631858574585</v>
      </c>
      <c r="BH53" s="134">
        <v>3.2466001756899923</v>
      </c>
      <c r="BI53" s="103">
        <v>4.1032108173463149</v>
      </c>
      <c r="BJ53" s="103">
        <v>9.503235591794402</v>
      </c>
      <c r="BK53" s="103">
        <v>0</v>
      </c>
      <c r="BL53" s="103">
        <v>18.528528475785279</v>
      </c>
      <c r="BM53" s="103">
        <v>32.134974884925995</v>
      </c>
      <c r="BN53" s="103">
        <v>835.12667965823778</v>
      </c>
      <c r="BO53" s="103">
        <v>0</v>
      </c>
      <c r="BP53" s="103">
        <v>160.76076240777007</v>
      </c>
      <c r="BQ53" s="103">
        <v>0</v>
      </c>
      <c r="BR53" s="103">
        <v>0</v>
      </c>
      <c r="BS53" s="103">
        <v>0</v>
      </c>
      <c r="BT53" s="103">
        <v>0</v>
      </c>
      <c r="BU53" s="103">
        <v>0</v>
      </c>
      <c r="BV53" s="103">
        <v>0</v>
      </c>
      <c r="BW53" s="103">
        <v>0</v>
      </c>
      <c r="BX53" s="103">
        <v>758.99934101556755</v>
      </c>
      <c r="BY53" s="103">
        <v>71.31784686843568</v>
      </c>
      <c r="BZ53" s="103">
        <v>0</v>
      </c>
      <c r="CA53" s="103">
        <v>-105.85671073196603</v>
      </c>
      <c r="CB53" s="103">
        <v>995.88744206600791</v>
      </c>
      <c r="CC53" s="103">
        <v>724.46047715203724</v>
      </c>
      <c r="CD53" s="134">
        <v>1.3268955152014623</v>
      </c>
      <c r="CE53" s="103">
        <v>25.004091661642736</v>
      </c>
      <c r="CF53" s="103">
        <v>15.759194720379217</v>
      </c>
      <c r="CG53" s="103">
        <v>0</v>
      </c>
      <c r="CH53" s="103">
        <v>15.759194720379217</v>
      </c>
      <c r="CI53" s="103">
        <v>0.78795326021676315</v>
      </c>
      <c r="CJ53" s="103">
        <v>0</v>
      </c>
      <c r="CK53" s="103">
        <v>0.78795326021676315</v>
      </c>
      <c r="CL53" s="103"/>
      <c r="CM53" s="103">
        <v>0</v>
      </c>
      <c r="CN53" s="103"/>
      <c r="CO53" s="103">
        <v>0</v>
      </c>
      <c r="CP53" s="103">
        <v>0</v>
      </c>
      <c r="CQ53" s="103">
        <v>0</v>
      </c>
      <c r="CR53" s="103">
        <v>0</v>
      </c>
      <c r="CS53" s="103">
        <v>0</v>
      </c>
      <c r="CT53" s="103">
        <v>0</v>
      </c>
      <c r="CU53" s="103">
        <v>0</v>
      </c>
      <c r="CV53" s="103">
        <v>9999</v>
      </c>
      <c r="CW53" s="134">
        <v>9999</v>
      </c>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row>
    <row r="54" spans="1:131">
      <c r="A54" s="79" t="s">
        <v>204</v>
      </c>
      <c r="B54" s="79"/>
      <c r="C54" s="103">
        <v>8.5616438356164384</v>
      </c>
      <c r="D54" s="103">
        <v>1545.4632738376483</v>
      </c>
      <c r="E54" s="103">
        <v>0</v>
      </c>
      <c r="F54" s="103">
        <v>484.7925975406369</v>
      </c>
      <c r="G54" s="103">
        <v>0</v>
      </c>
      <c r="H54" s="103">
        <v>-105.85671073196603</v>
      </c>
      <c r="I54" s="103"/>
      <c r="J54" s="103"/>
      <c r="K54" s="103"/>
      <c r="L54" s="103">
        <v>1658.8489688773964</v>
      </c>
      <c r="M54" s="103">
        <v>0.2083451628546675</v>
      </c>
      <c r="N54" s="103">
        <v>0.20684142090023278</v>
      </c>
      <c r="O54" s="103">
        <v>0</v>
      </c>
      <c r="P54" s="103">
        <v>0</v>
      </c>
      <c r="Q54" s="103">
        <v>0</v>
      </c>
      <c r="R54" s="103">
        <v>96.674120052570331</v>
      </c>
      <c r="S54" s="103">
        <v>223.39918739083416</v>
      </c>
      <c r="T54" s="103">
        <v>0</v>
      </c>
      <c r="U54" s="103">
        <v>711.80658859821767</v>
      </c>
      <c r="V54" s="103">
        <v>29.087555852438214</v>
      </c>
      <c r="W54" s="103">
        <v>67.870963655689167</v>
      </c>
      <c r="X54" s="103">
        <v>0</v>
      </c>
      <c r="Y54" s="103">
        <v>0</v>
      </c>
      <c r="Z54" s="103">
        <v>0</v>
      </c>
      <c r="AA54" s="103">
        <v>0</v>
      </c>
      <c r="AB54" s="103">
        <v>0</v>
      </c>
      <c r="AC54" s="103">
        <v>0</v>
      </c>
      <c r="AD54" s="103">
        <v>0</v>
      </c>
      <c r="AE54" s="103">
        <v>0</v>
      </c>
      <c r="AF54" s="103">
        <v>0</v>
      </c>
      <c r="AG54" s="103">
        <v>-105.85671073196603</v>
      </c>
      <c r="AH54" s="103">
        <v>125.76167590500854</v>
      </c>
      <c r="AI54" s="103">
        <v>291.27015104652332</v>
      </c>
      <c r="AJ54" s="103">
        <v>0</v>
      </c>
      <c r="AK54" s="103">
        <v>605.94987786625165</v>
      </c>
      <c r="AL54" s="103">
        <v>1022.9817048177833</v>
      </c>
      <c r="AM54" s="103">
        <v>835.12667965823778</v>
      </c>
      <c r="AN54" s="103">
        <v>73.618447645349619</v>
      </c>
      <c r="AO54" s="103">
        <v>0</v>
      </c>
      <c r="AP54" s="103">
        <v>0</v>
      </c>
      <c r="AQ54" s="103">
        <v>908.74512730358742</v>
      </c>
      <c r="AR54" s="103">
        <v>125.76167590500854</v>
      </c>
      <c r="AS54" s="134">
        <v>7.225930481317608</v>
      </c>
      <c r="AT54" s="103">
        <v>835.12667965823778</v>
      </c>
      <c r="AU54" s="103">
        <v>87.142314762420469</v>
      </c>
      <c r="AV54" s="103">
        <v>0</v>
      </c>
      <c r="AW54" s="103">
        <v>0</v>
      </c>
      <c r="AX54" s="103">
        <v>922.26899442065826</v>
      </c>
      <c r="AY54" s="103">
        <v>291.27015104652332</v>
      </c>
      <c r="AZ54" s="134">
        <v>3.1663697468037095</v>
      </c>
      <c r="BA54" s="103">
        <v>835.12667965823778</v>
      </c>
      <c r="BB54" s="103">
        <v>160.76076240777007</v>
      </c>
      <c r="BC54" s="103">
        <v>0</v>
      </c>
      <c r="BD54" s="103">
        <v>0</v>
      </c>
      <c r="BE54" s="103">
        <v>995.88744206600791</v>
      </c>
      <c r="BF54" s="103">
        <v>417.03182695153185</v>
      </c>
      <c r="BG54" s="103">
        <v>11.367444439786548</v>
      </c>
      <c r="BH54" s="134">
        <v>2.3880370218883837</v>
      </c>
      <c r="BI54" s="103">
        <v>5.5784248059753354</v>
      </c>
      <c r="BJ54" s="103">
        <v>12.919902857094469</v>
      </c>
      <c r="BK54" s="103">
        <v>0</v>
      </c>
      <c r="BL54" s="103">
        <v>26.878186900276532</v>
      </c>
      <c r="BM54" s="103">
        <v>45.376514563346326</v>
      </c>
      <c r="BN54" s="103">
        <v>835.12667965823778</v>
      </c>
      <c r="BO54" s="103">
        <v>0</v>
      </c>
      <c r="BP54" s="103">
        <v>160.76076240777007</v>
      </c>
      <c r="BQ54" s="103">
        <v>0</v>
      </c>
      <c r="BR54" s="103">
        <v>0</v>
      </c>
      <c r="BS54" s="103">
        <v>0</v>
      </c>
      <c r="BT54" s="103">
        <v>0</v>
      </c>
      <c r="BU54" s="103">
        <v>0</v>
      </c>
      <c r="BV54" s="103">
        <v>0</v>
      </c>
      <c r="BW54" s="103">
        <v>0</v>
      </c>
      <c r="BX54" s="103">
        <v>1031.879896041622</v>
      </c>
      <c r="BY54" s="103">
        <v>96.958519508127381</v>
      </c>
      <c r="BZ54" s="103">
        <v>0</v>
      </c>
      <c r="CA54" s="103">
        <v>-105.85671073196603</v>
      </c>
      <c r="CB54" s="103">
        <v>995.88744206600791</v>
      </c>
      <c r="CC54" s="103">
        <v>1022.9817048177833</v>
      </c>
      <c r="CD54" s="114">
        <v>0.97599810355622896</v>
      </c>
      <c r="CE54" s="103">
        <v>38.245631340063071</v>
      </c>
      <c r="CF54" s="103">
        <v>15.759194720379217</v>
      </c>
      <c r="CG54" s="103">
        <v>0</v>
      </c>
      <c r="CH54" s="103">
        <v>15.759194720379217</v>
      </c>
      <c r="CI54" s="103">
        <v>0.78795326021676315</v>
      </c>
      <c r="CJ54" s="103">
        <v>0</v>
      </c>
      <c r="CK54" s="103">
        <v>0.78795326021676315</v>
      </c>
      <c r="CL54" s="103"/>
      <c r="CM54" s="103">
        <v>0</v>
      </c>
      <c r="CN54" s="103"/>
      <c r="CO54" s="103">
        <v>0</v>
      </c>
      <c r="CP54" s="103">
        <v>0</v>
      </c>
      <c r="CQ54" s="103">
        <v>0</v>
      </c>
      <c r="CR54" s="103">
        <v>0</v>
      </c>
      <c r="CS54" s="103">
        <v>0</v>
      </c>
      <c r="CT54" s="103">
        <v>0</v>
      </c>
      <c r="CU54" s="103">
        <v>0</v>
      </c>
      <c r="CV54" s="103">
        <v>9999</v>
      </c>
      <c r="CW54" s="134">
        <v>9999</v>
      </c>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row>
    <row r="55" spans="1:131">
      <c r="A55" s="79" t="s">
        <v>205</v>
      </c>
      <c r="B55" s="79"/>
      <c r="C55" s="103">
        <v>8.5616438356164384</v>
      </c>
      <c r="D55" s="103">
        <v>1344.678795729609</v>
      </c>
      <c r="E55" s="103">
        <v>0</v>
      </c>
      <c r="F55" s="103">
        <v>447.49652763248179</v>
      </c>
      <c r="G55" s="103">
        <v>0</v>
      </c>
      <c r="H55" s="103">
        <v>-106.30975290832721</v>
      </c>
      <c r="I55" s="103"/>
      <c r="J55" s="103"/>
      <c r="K55" s="103"/>
      <c r="L55" s="103">
        <v>1443.3335761052115</v>
      </c>
      <c r="M55" s="103">
        <v>0.18127724380523469</v>
      </c>
      <c r="N55" s="103">
        <v>0.17996886595206432</v>
      </c>
      <c r="O55" s="103">
        <v>0</v>
      </c>
      <c r="P55" s="103">
        <v>0</v>
      </c>
      <c r="Q55" s="103">
        <v>0</v>
      </c>
      <c r="R55" s="103">
        <v>89.236785493253322</v>
      </c>
      <c r="S55" s="103">
        <v>206.21263843645335</v>
      </c>
      <c r="T55" s="103">
        <v>0</v>
      </c>
      <c r="U55" s="103">
        <v>657.04587561678807</v>
      </c>
      <c r="V55" s="103">
        <v>26.849791657948909</v>
      </c>
      <c r="W55" s="103">
        <v>62.649513868547452</v>
      </c>
      <c r="X55" s="103">
        <v>0</v>
      </c>
      <c r="Y55" s="103">
        <v>0</v>
      </c>
      <c r="Z55" s="103">
        <v>0</v>
      </c>
      <c r="AA55" s="103">
        <v>0</v>
      </c>
      <c r="AB55" s="103">
        <v>0</v>
      </c>
      <c r="AC55" s="103">
        <v>0</v>
      </c>
      <c r="AD55" s="103">
        <v>0</v>
      </c>
      <c r="AE55" s="103">
        <v>0</v>
      </c>
      <c r="AF55" s="103">
        <v>0</v>
      </c>
      <c r="AG55" s="103">
        <v>-106.30975290832721</v>
      </c>
      <c r="AH55" s="103">
        <v>116.08657715120223</v>
      </c>
      <c r="AI55" s="103">
        <v>268.86215230500079</v>
      </c>
      <c r="AJ55" s="103">
        <v>0</v>
      </c>
      <c r="AK55" s="103">
        <v>550.73612270846081</v>
      </c>
      <c r="AL55" s="103">
        <v>935.68485216466388</v>
      </c>
      <c r="AM55" s="103">
        <v>726.62816185593522</v>
      </c>
      <c r="AN55" s="103">
        <v>64.054039457964706</v>
      </c>
      <c r="AO55" s="103">
        <v>0</v>
      </c>
      <c r="AP55" s="103">
        <v>0</v>
      </c>
      <c r="AQ55" s="103">
        <v>790.6822013138999</v>
      </c>
      <c r="AR55" s="103">
        <v>116.08657715120223</v>
      </c>
      <c r="AS55" s="134">
        <v>6.8111423449417412</v>
      </c>
      <c r="AT55" s="103">
        <v>726.62816185593522</v>
      </c>
      <c r="AU55" s="103">
        <v>75.820904226891244</v>
      </c>
      <c r="AV55" s="103">
        <v>0</v>
      </c>
      <c r="AW55" s="103">
        <v>0</v>
      </c>
      <c r="AX55" s="103">
        <v>802.44906608282645</v>
      </c>
      <c r="AY55" s="103">
        <v>268.86215230500079</v>
      </c>
      <c r="AZ55" s="134">
        <v>2.9846114791661624</v>
      </c>
      <c r="BA55" s="103">
        <v>726.62816185593522</v>
      </c>
      <c r="BB55" s="103">
        <v>139.87494368485596</v>
      </c>
      <c r="BC55" s="103">
        <v>0</v>
      </c>
      <c r="BD55" s="103">
        <v>0</v>
      </c>
      <c r="BE55" s="103">
        <v>866.50310554079113</v>
      </c>
      <c r="BF55" s="103">
        <v>384.94872945620301</v>
      </c>
      <c r="BG55" s="103">
        <v>12.493964261110371</v>
      </c>
      <c r="BH55" s="134">
        <v>2.2509571775047936</v>
      </c>
      <c r="BI55" s="103">
        <v>5.9181423323461964</v>
      </c>
      <c r="BJ55" s="103">
        <v>13.706705152047435</v>
      </c>
      <c r="BK55" s="103">
        <v>0</v>
      </c>
      <c r="BL55" s="103">
        <v>28.076758241462169</v>
      </c>
      <c r="BM55" s="103">
        <v>47.701605725855799</v>
      </c>
      <c r="BN55" s="103">
        <v>726.62816185593522</v>
      </c>
      <c r="BO55" s="103">
        <v>0</v>
      </c>
      <c r="BP55" s="103">
        <v>139.87494368485596</v>
      </c>
      <c r="BQ55" s="103">
        <v>0</v>
      </c>
      <c r="BR55" s="103">
        <v>0</v>
      </c>
      <c r="BS55" s="103">
        <v>0</v>
      </c>
      <c r="BT55" s="103">
        <v>0</v>
      </c>
      <c r="BU55" s="103">
        <v>0</v>
      </c>
      <c r="BV55" s="103">
        <v>0</v>
      </c>
      <c r="BW55" s="103">
        <v>0</v>
      </c>
      <c r="BX55" s="103">
        <v>952.49529954649472</v>
      </c>
      <c r="BY55" s="103">
        <v>89.499305526496357</v>
      </c>
      <c r="BZ55" s="103">
        <v>0</v>
      </c>
      <c r="CA55" s="103">
        <v>-106.30975290832721</v>
      </c>
      <c r="CB55" s="103">
        <v>866.50310554079113</v>
      </c>
      <c r="CC55" s="103">
        <v>935.68485216466388</v>
      </c>
      <c r="CD55" s="114">
        <v>0.93360642532402882</v>
      </c>
      <c r="CE55" s="103">
        <v>40.570722502572544</v>
      </c>
      <c r="CF55" s="103">
        <v>13.711781662495888</v>
      </c>
      <c r="CG55" s="103">
        <v>0</v>
      </c>
      <c r="CH55" s="103">
        <v>13.711781662495888</v>
      </c>
      <c r="CI55" s="103">
        <v>0.68558344864997534</v>
      </c>
      <c r="CJ55" s="103">
        <v>0</v>
      </c>
      <c r="CK55" s="103">
        <v>0.68558344864997534</v>
      </c>
      <c r="CL55" s="103"/>
      <c r="CM55" s="103">
        <v>0</v>
      </c>
      <c r="CN55" s="103"/>
      <c r="CO55" s="103">
        <v>0</v>
      </c>
      <c r="CP55" s="103">
        <v>0</v>
      </c>
      <c r="CQ55" s="103">
        <v>0</v>
      </c>
      <c r="CR55" s="103">
        <v>0</v>
      </c>
      <c r="CS55" s="103">
        <v>0</v>
      </c>
      <c r="CT55" s="103">
        <v>0</v>
      </c>
      <c r="CU55" s="103">
        <v>0</v>
      </c>
      <c r="CV55" s="103">
        <v>9999</v>
      </c>
      <c r="CW55" s="134">
        <v>9999</v>
      </c>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row>
    <row r="56" spans="1:131">
      <c r="A56" s="79" t="s">
        <v>207</v>
      </c>
      <c r="B56" s="79"/>
      <c r="C56" s="103">
        <v>8.5616438356164384</v>
      </c>
      <c r="D56" s="103">
        <v>1194.6579392555182</v>
      </c>
      <c r="E56" s="103">
        <v>0</v>
      </c>
      <c r="F56" s="103">
        <v>545.41057057919818</v>
      </c>
      <c r="G56" s="103">
        <v>0</v>
      </c>
      <c r="H56" s="103">
        <v>-146.9410397919433</v>
      </c>
      <c r="I56" s="103"/>
      <c r="J56" s="103"/>
      <c r="K56" s="103"/>
      <c r="L56" s="103">
        <v>1282.3061694466355</v>
      </c>
      <c r="M56" s="103">
        <v>0.16105280993947424</v>
      </c>
      <c r="N56" s="103">
        <v>0.15989040298042945</v>
      </c>
      <c r="O56" s="103">
        <v>0</v>
      </c>
      <c r="P56" s="103">
        <v>0</v>
      </c>
      <c r="Q56" s="103">
        <v>0</v>
      </c>
      <c r="R56" s="103">
        <v>108.76215364178397</v>
      </c>
      <c r="S56" s="103">
        <v>251.33279443597667</v>
      </c>
      <c r="T56" s="103">
        <v>0</v>
      </c>
      <c r="U56" s="103">
        <v>800.81016005374147</v>
      </c>
      <c r="V56" s="103">
        <v>32.724634234751889</v>
      </c>
      <c r="W56" s="103">
        <v>76.357479881087741</v>
      </c>
      <c r="X56" s="103">
        <v>0</v>
      </c>
      <c r="Y56" s="103">
        <v>0</v>
      </c>
      <c r="Z56" s="103">
        <v>0</v>
      </c>
      <c r="AA56" s="103">
        <v>0</v>
      </c>
      <c r="AB56" s="103">
        <v>0</v>
      </c>
      <c r="AC56" s="103">
        <v>0</v>
      </c>
      <c r="AD56" s="103">
        <v>0</v>
      </c>
      <c r="AE56" s="103">
        <v>0</v>
      </c>
      <c r="AF56" s="103">
        <v>0</v>
      </c>
      <c r="AG56" s="103">
        <v>-146.9410397919433</v>
      </c>
      <c r="AH56" s="103">
        <v>141.48678787653586</v>
      </c>
      <c r="AI56" s="103">
        <v>327.69027431706439</v>
      </c>
      <c r="AJ56" s="103">
        <v>0</v>
      </c>
      <c r="AK56" s="103">
        <v>653.86912026179812</v>
      </c>
      <c r="AL56" s="103">
        <v>1123.0461824553986</v>
      </c>
      <c r="AM56" s="103">
        <v>645.56093634006356</v>
      </c>
      <c r="AN56" s="103">
        <v>56.907766392139273</v>
      </c>
      <c r="AO56" s="103">
        <v>0</v>
      </c>
      <c r="AP56" s="103">
        <v>0</v>
      </c>
      <c r="AQ56" s="103">
        <v>702.46870273220281</v>
      </c>
      <c r="AR56" s="103">
        <v>141.48678787653586</v>
      </c>
      <c r="AS56" s="134">
        <v>4.9649067116089372</v>
      </c>
      <c r="AT56" s="103">
        <v>645.56093634006356</v>
      </c>
      <c r="AU56" s="103">
        <v>67.361845433905344</v>
      </c>
      <c r="AV56" s="103">
        <v>0</v>
      </c>
      <c r="AW56" s="103">
        <v>0</v>
      </c>
      <c r="AX56" s="103">
        <v>712.92278177396895</v>
      </c>
      <c r="AY56" s="103">
        <v>327.69027431706439</v>
      </c>
      <c r="AZ56" s="134">
        <v>2.1755994536602077</v>
      </c>
      <c r="BA56" s="103">
        <v>645.56093634006356</v>
      </c>
      <c r="BB56" s="103">
        <v>124.26961182604461</v>
      </c>
      <c r="BC56" s="103">
        <v>0</v>
      </c>
      <c r="BD56" s="103">
        <v>0</v>
      </c>
      <c r="BE56" s="103">
        <v>769.8305481661082</v>
      </c>
      <c r="BF56" s="103">
        <v>469.17706219360025</v>
      </c>
      <c r="BG56" s="103">
        <v>19.791602430160179</v>
      </c>
      <c r="BH56" s="134">
        <v>1.6408102829384419</v>
      </c>
      <c r="BI56" s="103">
        <v>8.1188453650064023</v>
      </c>
      <c r="BJ56" s="103">
        <v>18.803640288437041</v>
      </c>
      <c r="BK56" s="103">
        <v>0</v>
      </c>
      <c r="BL56" s="103">
        <v>37.520551254515418</v>
      </c>
      <c r="BM56" s="103">
        <v>64.44303690795887</v>
      </c>
      <c r="BN56" s="103">
        <v>645.56093634006356</v>
      </c>
      <c r="BO56" s="103">
        <v>0</v>
      </c>
      <c r="BP56" s="103">
        <v>124.26961182604461</v>
      </c>
      <c r="BQ56" s="103">
        <v>0</v>
      </c>
      <c r="BR56" s="103">
        <v>0</v>
      </c>
      <c r="BS56" s="103">
        <v>0</v>
      </c>
      <c r="BT56" s="103">
        <v>0</v>
      </c>
      <c r="BU56" s="103">
        <v>0</v>
      </c>
      <c r="BV56" s="103">
        <v>0</v>
      </c>
      <c r="BW56" s="103">
        <v>0</v>
      </c>
      <c r="BX56" s="103">
        <v>1160.9051081315022</v>
      </c>
      <c r="BY56" s="103">
        <v>109.08211411583964</v>
      </c>
      <c r="BZ56" s="103">
        <v>0</v>
      </c>
      <c r="CA56" s="103">
        <v>-146.9410397919433</v>
      </c>
      <c r="CB56" s="103">
        <v>769.8305481661082</v>
      </c>
      <c r="CC56" s="103">
        <v>1123.0461824553986</v>
      </c>
      <c r="CD56" s="114">
        <v>0.72187465503452253</v>
      </c>
      <c r="CE56" s="103">
        <v>57.312153684675614</v>
      </c>
      <c r="CF56" s="103">
        <v>12.182008726887725</v>
      </c>
      <c r="CG56" s="103">
        <v>0</v>
      </c>
      <c r="CH56" s="103">
        <v>12.182008726887725</v>
      </c>
      <c r="CI56" s="103">
        <v>0.60909543048715165</v>
      </c>
      <c r="CJ56" s="103">
        <v>0</v>
      </c>
      <c r="CK56" s="103">
        <v>0.60909543048715165</v>
      </c>
      <c r="CL56" s="103"/>
      <c r="CM56" s="103">
        <v>0</v>
      </c>
      <c r="CN56" s="103"/>
      <c r="CO56" s="103">
        <v>0</v>
      </c>
      <c r="CP56" s="103">
        <v>0</v>
      </c>
      <c r="CQ56" s="103">
        <v>0</v>
      </c>
      <c r="CR56" s="103">
        <v>0</v>
      </c>
      <c r="CS56" s="103">
        <v>0</v>
      </c>
      <c r="CT56" s="103">
        <v>0</v>
      </c>
      <c r="CU56" s="103">
        <v>0</v>
      </c>
      <c r="CV56" s="103">
        <v>9999</v>
      </c>
      <c r="CW56" s="134">
        <v>9999</v>
      </c>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row>
    <row r="57" spans="1:131">
      <c r="A57" s="79" t="s">
        <v>206</v>
      </c>
      <c r="B57" s="79"/>
      <c r="C57" s="103">
        <v>8.5616438356164384</v>
      </c>
      <c r="D57" s="103">
        <v>1344.678795729609</v>
      </c>
      <c r="E57" s="103">
        <v>0</v>
      </c>
      <c r="F57" s="103">
        <v>581.53386844220199</v>
      </c>
      <c r="G57" s="103">
        <v>0</v>
      </c>
      <c r="H57" s="103">
        <v>-106.30975290832721</v>
      </c>
      <c r="I57" s="103"/>
      <c r="J57" s="103"/>
      <c r="K57" s="103"/>
      <c r="L57" s="103">
        <v>1443.3335761052115</v>
      </c>
      <c r="M57" s="103">
        <v>0.18127724380523469</v>
      </c>
      <c r="N57" s="103">
        <v>0.17996886595206432</v>
      </c>
      <c r="O57" s="103">
        <v>0</v>
      </c>
      <c r="P57" s="103">
        <v>0</v>
      </c>
      <c r="Q57" s="103">
        <v>0</v>
      </c>
      <c r="R57" s="103">
        <v>115.9656217888199</v>
      </c>
      <c r="S57" s="103">
        <v>267.97891368245644</v>
      </c>
      <c r="T57" s="103">
        <v>0</v>
      </c>
      <c r="U57" s="103">
        <v>853.84892663397318</v>
      </c>
      <c r="V57" s="103">
        <v>34.89203210653212</v>
      </c>
      <c r="W57" s="103">
        <v>81.414741581908274</v>
      </c>
      <c r="X57" s="103">
        <v>0</v>
      </c>
      <c r="Y57" s="103">
        <v>0</v>
      </c>
      <c r="Z57" s="103">
        <v>0</v>
      </c>
      <c r="AA57" s="103">
        <v>0</v>
      </c>
      <c r="AB57" s="103">
        <v>0</v>
      </c>
      <c r="AC57" s="103">
        <v>0</v>
      </c>
      <c r="AD57" s="103">
        <v>0</v>
      </c>
      <c r="AE57" s="103">
        <v>0</v>
      </c>
      <c r="AF57" s="103">
        <v>0</v>
      </c>
      <c r="AG57" s="103">
        <v>-106.30975290832721</v>
      </c>
      <c r="AH57" s="103">
        <v>150.85765389535203</v>
      </c>
      <c r="AI57" s="103">
        <v>349.39365526436472</v>
      </c>
      <c r="AJ57" s="103">
        <v>0</v>
      </c>
      <c r="AK57" s="103">
        <v>747.53917372564592</v>
      </c>
      <c r="AL57" s="103">
        <v>1247.7904828853627</v>
      </c>
      <c r="AM57" s="103">
        <v>726.62816185593522</v>
      </c>
      <c r="AN57" s="103">
        <v>64.054039457964706</v>
      </c>
      <c r="AO57" s="103">
        <v>0</v>
      </c>
      <c r="AP57" s="103">
        <v>0</v>
      </c>
      <c r="AQ57" s="103">
        <v>790.6822013138999</v>
      </c>
      <c r="AR57" s="103">
        <v>150.85765389535203</v>
      </c>
      <c r="AS57" s="134">
        <v>5.2412468369843914</v>
      </c>
      <c r="AT57" s="103">
        <v>726.62816185593522</v>
      </c>
      <c r="AU57" s="103">
        <v>75.820904226891244</v>
      </c>
      <c r="AV57" s="103">
        <v>0</v>
      </c>
      <c r="AW57" s="103">
        <v>0</v>
      </c>
      <c r="AX57" s="103">
        <v>802.44906608282645</v>
      </c>
      <c r="AY57" s="103">
        <v>349.39365526436472</v>
      </c>
      <c r="AZ57" s="134">
        <v>2.2966904349641455</v>
      </c>
      <c r="BA57" s="103">
        <v>726.62816185593522</v>
      </c>
      <c r="BB57" s="103">
        <v>139.87494368485596</v>
      </c>
      <c r="BC57" s="103">
        <v>0</v>
      </c>
      <c r="BD57" s="103">
        <v>0</v>
      </c>
      <c r="BE57" s="103">
        <v>866.50310554079113</v>
      </c>
      <c r="BF57" s="103">
        <v>500.25130915971675</v>
      </c>
      <c r="BG57" s="103">
        <v>18.372138075153426</v>
      </c>
      <c r="BH57" s="134">
        <v>1.7321356079932617</v>
      </c>
      <c r="BI57" s="103">
        <v>7.6907863905199818</v>
      </c>
      <c r="BJ57" s="103">
        <v>17.812234907916707</v>
      </c>
      <c r="BK57" s="103">
        <v>0</v>
      </c>
      <c r="BL57" s="103">
        <v>38.109860223982196</v>
      </c>
      <c r="BM57" s="103">
        <v>63.612881522418895</v>
      </c>
      <c r="BN57" s="103">
        <v>726.62816185593522</v>
      </c>
      <c r="BO57" s="103">
        <v>0</v>
      </c>
      <c r="BP57" s="103">
        <v>139.87494368485596</v>
      </c>
      <c r="BQ57" s="103">
        <v>0</v>
      </c>
      <c r="BR57" s="103">
        <v>0</v>
      </c>
      <c r="BS57" s="103">
        <v>0</v>
      </c>
      <c r="BT57" s="103">
        <v>0</v>
      </c>
      <c r="BU57" s="103">
        <v>0</v>
      </c>
      <c r="BV57" s="103">
        <v>0</v>
      </c>
      <c r="BW57" s="103">
        <v>0</v>
      </c>
      <c r="BX57" s="103">
        <v>1237.7934621052495</v>
      </c>
      <c r="BY57" s="103">
        <v>116.3067736884404</v>
      </c>
      <c r="BZ57" s="103">
        <v>0</v>
      </c>
      <c r="CA57" s="103">
        <v>-106.30975290832721</v>
      </c>
      <c r="CB57" s="103">
        <v>866.50310554079113</v>
      </c>
      <c r="CC57" s="103">
        <v>1247.7904828853627</v>
      </c>
      <c r="CD57" s="114">
        <v>0.71842012336621119</v>
      </c>
      <c r="CE57" s="103">
        <v>56.481998299135633</v>
      </c>
      <c r="CF57" s="103">
        <v>13.711781662495888</v>
      </c>
      <c r="CG57" s="103">
        <v>0</v>
      </c>
      <c r="CH57" s="103">
        <v>13.711781662495888</v>
      </c>
      <c r="CI57" s="103">
        <v>0.68558344864997534</v>
      </c>
      <c r="CJ57" s="103">
        <v>0</v>
      </c>
      <c r="CK57" s="103">
        <v>0.68558344864997534</v>
      </c>
      <c r="CL57" s="103"/>
      <c r="CM57" s="103">
        <v>0</v>
      </c>
      <c r="CN57" s="103"/>
      <c r="CO57" s="103">
        <v>0</v>
      </c>
      <c r="CP57" s="103">
        <v>0</v>
      </c>
      <c r="CQ57" s="103">
        <v>0</v>
      </c>
      <c r="CR57" s="103">
        <v>0</v>
      </c>
      <c r="CS57" s="103">
        <v>0</v>
      </c>
      <c r="CT57" s="103">
        <v>0</v>
      </c>
      <c r="CU57" s="103">
        <v>0</v>
      </c>
      <c r="CV57" s="103">
        <v>9999</v>
      </c>
      <c r="CW57" s="134">
        <v>9999</v>
      </c>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row>
    <row r="58" spans="1:131">
      <c r="A58" s="79" t="s">
        <v>208</v>
      </c>
      <c r="B58" s="79"/>
      <c r="C58" s="103">
        <v>8.5616438356164384</v>
      </c>
      <c r="D58" s="103">
        <v>1194.6579392555182</v>
      </c>
      <c r="E58" s="103">
        <v>0</v>
      </c>
      <c r="F58" s="103">
        <v>678.27513934376702</v>
      </c>
      <c r="G58" s="103">
        <v>0</v>
      </c>
      <c r="H58" s="103">
        <v>-146.9410397919433</v>
      </c>
      <c r="I58" s="103"/>
      <c r="J58" s="103"/>
      <c r="K58" s="103"/>
      <c r="L58" s="103">
        <v>1282.3061694466355</v>
      </c>
      <c r="M58" s="103">
        <v>0.16105280993947424</v>
      </c>
      <c r="N58" s="103">
        <v>0.15989040298042945</v>
      </c>
      <c r="O58" s="103">
        <v>0</v>
      </c>
      <c r="P58" s="103">
        <v>0</v>
      </c>
      <c r="Q58" s="103">
        <v>0</v>
      </c>
      <c r="R58" s="103">
        <v>135.25712352506946</v>
      </c>
      <c r="S58" s="103">
        <v>312.55863997407869</v>
      </c>
      <c r="T58" s="103">
        <v>0</v>
      </c>
      <c r="U58" s="103">
        <v>995.89126466972857</v>
      </c>
      <c r="V58" s="103">
        <v>40.696508360626019</v>
      </c>
      <c r="W58" s="103">
        <v>94.958519508127381</v>
      </c>
      <c r="X58" s="103">
        <v>0</v>
      </c>
      <c r="Y58" s="103">
        <v>0</v>
      </c>
      <c r="Z58" s="103">
        <v>0</v>
      </c>
      <c r="AA58" s="103">
        <v>0</v>
      </c>
      <c r="AB58" s="103">
        <v>0</v>
      </c>
      <c r="AC58" s="103">
        <v>0</v>
      </c>
      <c r="AD58" s="103">
        <v>0</v>
      </c>
      <c r="AE58" s="103">
        <v>0</v>
      </c>
      <c r="AF58" s="103">
        <v>0</v>
      </c>
      <c r="AG58" s="103">
        <v>-146.9410397919433</v>
      </c>
      <c r="AH58" s="103">
        <v>175.95363188569547</v>
      </c>
      <c r="AI58" s="103">
        <v>407.51715948220607</v>
      </c>
      <c r="AJ58" s="103">
        <v>0</v>
      </c>
      <c r="AK58" s="103">
        <v>848.95022487778533</v>
      </c>
      <c r="AL58" s="103">
        <v>1432.4210162456868</v>
      </c>
      <c r="AM58" s="103">
        <v>645.56093634006356</v>
      </c>
      <c r="AN58" s="103">
        <v>56.907766392139273</v>
      </c>
      <c r="AO58" s="103">
        <v>0</v>
      </c>
      <c r="AP58" s="103">
        <v>0</v>
      </c>
      <c r="AQ58" s="103">
        <v>702.46870273220281</v>
      </c>
      <c r="AR58" s="103">
        <v>175.95363188569547</v>
      </c>
      <c r="AS58" s="134">
        <v>3.9923512530195833</v>
      </c>
      <c r="AT58" s="103">
        <v>645.56093634006356</v>
      </c>
      <c r="AU58" s="103">
        <v>67.361845433905344</v>
      </c>
      <c r="AV58" s="103">
        <v>0</v>
      </c>
      <c r="AW58" s="103">
        <v>0</v>
      </c>
      <c r="AX58" s="103">
        <v>712.92278177396895</v>
      </c>
      <c r="AY58" s="103">
        <v>407.51715948220607</v>
      </c>
      <c r="AZ58" s="134">
        <v>1.7494300919249959</v>
      </c>
      <c r="BA58" s="103">
        <v>645.56093634006356</v>
      </c>
      <c r="BB58" s="103">
        <v>124.26961182604461</v>
      </c>
      <c r="BC58" s="103">
        <v>0</v>
      </c>
      <c r="BD58" s="103">
        <v>0</v>
      </c>
      <c r="BE58" s="103">
        <v>769.8305481661082</v>
      </c>
      <c r="BF58" s="103">
        <v>583.47079136790148</v>
      </c>
      <c r="BG58" s="103">
        <v>26.350045994274488</v>
      </c>
      <c r="BH58" s="134">
        <v>1.3193986049606714</v>
      </c>
      <c r="BI58" s="103">
        <v>10.096634110725546</v>
      </c>
      <c r="BJ58" s="103">
        <v>23.384295106832205</v>
      </c>
      <c r="BK58" s="103">
        <v>0</v>
      </c>
      <c r="BL58" s="103">
        <v>48.714764832916259</v>
      </c>
      <c r="BM58" s="103">
        <v>82.195694050474017</v>
      </c>
      <c r="BN58" s="103">
        <v>645.56093634006356</v>
      </c>
      <c r="BO58" s="103">
        <v>0</v>
      </c>
      <c r="BP58" s="103">
        <v>124.26961182604461</v>
      </c>
      <c r="BQ58" s="103">
        <v>0</v>
      </c>
      <c r="BR58" s="103">
        <v>0</v>
      </c>
      <c r="BS58" s="103">
        <v>0</v>
      </c>
      <c r="BT58" s="103">
        <v>0</v>
      </c>
      <c r="BU58" s="103">
        <v>0</v>
      </c>
      <c r="BV58" s="103">
        <v>0</v>
      </c>
      <c r="BW58" s="103">
        <v>0</v>
      </c>
      <c r="BX58" s="103">
        <v>1443.7070281688766</v>
      </c>
      <c r="BY58" s="103">
        <v>135.65502786875342</v>
      </c>
      <c r="BZ58" s="103">
        <v>0</v>
      </c>
      <c r="CA58" s="103">
        <v>-146.9410397919433</v>
      </c>
      <c r="CB58" s="103">
        <v>769.8305481661082</v>
      </c>
      <c r="CC58" s="103">
        <v>1432.4210162456868</v>
      </c>
      <c r="CD58" s="114">
        <v>0.58046955380078369</v>
      </c>
      <c r="CE58" s="103">
        <v>75.06481082719074</v>
      </c>
      <c r="CF58" s="103">
        <v>12.182008726887725</v>
      </c>
      <c r="CG58" s="103">
        <v>0</v>
      </c>
      <c r="CH58" s="103">
        <v>12.182008726887725</v>
      </c>
      <c r="CI58" s="103">
        <v>0.60909543048715165</v>
      </c>
      <c r="CJ58" s="103">
        <v>0</v>
      </c>
      <c r="CK58" s="103">
        <v>0.60909543048715165</v>
      </c>
      <c r="CL58" s="103"/>
      <c r="CM58" s="103">
        <v>0</v>
      </c>
      <c r="CN58" s="103"/>
      <c r="CO58" s="103">
        <v>0</v>
      </c>
      <c r="CP58" s="103">
        <v>0</v>
      </c>
      <c r="CQ58" s="103">
        <v>0</v>
      </c>
      <c r="CR58" s="103">
        <v>0</v>
      </c>
      <c r="CS58" s="103">
        <v>0</v>
      </c>
      <c r="CT58" s="103">
        <v>0</v>
      </c>
      <c r="CU58" s="103">
        <v>0</v>
      </c>
      <c r="CV58" s="103">
        <v>9999</v>
      </c>
      <c r="CW58" s="134">
        <v>9999</v>
      </c>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row>
    <row r="59" spans="1:131">
      <c r="A59" s="79"/>
      <c r="B59" s="79"/>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row>
    <row r="60" spans="1:131">
      <c r="A60" s="79"/>
      <c r="B60" s="79"/>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row>
    <row r="61" spans="1:131" ht="15.75" thickBot="1">
      <c r="A61" s="101" t="s">
        <v>381</v>
      </c>
      <c r="B61" s="102"/>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row>
    <row r="62" spans="1:131" ht="15.75" thickBot="1">
      <c r="A62" s="135" t="s">
        <v>382</v>
      </c>
      <c r="B62" s="136"/>
      <c r="C62" s="137"/>
      <c r="D62" s="137"/>
      <c r="E62" s="137"/>
      <c r="F62" s="137"/>
      <c r="G62" s="137"/>
      <c r="H62" s="137"/>
      <c r="I62" s="137"/>
      <c r="J62" s="137"/>
      <c r="K62" s="137"/>
      <c r="L62" s="109"/>
      <c r="M62" s="138"/>
      <c r="N62" s="139" t="s">
        <v>383</v>
      </c>
      <c r="O62" s="137"/>
      <c r="P62" s="137"/>
      <c r="Q62" s="137"/>
      <c r="R62" s="137"/>
      <c r="S62" s="137"/>
      <c r="T62" s="137"/>
      <c r="U62" s="137"/>
      <c r="V62" s="137"/>
      <c r="W62" s="137"/>
      <c r="X62" s="137"/>
      <c r="Y62" s="109"/>
      <c r="Z62" s="138"/>
      <c r="AA62" s="139" t="s">
        <v>384</v>
      </c>
      <c r="AB62" s="137"/>
      <c r="AC62" s="137"/>
      <c r="AD62" s="137"/>
      <c r="AE62" s="137"/>
      <c r="AF62" s="137"/>
      <c r="AG62" s="137"/>
      <c r="AH62" s="137"/>
      <c r="AI62" s="137"/>
      <c r="AJ62" s="137"/>
      <c r="AK62" s="137"/>
      <c r="AL62" s="109"/>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row>
    <row r="63" spans="1:131" ht="102.75">
      <c r="A63" s="110"/>
      <c r="B63" s="111" t="s">
        <v>385</v>
      </c>
      <c r="C63" s="112" t="s">
        <v>386</v>
      </c>
      <c r="D63" s="112" t="s">
        <v>12</v>
      </c>
      <c r="E63" s="112" t="s">
        <v>181</v>
      </c>
      <c r="F63" s="112" t="s">
        <v>182</v>
      </c>
      <c r="G63" s="112" t="s">
        <v>183</v>
      </c>
      <c r="H63" s="112" t="s">
        <v>184</v>
      </c>
      <c r="I63" s="112" t="s">
        <v>185</v>
      </c>
      <c r="J63" s="112" t="s">
        <v>186</v>
      </c>
      <c r="K63" s="112" t="s">
        <v>187</v>
      </c>
      <c r="L63" s="112" t="s">
        <v>188</v>
      </c>
      <c r="M63" s="112" t="s">
        <v>189</v>
      </c>
      <c r="N63" s="112" t="s">
        <v>191</v>
      </c>
      <c r="O63" s="112" t="s">
        <v>192</v>
      </c>
      <c r="P63" s="112" t="s">
        <v>193</v>
      </c>
      <c r="Q63" s="112" t="s">
        <v>194</v>
      </c>
      <c r="R63" s="112" t="s">
        <v>195</v>
      </c>
      <c r="S63" s="112" t="s">
        <v>196</v>
      </c>
      <c r="T63" s="112" t="s">
        <v>197</v>
      </c>
      <c r="U63" s="112" t="s">
        <v>198</v>
      </c>
      <c r="V63" s="112" t="s">
        <v>199</v>
      </c>
      <c r="W63" s="112" t="s">
        <v>200</v>
      </c>
      <c r="X63" s="112" t="s">
        <v>201</v>
      </c>
      <c r="Y63" s="112" t="s">
        <v>202</v>
      </c>
      <c r="Z63" s="112"/>
      <c r="AA63" s="112" t="s">
        <v>191</v>
      </c>
      <c r="AB63" s="112" t="s">
        <v>192</v>
      </c>
      <c r="AC63" s="112" t="s">
        <v>193</v>
      </c>
      <c r="AD63" s="112" t="s">
        <v>194</v>
      </c>
      <c r="AE63" s="112" t="s">
        <v>195</v>
      </c>
      <c r="AF63" s="112" t="s">
        <v>196</v>
      </c>
      <c r="AG63" s="112" t="s">
        <v>197</v>
      </c>
      <c r="AH63" s="112" t="s">
        <v>198</v>
      </c>
      <c r="AI63" s="112" t="s">
        <v>199</v>
      </c>
      <c r="AJ63" s="112" t="s">
        <v>200</v>
      </c>
      <c r="AK63" s="112" t="s">
        <v>201</v>
      </c>
      <c r="AL63" s="112" t="s">
        <v>202</v>
      </c>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row>
    <row r="64" spans="1:131">
      <c r="A64" s="79"/>
      <c r="B64" s="140" t="s">
        <v>387</v>
      </c>
      <c r="C64" s="165">
        <v>4761.0315138600045</v>
      </c>
      <c r="D64" s="165">
        <v>1288.878359515297</v>
      </c>
      <c r="E64" s="165">
        <v>0</v>
      </c>
      <c r="F64" s="165">
        <v>1288.878359515297</v>
      </c>
      <c r="G64" s="165">
        <v>2425.3513622314249</v>
      </c>
      <c r="H64" s="165">
        <v>2858.2779896728071</v>
      </c>
      <c r="I64" s="165">
        <v>2371.4555126311634</v>
      </c>
      <c r="J64" s="165">
        <v>6.0205919040819857</v>
      </c>
      <c r="K64" s="165">
        <v>30.352926298957204</v>
      </c>
      <c r="L64" s="134">
        <v>1.1873953787203444</v>
      </c>
      <c r="M64" s="103">
        <v>45.230171103254321</v>
      </c>
      <c r="N64" s="113">
        <v>229.93605366289879</v>
      </c>
      <c r="O64" s="113">
        <v>216.04892072261399</v>
      </c>
      <c r="P64" s="113">
        <v>245.0494512054467</v>
      </c>
      <c r="Q64" s="113">
        <v>223.27650940205274</v>
      </c>
      <c r="R64" s="113">
        <v>229.00700362279119</v>
      </c>
      <c r="S64" s="113">
        <v>228.27714894721086</v>
      </c>
      <c r="T64" s="113">
        <v>218.5747388724115</v>
      </c>
      <c r="U64" s="113">
        <v>249.33852708791844</v>
      </c>
      <c r="V64" s="113">
        <v>214.75845589760178</v>
      </c>
      <c r="W64" s="113">
        <v>243.98739252896723</v>
      </c>
      <c r="X64" s="113">
        <v>210.85326734229824</v>
      </c>
      <c r="Y64" s="113">
        <v>214.68542537274581</v>
      </c>
      <c r="Z64" s="113"/>
      <c r="AA64" s="113">
        <v>185.11552478484802</v>
      </c>
      <c r="AB64" s="113">
        <v>166.51225572822639</v>
      </c>
      <c r="AC64" s="113">
        <v>165.61492012058844</v>
      </c>
      <c r="AD64" s="113">
        <v>166.41856431583486</v>
      </c>
      <c r="AE64" s="113">
        <v>168.56839187160733</v>
      </c>
      <c r="AF64" s="113">
        <v>156.2682940487901</v>
      </c>
      <c r="AG64" s="113">
        <v>175.69510378788974</v>
      </c>
      <c r="AH64" s="113">
        <v>167.43701703376507</v>
      </c>
      <c r="AI64" s="113">
        <v>175.11326317371569</v>
      </c>
      <c r="AJ64" s="113">
        <v>164.27392444954961</v>
      </c>
      <c r="AK64" s="113">
        <v>172.77142125839219</v>
      </c>
      <c r="AL64" s="113">
        <v>173.4499386218391</v>
      </c>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row>
    <row r="65" spans="1:131">
      <c r="A65" s="79"/>
      <c r="B65" s="140" t="s">
        <v>388</v>
      </c>
      <c r="C65" s="165">
        <v>1658.8489688773964</v>
      </c>
      <c r="D65" s="165">
        <v>356.58923434217837</v>
      </c>
      <c r="E65" s="165">
        <v>71.31784686843568</v>
      </c>
      <c r="F65" s="165">
        <v>427.90708121061402</v>
      </c>
      <c r="G65" s="165">
        <v>724.46047715203724</v>
      </c>
      <c r="H65" s="165">
        <v>995.88744206600791</v>
      </c>
      <c r="I65" s="165">
        <v>2259.6789109388919</v>
      </c>
      <c r="J65" s="165">
        <v>6.4755631858574585</v>
      </c>
      <c r="K65" s="165">
        <v>25.004091661642736</v>
      </c>
      <c r="L65" s="134">
        <v>1.3268955152014623</v>
      </c>
      <c r="M65" s="103">
        <v>15.759194720379217</v>
      </c>
      <c r="N65" s="113">
        <v>160.22964116748463</v>
      </c>
      <c r="O65" s="113">
        <v>150.55247096115772</v>
      </c>
      <c r="P65" s="113">
        <v>170.7613269404963</v>
      </c>
      <c r="Q65" s="113">
        <v>155.58897533776349</v>
      </c>
      <c r="R65" s="113">
        <v>159.58223789087054</v>
      </c>
      <c r="S65" s="113">
        <v>159.07364277970933</v>
      </c>
      <c r="T65" s="113">
        <v>152.31257308237491</v>
      </c>
      <c r="U65" s="113">
        <v>173.7501452603762</v>
      </c>
      <c r="V65" s="113">
        <v>149.65321783161542</v>
      </c>
      <c r="W65" s="113">
        <v>170.02123734636677</v>
      </c>
      <c r="X65" s="113">
        <v>146.93190922889838</v>
      </c>
      <c r="Y65" s="113">
        <v>149.60232692257557</v>
      </c>
      <c r="Z65" s="113"/>
      <c r="AA65" s="113">
        <v>128.9967085992167</v>
      </c>
      <c r="AB65" s="113">
        <v>116.03312555949604</v>
      </c>
      <c r="AC65" s="113">
        <v>115.40782230614271</v>
      </c>
      <c r="AD65" s="113">
        <v>115.96783722759319</v>
      </c>
      <c r="AE65" s="113">
        <v>117.46593242556683</v>
      </c>
      <c r="AF65" s="113">
        <v>108.89467868314875</v>
      </c>
      <c r="AG65" s="113">
        <v>122.43214139914555</v>
      </c>
      <c r="AH65" s="113">
        <v>116.67754025563269</v>
      </c>
      <c r="AI65" s="113">
        <v>122.02668905123994</v>
      </c>
      <c r="AJ65" s="113">
        <v>114.47335704175789</v>
      </c>
      <c r="AK65" s="113">
        <v>120.39478973059936</v>
      </c>
      <c r="AL65" s="113">
        <v>120.86761072556342</v>
      </c>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row>
    <row r="66" spans="1:131">
      <c r="A66" s="79"/>
      <c r="B66" s="140" t="s">
        <v>389</v>
      </c>
      <c r="C66" s="141"/>
      <c r="D66" s="141"/>
      <c r="E66" s="141"/>
      <c r="F66" s="141"/>
      <c r="G66" s="141"/>
      <c r="H66" s="141"/>
      <c r="I66" s="141"/>
      <c r="J66" s="141"/>
      <c r="K66" s="141"/>
      <c r="L66" s="114"/>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row>
    <row r="67" spans="1:131">
      <c r="A67" s="79"/>
      <c r="B67" s="79" t="s">
        <v>390</v>
      </c>
      <c r="C67" s="142">
        <v>0</v>
      </c>
      <c r="D67" s="142">
        <v>0</v>
      </c>
      <c r="E67" s="142">
        <v>0</v>
      </c>
      <c r="F67" s="142">
        <v>0</v>
      </c>
      <c r="G67" s="142">
        <v>0</v>
      </c>
      <c r="H67" s="142">
        <v>0</v>
      </c>
      <c r="I67" s="142">
        <v>0</v>
      </c>
      <c r="J67" s="142">
        <v>0</v>
      </c>
      <c r="K67" s="142">
        <v>0</v>
      </c>
      <c r="L67" s="114">
        <v>0</v>
      </c>
      <c r="M67" s="142">
        <v>0</v>
      </c>
      <c r="N67" s="142">
        <v>0</v>
      </c>
      <c r="O67" s="142">
        <v>0</v>
      </c>
      <c r="P67" s="142">
        <v>0</v>
      </c>
      <c r="Q67" s="142">
        <v>0</v>
      </c>
      <c r="R67" s="142">
        <v>0</v>
      </c>
      <c r="S67" s="142">
        <v>0</v>
      </c>
      <c r="T67" s="142">
        <v>0</v>
      </c>
      <c r="U67" s="142">
        <v>0</v>
      </c>
      <c r="V67" s="142">
        <v>0</v>
      </c>
      <c r="W67" s="142">
        <v>0</v>
      </c>
      <c r="X67" s="142">
        <v>0</v>
      </c>
      <c r="Y67" s="142">
        <v>0</v>
      </c>
      <c r="Z67" s="142"/>
      <c r="AA67" s="142">
        <v>0</v>
      </c>
      <c r="AB67" s="142">
        <v>0</v>
      </c>
      <c r="AC67" s="142">
        <v>0</v>
      </c>
      <c r="AD67" s="142">
        <v>0</v>
      </c>
      <c r="AE67" s="142">
        <v>0</v>
      </c>
      <c r="AF67" s="142">
        <v>0</v>
      </c>
      <c r="AG67" s="142">
        <v>0</v>
      </c>
      <c r="AH67" s="142">
        <v>0</v>
      </c>
      <c r="AI67" s="142">
        <v>0</v>
      </c>
      <c r="AJ67" s="142">
        <v>0</v>
      </c>
      <c r="AK67" s="142">
        <v>0</v>
      </c>
      <c r="AL67" s="142">
        <v>0</v>
      </c>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row>
    <row r="68" spans="1:131">
      <c r="A68" s="79"/>
      <c r="B68" s="79" t="s">
        <v>391</v>
      </c>
      <c r="C68" s="142">
        <v>0</v>
      </c>
      <c r="D68" s="142">
        <v>0</v>
      </c>
      <c r="E68" s="142">
        <v>0</v>
      </c>
      <c r="F68" s="142">
        <v>0</v>
      </c>
      <c r="G68" s="142">
        <v>0</v>
      </c>
      <c r="H68" s="142">
        <v>0</v>
      </c>
      <c r="I68" s="142">
        <v>0</v>
      </c>
      <c r="J68" s="142">
        <v>0</v>
      </c>
      <c r="K68" s="142">
        <v>0</v>
      </c>
      <c r="L68" s="143">
        <v>0</v>
      </c>
      <c r="M68" s="142">
        <v>0</v>
      </c>
      <c r="N68" s="142">
        <v>0</v>
      </c>
      <c r="O68" s="142">
        <v>0</v>
      </c>
      <c r="P68" s="142">
        <v>0</v>
      </c>
      <c r="Q68" s="142">
        <v>0</v>
      </c>
      <c r="R68" s="142">
        <v>0</v>
      </c>
      <c r="S68" s="142">
        <v>0</v>
      </c>
      <c r="T68" s="142">
        <v>0</v>
      </c>
      <c r="U68" s="142">
        <v>0</v>
      </c>
      <c r="V68" s="142">
        <v>0</v>
      </c>
      <c r="W68" s="142">
        <v>0</v>
      </c>
      <c r="X68" s="142">
        <v>0</v>
      </c>
      <c r="Y68" s="142">
        <v>0</v>
      </c>
      <c r="Z68" s="142"/>
      <c r="AA68" s="142">
        <v>0</v>
      </c>
      <c r="AB68" s="142">
        <v>0</v>
      </c>
      <c r="AC68" s="142">
        <v>0</v>
      </c>
      <c r="AD68" s="142">
        <v>0</v>
      </c>
      <c r="AE68" s="142">
        <v>0</v>
      </c>
      <c r="AF68" s="142">
        <v>0</v>
      </c>
      <c r="AG68" s="142">
        <v>0</v>
      </c>
      <c r="AH68" s="142">
        <v>0</v>
      </c>
      <c r="AI68" s="142">
        <v>0</v>
      </c>
      <c r="AJ68" s="142">
        <v>0</v>
      </c>
      <c r="AK68" s="142">
        <v>0</v>
      </c>
      <c r="AL68" s="142">
        <v>0</v>
      </c>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row>
    <row r="69" spans="1:131">
      <c r="A69" s="79"/>
      <c r="B69" s="79" t="s">
        <v>392</v>
      </c>
      <c r="C69" s="142">
        <v>0</v>
      </c>
      <c r="D69" s="142">
        <v>0</v>
      </c>
      <c r="E69" s="142">
        <v>0</v>
      </c>
      <c r="F69" s="142">
        <v>0</v>
      </c>
      <c r="G69" s="142">
        <v>0</v>
      </c>
      <c r="H69" s="142">
        <v>0</v>
      </c>
      <c r="I69" s="142">
        <v>0</v>
      </c>
      <c r="J69" s="142">
        <v>0</v>
      </c>
      <c r="K69" s="142">
        <v>0</v>
      </c>
      <c r="L69" s="143">
        <v>0</v>
      </c>
      <c r="M69" s="142">
        <v>0</v>
      </c>
      <c r="N69" s="142">
        <v>0</v>
      </c>
      <c r="O69" s="142">
        <v>0</v>
      </c>
      <c r="P69" s="142">
        <v>0</v>
      </c>
      <c r="Q69" s="142">
        <v>0</v>
      </c>
      <c r="R69" s="142">
        <v>0</v>
      </c>
      <c r="S69" s="142">
        <v>0</v>
      </c>
      <c r="T69" s="142">
        <v>0</v>
      </c>
      <c r="U69" s="142">
        <v>0</v>
      </c>
      <c r="V69" s="142">
        <v>0</v>
      </c>
      <c r="W69" s="142">
        <v>0</v>
      </c>
      <c r="X69" s="142">
        <v>0</v>
      </c>
      <c r="Y69" s="142">
        <v>0</v>
      </c>
      <c r="Z69" s="142"/>
      <c r="AA69" s="142">
        <v>0</v>
      </c>
      <c r="AB69" s="142">
        <v>0</v>
      </c>
      <c r="AC69" s="142">
        <v>0</v>
      </c>
      <c r="AD69" s="142">
        <v>0</v>
      </c>
      <c r="AE69" s="142">
        <v>0</v>
      </c>
      <c r="AF69" s="142">
        <v>0</v>
      </c>
      <c r="AG69" s="142">
        <v>0</v>
      </c>
      <c r="AH69" s="142">
        <v>0</v>
      </c>
      <c r="AI69" s="142">
        <v>0</v>
      </c>
      <c r="AJ69" s="142">
        <v>0</v>
      </c>
      <c r="AK69" s="142">
        <v>0</v>
      </c>
      <c r="AL69" s="142">
        <v>0</v>
      </c>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row>
    <row r="70" spans="1:131">
      <c r="A70" s="79"/>
      <c r="B70" s="79" t="s">
        <v>393</v>
      </c>
      <c r="C70" s="103">
        <v>1658.8489688773964</v>
      </c>
      <c r="D70" s="103">
        <v>356.58923434217837</v>
      </c>
      <c r="E70" s="103">
        <v>71.31784686843568</v>
      </c>
      <c r="F70" s="103">
        <v>427.90708121061402</v>
      </c>
      <c r="G70" s="103">
        <v>724.46047715203724</v>
      </c>
      <c r="H70" s="103">
        <v>995.88744206600791</v>
      </c>
      <c r="I70" s="103">
        <v>2259.6789109388919</v>
      </c>
      <c r="J70" s="103">
        <v>6.4755631858574585</v>
      </c>
      <c r="K70" s="103">
        <v>25.004091661642736</v>
      </c>
      <c r="L70" s="134">
        <v>1.3268955152014623</v>
      </c>
      <c r="M70" s="103">
        <v>15.759194720379217</v>
      </c>
      <c r="N70" s="113">
        <v>80.114820583742315</v>
      </c>
      <c r="O70" s="113">
        <v>75.276235480578862</v>
      </c>
      <c r="P70" s="113">
        <v>85.380663470248152</v>
      </c>
      <c r="Q70" s="113">
        <v>77.794487668881743</v>
      </c>
      <c r="R70" s="113">
        <v>79.791118945435272</v>
      </c>
      <c r="S70" s="113">
        <v>79.536821389854666</v>
      </c>
      <c r="T70" s="113">
        <v>76.156286541187455</v>
      </c>
      <c r="U70" s="113">
        <v>86.8750726301881</v>
      </c>
      <c r="V70" s="113">
        <v>74.826608915807711</v>
      </c>
      <c r="W70" s="113">
        <v>85.010618673183387</v>
      </c>
      <c r="X70" s="113">
        <v>73.465954614449188</v>
      </c>
      <c r="Y70" s="113">
        <v>74.801163461287786</v>
      </c>
      <c r="Z70" s="113"/>
      <c r="AA70" s="113">
        <v>64.498354299608351</v>
      </c>
      <c r="AB70" s="113">
        <v>58.016562779748021</v>
      </c>
      <c r="AC70" s="113">
        <v>57.703911153071353</v>
      </c>
      <c r="AD70" s="113">
        <v>57.983918613796597</v>
      </c>
      <c r="AE70" s="113">
        <v>58.732966212783417</v>
      </c>
      <c r="AF70" s="113">
        <v>54.447339341574377</v>
      </c>
      <c r="AG70" s="113">
        <v>61.216070699572775</v>
      </c>
      <c r="AH70" s="113">
        <v>58.338770127816346</v>
      </c>
      <c r="AI70" s="113">
        <v>61.013344525619971</v>
      </c>
      <c r="AJ70" s="113">
        <v>57.236678520878947</v>
      </c>
      <c r="AK70" s="113">
        <v>60.197394865299678</v>
      </c>
      <c r="AL70" s="113">
        <v>60.433805362781712</v>
      </c>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row>
    <row r="71" spans="1:131">
      <c r="A71" s="79"/>
      <c r="B71" s="79" t="s">
        <v>394</v>
      </c>
      <c r="C71" s="103">
        <v>1658.8489688773964</v>
      </c>
      <c r="D71" s="103">
        <v>484.7925975406369</v>
      </c>
      <c r="E71" s="103">
        <v>96.958519508127381</v>
      </c>
      <c r="F71" s="103">
        <v>581.75111704876429</v>
      </c>
      <c r="G71" s="103">
        <v>1022.9817048177833</v>
      </c>
      <c r="H71" s="103">
        <v>995.88744206600791</v>
      </c>
      <c r="I71" s="103">
        <v>3072.0938921859288</v>
      </c>
      <c r="J71" s="103">
        <v>11.367444439786548</v>
      </c>
      <c r="K71" s="103">
        <v>38.245631340063071</v>
      </c>
      <c r="L71" s="114">
        <v>0.97599810355622896</v>
      </c>
      <c r="M71" s="103">
        <v>15.759194720379217</v>
      </c>
      <c r="N71" s="113">
        <v>80.114820583742315</v>
      </c>
      <c r="O71" s="113">
        <v>75.276235480578862</v>
      </c>
      <c r="P71" s="113">
        <v>85.380663470248152</v>
      </c>
      <c r="Q71" s="113">
        <v>77.794487668881743</v>
      </c>
      <c r="R71" s="113">
        <v>79.791118945435272</v>
      </c>
      <c r="S71" s="113">
        <v>79.536821389854666</v>
      </c>
      <c r="T71" s="113">
        <v>76.156286541187455</v>
      </c>
      <c r="U71" s="113">
        <v>86.8750726301881</v>
      </c>
      <c r="V71" s="113">
        <v>74.826608915807711</v>
      </c>
      <c r="W71" s="113">
        <v>85.010618673183387</v>
      </c>
      <c r="X71" s="113">
        <v>73.465954614449188</v>
      </c>
      <c r="Y71" s="113">
        <v>74.801163461287786</v>
      </c>
      <c r="Z71" s="113"/>
      <c r="AA71" s="113">
        <v>64.498354299608351</v>
      </c>
      <c r="AB71" s="113">
        <v>58.016562779748021</v>
      </c>
      <c r="AC71" s="113">
        <v>57.703911153071353</v>
      </c>
      <c r="AD71" s="113">
        <v>57.983918613796597</v>
      </c>
      <c r="AE71" s="113">
        <v>58.732966212783417</v>
      </c>
      <c r="AF71" s="113">
        <v>54.447339341574377</v>
      </c>
      <c r="AG71" s="113">
        <v>61.216070699572775</v>
      </c>
      <c r="AH71" s="113">
        <v>58.338770127816346</v>
      </c>
      <c r="AI71" s="113">
        <v>61.013344525619971</v>
      </c>
      <c r="AJ71" s="113">
        <v>57.236678520878947</v>
      </c>
      <c r="AK71" s="113">
        <v>60.197394865299678</v>
      </c>
      <c r="AL71" s="113">
        <v>60.433805362781712</v>
      </c>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row>
    <row r="72" spans="1:131">
      <c r="A72" s="79"/>
      <c r="B72" s="79" t="s">
        <v>395</v>
      </c>
      <c r="C72" s="103">
        <v>1443.3335761052115</v>
      </c>
      <c r="D72" s="103">
        <v>447.49652763248179</v>
      </c>
      <c r="E72" s="103">
        <v>89.499305526496357</v>
      </c>
      <c r="F72" s="103">
        <v>536.99583315897814</v>
      </c>
      <c r="G72" s="103">
        <v>935.68485216466388</v>
      </c>
      <c r="H72" s="103">
        <v>866.50310554079113</v>
      </c>
      <c r="I72" s="103">
        <v>3259.179704782081</v>
      </c>
      <c r="J72" s="103">
        <v>12.493964261110371</v>
      </c>
      <c r="K72" s="103">
        <v>40.570722502572544</v>
      </c>
      <c r="L72" s="114">
        <v>0.93360642532402882</v>
      </c>
      <c r="M72" s="103">
        <v>13.711781662495888</v>
      </c>
      <c r="N72" s="113">
        <v>69.706412495414142</v>
      </c>
      <c r="O72" s="113">
        <v>65.496449761456248</v>
      </c>
      <c r="P72" s="113">
        <v>74.288124264950397</v>
      </c>
      <c r="Q72" s="113">
        <v>67.687534064289252</v>
      </c>
      <c r="R72" s="113">
        <v>69.424765731920658</v>
      </c>
      <c r="S72" s="113">
        <v>69.203506167501516</v>
      </c>
      <c r="T72" s="113">
        <v>66.26216579003659</v>
      </c>
      <c r="U72" s="113">
        <v>75.58838182754225</v>
      </c>
      <c r="V72" s="113">
        <v>65.105238065986342</v>
      </c>
      <c r="W72" s="113">
        <v>73.96615518260046</v>
      </c>
      <c r="X72" s="113">
        <v>63.921358113399847</v>
      </c>
      <c r="Y72" s="113">
        <v>65.083098450170255</v>
      </c>
      <c r="Z72" s="113"/>
      <c r="AA72" s="113">
        <v>56.118816185631331</v>
      </c>
      <c r="AB72" s="113">
        <v>50.479130168730357</v>
      </c>
      <c r="AC72" s="113">
        <v>50.207097814445731</v>
      </c>
      <c r="AD72" s="113">
        <v>50.450727088241649</v>
      </c>
      <c r="AE72" s="113">
        <v>51.102459446040505</v>
      </c>
      <c r="AF72" s="113">
        <v>47.373615365641342</v>
      </c>
      <c r="AG72" s="113">
        <v>53.262962388744185</v>
      </c>
      <c r="AH72" s="113">
        <v>50.759476778132388</v>
      </c>
      <c r="AI72" s="113">
        <v>53.086574122475774</v>
      </c>
      <c r="AJ72" s="113">
        <v>49.800567407791718</v>
      </c>
      <c r="AK72" s="113">
        <v>52.376631527792838</v>
      </c>
      <c r="AL72" s="113">
        <v>52.582327896275665</v>
      </c>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row>
    <row r="73" spans="1:131">
      <c r="A73" s="79"/>
      <c r="B73" s="79" t="s">
        <v>396</v>
      </c>
      <c r="C73" s="103">
        <v>2725.6397455518472</v>
      </c>
      <c r="D73" s="103">
        <v>1126.9444390214003</v>
      </c>
      <c r="E73" s="103">
        <v>225.38888780428005</v>
      </c>
      <c r="F73" s="103">
        <v>1352.3333268256804</v>
      </c>
      <c r="G73" s="103">
        <v>2370.8366653407611</v>
      </c>
      <c r="H73" s="103">
        <v>1636.3336537068994</v>
      </c>
      <c r="I73" s="103">
        <v>4346.2970344213509</v>
      </c>
      <c r="J73" s="103">
        <v>19.039940158207589</v>
      </c>
      <c r="K73" s="103">
        <v>56.872553717992623</v>
      </c>
      <c r="L73" s="114">
        <v>0.72004534448285129</v>
      </c>
      <c r="M73" s="103">
        <v>25.893790389383611</v>
      </c>
      <c r="N73" s="113">
        <v>131.63593750103621</v>
      </c>
      <c r="O73" s="113">
        <v>123.68570205655064</v>
      </c>
      <c r="P73" s="113">
        <v>140.28819634712318</v>
      </c>
      <c r="Q73" s="113">
        <v>127.82341946334159</v>
      </c>
      <c r="R73" s="113">
        <v>131.10406626524369</v>
      </c>
      <c r="S73" s="113">
        <v>130.68623225039892</v>
      </c>
      <c r="T73" s="113">
        <v>125.13170599899101</v>
      </c>
      <c r="U73" s="113">
        <v>142.74364652906809</v>
      </c>
      <c r="V73" s="113">
        <v>122.94692471238679</v>
      </c>
      <c r="W73" s="113">
        <v>139.68017908609616</v>
      </c>
      <c r="X73" s="113">
        <v>120.71124592949636</v>
      </c>
      <c r="Y73" s="113">
        <v>122.90511551607999</v>
      </c>
      <c r="Z73" s="113"/>
      <c r="AA73" s="113">
        <v>105.97666291504957</v>
      </c>
      <c r="AB73" s="113">
        <v>95.326489861098707</v>
      </c>
      <c r="AC73" s="113">
        <v>94.812774799529194</v>
      </c>
      <c r="AD73" s="113">
        <v>95.272852527111752</v>
      </c>
      <c r="AE73" s="113">
        <v>96.503605865970741</v>
      </c>
      <c r="AF73" s="113">
        <v>89.461931093928428</v>
      </c>
      <c r="AG73" s="113">
        <v>100.58357240212345</v>
      </c>
      <c r="AH73" s="113">
        <v>95.855905842107632</v>
      </c>
      <c r="AI73" s="113">
        <v>100.25047485825039</v>
      </c>
      <c r="AJ73" s="113">
        <v>94.045069085136006</v>
      </c>
      <c r="AK73" s="113">
        <v>98.909795347177365</v>
      </c>
      <c r="AL73" s="113">
        <v>99.298239298550953</v>
      </c>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row>
    <row r="74" spans="1:131">
      <c r="A74" s="79"/>
      <c r="B74" s="79" t="s">
        <v>397</v>
      </c>
      <c r="C74" s="142">
        <v>0</v>
      </c>
      <c r="D74" s="142">
        <v>0</v>
      </c>
      <c r="E74" s="142">
        <v>0</v>
      </c>
      <c r="F74" s="142">
        <v>0</v>
      </c>
      <c r="G74" s="142">
        <v>0</v>
      </c>
      <c r="H74" s="142">
        <v>0</v>
      </c>
      <c r="I74" s="142">
        <v>0</v>
      </c>
      <c r="J74" s="142">
        <v>0</v>
      </c>
      <c r="K74" s="142">
        <v>0</v>
      </c>
      <c r="L74" s="143">
        <v>0</v>
      </c>
      <c r="M74" s="142">
        <v>0</v>
      </c>
      <c r="N74" s="142">
        <v>0</v>
      </c>
      <c r="O74" s="142">
        <v>0</v>
      </c>
      <c r="P74" s="142">
        <v>0</v>
      </c>
      <c r="Q74" s="142">
        <v>0</v>
      </c>
      <c r="R74" s="142">
        <v>0</v>
      </c>
      <c r="S74" s="142">
        <v>0</v>
      </c>
      <c r="T74" s="142">
        <v>0</v>
      </c>
      <c r="U74" s="142">
        <v>0</v>
      </c>
      <c r="V74" s="142">
        <v>0</v>
      </c>
      <c r="W74" s="142">
        <v>0</v>
      </c>
      <c r="X74" s="142">
        <v>0</v>
      </c>
      <c r="Y74" s="142">
        <v>0</v>
      </c>
      <c r="Z74" s="142"/>
      <c r="AA74" s="142">
        <v>0</v>
      </c>
      <c r="AB74" s="142">
        <v>0</v>
      </c>
      <c r="AC74" s="142">
        <v>0</v>
      </c>
      <c r="AD74" s="142">
        <v>0</v>
      </c>
      <c r="AE74" s="142">
        <v>0</v>
      </c>
      <c r="AF74" s="142">
        <v>0</v>
      </c>
      <c r="AG74" s="142">
        <v>0</v>
      </c>
      <c r="AH74" s="142">
        <v>0</v>
      </c>
      <c r="AI74" s="142">
        <v>0</v>
      </c>
      <c r="AJ74" s="142">
        <v>0</v>
      </c>
      <c r="AK74" s="142">
        <v>0</v>
      </c>
      <c r="AL74" s="142">
        <v>0</v>
      </c>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row>
    <row r="75" spans="1:131">
      <c r="A75" s="79"/>
      <c r="B75" s="79" t="s">
        <v>398</v>
      </c>
      <c r="C75" s="103">
        <v>1282.3061694466355</v>
      </c>
      <c r="D75" s="103">
        <v>678.27513934376702</v>
      </c>
      <c r="E75" s="103">
        <v>135.65502786875342</v>
      </c>
      <c r="F75" s="103">
        <v>813.93016721252047</v>
      </c>
      <c r="G75" s="103">
        <v>1432.4210162456868</v>
      </c>
      <c r="H75" s="103">
        <v>769.8305481661082</v>
      </c>
      <c r="I75" s="103">
        <v>5560.3165879320077</v>
      </c>
      <c r="J75" s="103">
        <v>26.350045994274488</v>
      </c>
      <c r="K75" s="103">
        <v>75.06481082719074</v>
      </c>
      <c r="L75" s="114">
        <v>0.58046955380078369</v>
      </c>
      <c r="M75" s="103">
        <v>12.182008726887725</v>
      </c>
      <c r="N75" s="113">
        <v>61.929525005622054</v>
      </c>
      <c r="O75" s="113">
        <v>58.189252295094384</v>
      </c>
      <c r="P75" s="113">
        <v>66.000072082172792</v>
      </c>
      <c r="Q75" s="113">
        <v>60.135885399052349</v>
      </c>
      <c r="R75" s="113">
        <v>61.679300533323037</v>
      </c>
      <c r="S75" s="113">
        <v>61.482726082897408</v>
      </c>
      <c r="T75" s="113">
        <v>58.869540208954412</v>
      </c>
      <c r="U75" s="113">
        <v>67.155264701525837</v>
      </c>
      <c r="V75" s="113">
        <v>57.841686646400454</v>
      </c>
      <c r="W75" s="113">
        <v>65.714023903495701</v>
      </c>
      <c r="X75" s="113">
        <v>56.789887816096517</v>
      </c>
      <c r="Y75" s="113">
        <v>57.822017065909733</v>
      </c>
      <c r="Z75" s="113"/>
      <c r="AA75" s="113">
        <v>49.857846729418242</v>
      </c>
      <c r="AB75" s="113">
        <v>44.847359692368343</v>
      </c>
      <c r="AC75" s="113">
        <v>44.605676985083463</v>
      </c>
      <c r="AD75" s="113">
        <v>44.822125438870103</v>
      </c>
      <c r="AE75" s="113">
        <v>45.401146419930235</v>
      </c>
      <c r="AF75" s="113">
        <v>42.088315728287085</v>
      </c>
      <c r="AG75" s="113">
        <v>47.320610013379259</v>
      </c>
      <c r="AH75" s="113">
        <v>45.096429063975243</v>
      </c>
      <c r="AI75" s="113">
        <v>47.163900735774611</v>
      </c>
      <c r="AJ75" s="113">
        <v>44.244501677344289</v>
      </c>
      <c r="AK75" s="113">
        <v>46.533163819384527</v>
      </c>
      <c r="AL75" s="113">
        <v>46.715911402275282</v>
      </c>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103"/>
      <c r="CR75" s="103"/>
      <c r="CS75" s="103"/>
      <c r="CT75" s="103"/>
      <c r="CU75" s="103"/>
      <c r="CV75" s="103"/>
      <c r="CW75" s="103"/>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row>
    <row r="76" spans="1:131">
      <c r="A76" s="79"/>
      <c r="B76" s="79" t="s">
        <v>399</v>
      </c>
      <c r="C76" s="142">
        <v>0</v>
      </c>
      <c r="D76" s="142">
        <v>0</v>
      </c>
      <c r="E76" s="142">
        <v>0</v>
      </c>
      <c r="F76" s="142">
        <v>0</v>
      </c>
      <c r="G76" s="142">
        <v>0</v>
      </c>
      <c r="H76" s="142">
        <v>0</v>
      </c>
      <c r="I76" s="142">
        <v>0</v>
      </c>
      <c r="J76" s="142">
        <v>0</v>
      </c>
      <c r="K76" s="142">
        <v>0</v>
      </c>
      <c r="L76" s="143">
        <v>0</v>
      </c>
      <c r="M76" s="142">
        <v>0</v>
      </c>
      <c r="N76" s="142">
        <v>0</v>
      </c>
      <c r="O76" s="142">
        <v>0</v>
      </c>
      <c r="P76" s="142">
        <v>0</v>
      </c>
      <c r="Q76" s="142">
        <v>0</v>
      </c>
      <c r="R76" s="142">
        <v>0</v>
      </c>
      <c r="S76" s="142">
        <v>0</v>
      </c>
      <c r="T76" s="142">
        <v>0</v>
      </c>
      <c r="U76" s="142">
        <v>0</v>
      </c>
      <c r="V76" s="142">
        <v>0</v>
      </c>
      <c r="W76" s="142">
        <v>0</v>
      </c>
      <c r="X76" s="142">
        <v>0</v>
      </c>
      <c r="Y76" s="142">
        <v>0</v>
      </c>
      <c r="Z76" s="142"/>
      <c r="AA76" s="142">
        <v>0</v>
      </c>
      <c r="AB76" s="142">
        <v>0</v>
      </c>
      <c r="AC76" s="142">
        <v>0</v>
      </c>
      <c r="AD76" s="142">
        <v>0</v>
      </c>
      <c r="AE76" s="142">
        <v>0</v>
      </c>
      <c r="AF76" s="142">
        <v>0</v>
      </c>
      <c r="AG76" s="142">
        <v>0</v>
      </c>
      <c r="AH76" s="142">
        <v>0</v>
      </c>
      <c r="AI76" s="142">
        <v>0</v>
      </c>
      <c r="AJ76" s="142">
        <v>0</v>
      </c>
      <c r="AK76" s="142">
        <v>0</v>
      </c>
      <c r="AL76" s="142">
        <v>0</v>
      </c>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103"/>
      <c r="CR76" s="103"/>
      <c r="CS76" s="103"/>
      <c r="CT76" s="103"/>
      <c r="CU76" s="103"/>
      <c r="CV76" s="103"/>
      <c r="CW76" s="103"/>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row>
    <row r="77" spans="1:131">
      <c r="A77" s="79"/>
      <c r="B77" s="79" t="s">
        <v>400</v>
      </c>
      <c r="C77" s="142">
        <v>0</v>
      </c>
      <c r="D77" s="142">
        <v>0</v>
      </c>
      <c r="E77" s="142">
        <v>0</v>
      </c>
      <c r="F77" s="142">
        <v>0</v>
      </c>
      <c r="G77" s="142">
        <v>0</v>
      </c>
      <c r="H77" s="142">
        <v>0</v>
      </c>
      <c r="I77" s="142">
        <v>0</v>
      </c>
      <c r="J77" s="142">
        <v>0</v>
      </c>
      <c r="K77" s="142">
        <v>0</v>
      </c>
      <c r="L77" s="143">
        <v>0</v>
      </c>
      <c r="M77" s="142">
        <v>0</v>
      </c>
      <c r="N77" s="142">
        <v>0</v>
      </c>
      <c r="O77" s="142">
        <v>0</v>
      </c>
      <c r="P77" s="142">
        <v>0</v>
      </c>
      <c r="Q77" s="142">
        <v>0</v>
      </c>
      <c r="R77" s="142">
        <v>0</v>
      </c>
      <c r="S77" s="142">
        <v>0</v>
      </c>
      <c r="T77" s="142">
        <v>0</v>
      </c>
      <c r="U77" s="142">
        <v>0</v>
      </c>
      <c r="V77" s="142">
        <v>0</v>
      </c>
      <c r="W77" s="142">
        <v>0</v>
      </c>
      <c r="X77" s="142">
        <v>0</v>
      </c>
      <c r="Y77" s="142">
        <v>0</v>
      </c>
      <c r="Z77" s="142"/>
      <c r="AA77" s="142">
        <v>0</v>
      </c>
      <c r="AB77" s="142">
        <v>0</v>
      </c>
      <c r="AC77" s="142">
        <v>0</v>
      </c>
      <c r="AD77" s="142">
        <v>0</v>
      </c>
      <c r="AE77" s="142">
        <v>0</v>
      </c>
      <c r="AF77" s="142">
        <v>0</v>
      </c>
      <c r="AG77" s="142">
        <v>0</v>
      </c>
      <c r="AH77" s="142">
        <v>0</v>
      </c>
      <c r="AI77" s="142">
        <v>0</v>
      </c>
      <c r="AJ77" s="142">
        <v>0</v>
      </c>
      <c r="AK77" s="142">
        <v>0</v>
      </c>
      <c r="AL77" s="142">
        <v>0</v>
      </c>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103"/>
      <c r="CR77" s="103"/>
      <c r="CS77" s="103"/>
      <c r="CT77" s="103"/>
      <c r="CU77" s="103"/>
      <c r="CV77" s="103"/>
      <c r="CW77" s="103"/>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row>
    <row r="78" spans="1:131">
      <c r="A78" s="79"/>
      <c r="B78" s="79" t="s">
        <v>401</v>
      </c>
      <c r="C78" s="142">
        <v>0</v>
      </c>
      <c r="D78" s="142">
        <v>0</v>
      </c>
      <c r="E78" s="142">
        <v>0</v>
      </c>
      <c r="F78" s="142">
        <v>0</v>
      </c>
      <c r="G78" s="142">
        <v>0</v>
      </c>
      <c r="H78" s="142">
        <v>0</v>
      </c>
      <c r="I78" s="142">
        <v>0</v>
      </c>
      <c r="J78" s="142">
        <v>0</v>
      </c>
      <c r="K78" s="142">
        <v>0</v>
      </c>
      <c r="L78" s="143">
        <v>0</v>
      </c>
      <c r="M78" s="142">
        <v>0</v>
      </c>
      <c r="N78" s="142">
        <v>0</v>
      </c>
      <c r="O78" s="142">
        <v>0</v>
      </c>
      <c r="P78" s="142">
        <v>0</v>
      </c>
      <c r="Q78" s="142">
        <v>0</v>
      </c>
      <c r="R78" s="142">
        <v>0</v>
      </c>
      <c r="S78" s="142">
        <v>0</v>
      </c>
      <c r="T78" s="142">
        <v>0</v>
      </c>
      <c r="U78" s="142">
        <v>0</v>
      </c>
      <c r="V78" s="142">
        <v>0</v>
      </c>
      <c r="W78" s="142">
        <v>0</v>
      </c>
      <c r="X78" s="142">
        <v>0</v>
      </c>
      <c r="Y78" s="142">
        <v>0</v>
      </c>
      <c r="Z78" s="142"/>
      <c r="AA78" s="142">
        <v>0</v>
      </c>
      <c r="AB78" s="142">
        <v>0</v>
      </c>
      <c r="AC78" s="142">
        <v>0</v>
      </c>
      <c r="AD78" s="142">
        <v>0</v>
      </c>
      <c r="AE78" s="142">
        <v>0</v>
      </c>
      <c r="AF78" s="142">
        <v>0</v>
      </c>
      <c r="AG78" s="142">
        <v>0</v>
      </c>
      <c r="AH78" s="142">
        <v>0</v>
      </c>
      <c r="AI78" s="142">
        <v>0</v>
      </c>
      <c r="AJ78" s="142">
        <v>0</v>
      </c>
      <c r="AK78" s="142">
        <v>0</v>
      </c>
      <c r="AL78" s="142">
        <v>0</v>
      </c>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103"/>
      <c r="CI78" s="103"/>
      <c r="CJ78" s="103"/>
      <c r="CK78" s="103"/>
      <c r="CL78" s="103"/>
      <c r="CM78" s="103"/>
      <c r="CN78" s="103"/>
      <c r="CO78" s="103"/>
      <c r="CP78" s="103"/>
      <c r="CQ78" s="103"/>
      <c r="CR78" s="103"/>
      <c r="CS78" s="103"/>
      <c r="CT78" s="103"/>
      <c r="CU78" s="103"/>
      <c r="CV78" s="103"/>
      <c r="CW78" s="103"/>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row>
    <row r="79" spans="1:131">
      <c r="A79" s="79"/>
      <c r="B79" s="79" t="s">
        <v>402</v>
      </c>
      <c r="C79" s="142">
        <v>0</v>
      </c>
      <c r="D79" s="142">
        <v>0</v>
      </c>
      <c r="E79" s="142">
        <v>0</v>
      </c>
      <c r="F79" s="142">
        <v>0</v>
      </c>
      <c r="G79" s="142">
        <v>0</v>
      </c>
      <c r="H79" s="142">
        <v>0</v>
      </c>
      <c r="I79" s="142">
        <v>0</v>
      </c>
      <c r="J79" s="142">
        <v>0</v>
      </c>
      <c r="K79" s="142">
        <v>0</v>
      </c>
      <c r="L79" s="143">
        <v>0</v>
      </c>
      <c r="M79" s="142">
        <v>0</v>
      </c>
      <c r="N79" s="142">
        <v>0</v>
      </c>
      <c r="O79" s="142">
        <v>0</v>
      </c>
      <c r="P79" s="142">
        <v>0</v>
      </c>
      <c r="Q79" s="142">
        <v>0</v>
      </c>
      <c r="R79" s="142">
        <v>0</v>
      </c>
      <c r="S79" s="142">
        <v>0</v>
      </c>
      <c r="T79" s="142">
        <v>0</v>
      </c>
      <c r="U79" s="142">
        <v>0</v>
      </c>
      <c r="V79" s="142">
        <v>0</v>
      </c>
      <c r="W79" s="142">
        <v>0</v>
      </c>
      <c r="X79" s="142">
        <v>0</v>
      </c>
      <c r="Y79" s="142">
        <v>0</v>
      </c>
      <c r="Z79" s="142"/>
      <c r="AA79" s="142">
        <v>0</v>
      </c>
      <c r="AB79" s="142">
        <v>0</v>
      </c>
      <c r="AC79" s="142">
        <v>0</v>
      </c>
      <c r="AD79" s="142">
        <v>0</v>
      </c>
      <c r="AE79" s="142">
        <v>0</v>
      </c>
      <c r="AF79" s="142">
        <v>0</v>
      </c>
      <c r="AG79" s="142">
        <v>0</v>
      </c>
      <c r="AH79" s="142">
        <v>0</v>
      </c>
      <c r="AI79" s="142">
        <v>0</v>
      </c>
      <c r="AJ79" s="142">
        <v>0</v>
      </c>
      <c r="AK79" s="142">
        <v>0</v>
      </c>
      <c r="AL79" s="142">
        <v>0</v>
      </c>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103"/>
      <c r="CI79" s="103"/>
      <c r="CJ79" s="103"/>
      <c r="CK79" s="103"/>
      <c r="CL79" s="103"/>
      <c r="CM79" s="103"/>
      <c r="CN79" s="103"/>
      <c r="CO79" s="103"/>
      <c r="CP79" s="103"/>
      <c r="CQ79" s="103"/>
      <c r="CR79" s="103"/>
      <c r="CS79" s="103"/>
      <c r="CT79" s="103"/>
      <c r="CU79" s="103"/>
      <c r="CV79" s="103"/>
      <c r="CW79" s="103"/>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row>
    <row r="80" spans="1:131">
      <c r="A80" s="79"/>
      <c r="B80" s="79" t="s">
        <v>403</v>
      </c>
      <c r="C80" s="142">
        <v>0</v>
      </c>
      <c r="D80" s="142">
        <v>0</v>
      </c>
      <c r="E80" s="142">
        <v>0</v>
      </c>
      <c r="F80" s="142">
        <v>0</v>
      </c>
      <c r="G80" s="142">
        <v>0</v>
      </c>
      <c r="H80" s="142">
        <v>0</v>
      </c>
      <c r="I80" s="142">
        <v>0</v>
      </c>
      <c r="J80" s="142">
        <v>0</v>
      </c>
      <c r="K80" s="142">
        <v>0</v>
      </c>
      <c r="L80" s="143">
        <v>0</v>
      </c>
      <c r="M80" s="142">
        <v>0</v>
      </c>
      <c r="N80" s="142">
        <v>0</v>
      </c>
      <c r="O80" s="142">
        <v>0</v>
      </c>
      <c r="P80" s="142">
        <v>0</v>
      </c>
      <c r="Q80" s="142">
        <v>0</v>
      </c>
      <c r="R80" s="142">
        <v>0</v>
      </c>
      <c r="S80" s="142">
        <v>0</v>
      </c>
      <c r="T80" s="142">
        <v>0</v>
      </c>
      <c r="U80" s="142">
        <v>0</v>
      </c>
      <c r="V80" s="142">
        <v>0</v>
      </c>
      <c r="W80" s="142">
        <v>0</v>
      </c>
      <c r="X80" s="142">
        <v>0</v>
      </c>
      <c r="Y80" s="142">
        <v>0</v>
      </c>
      <c r="Z80" s="142"/>
      <c r="AA80" s="142">
        <v>0</v>
      </c>
      <c r="AB80" s="142">
        <v>0</v>
      </c>
      <c r="AC80" s="142">
        <v>0</v>
      </c>
      <c r="AD80" s="142">
        <v>0</v>
      </c>
      <c r="AE80" s="142">
        <v>0</v>
      </c>
      <c r="AF80" s="142">
        <v>0</v>
      </c>
      <c r="AG80" s="142">
        <v>0</v>
      </c>
      <c r="AH80" s="142">
        <v>0</v>
      </c>
      <c r="AI80" s="142">
        <v>0</v>
      </c>
      <c r="AJ80" s="142">
        <v>0</v>
      </c>
      <c r="AK80" s="142">
        <v>0</v>
      </c>
      <c r="AL80" s="142">
        <v>0</v>
      </c>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row>
    <row r="81" spans="1:131">
      <c r="A81" s="79"/>
      <c r="B81" s="79" t="s">
        <v>404</v>
      </c>
      <c r="C81" s="142">
        <v>0</v>
      </c>
      <c r="D81" s="142">
        <v>0</v>
      </c>
      <c r="E81" s="142">
        <v>0</v>
      </c>
      <c r="F81" s="142">
        <v>0</v>
      </c>
      <c r="G81" s="142">
        <v>0</v>
      </c>
      <c r="H81" s="142">
        <v>0</v>
      </c>
      <c r="I81" s="142">
        <v>0</v>
      </c>
      <c r="J81" s="142">
        <v>0</v>
      </c>
      <c r="K81" s="142">
        <v>0</v>
      </c>
      <c r="L81" s="143">
        <v>0</v>
      </c>
      <c r="M81" s="142">
        <v>0</v>
      </c>
      <c r="N81" s="142">
        <v>0</v>
      </c>
      <c r="O81" s="142">
        <v>0</v>
      </c>
      <c r="P81" s="142">
        <v>0</v>
      </c>
      <c r="Q81" s="142">
        <v>0</v>
      </c>
      <c r="R81" s="142">
        <v>0</v>
      </c>
      <c r="S81" s="142">
        <v>0</v>
      </c>
      <c r="T81" s="142">
        <v>0</v>
      </c>
      <c r="U81" s="142">
        <v>0</v>
      </c>
      <c r="V81" s="142">
        <v>0</v>
      </c>
      <c r="W81" s="142">
        <v>0</v>
      </c>
      <c r="X81" s="142">
        <v>0</v>
      </c>
      <c r="Y81" s="142">
        <v>0</v>
      </c>
      <c r="Z81" s="142"/>
      <c r="AA81" s="142">
        <v>0</v>
      </c>
      <c r="AB81" s="142">
        <v>0</v>
      </c>
      <c r="AC81" s="142">
        <v>0</v>
      </c>
      <c r="AD81" s="142">
        <v>0</v>
      </c>
      <c r="AE81" s="142">
        <v>0</v>
      </c>
      <c r="AF81" s="142">
        <v>0</v>
      </c>
      <c r="AG81" s="142">
        <v>0</v>
      </c>
      <c r="AH81" s="142">
        <v>0</v>
      </c>
      <c r="AI81" s="142">
        <v>0</v>
      </c>
      <c r="AJ81" s="142">
        <v>0</v>
      </c>
      <c r="AK81" s="142">
        <v>0</v>
      </c>
      <c r="AL81" s="142">
        <v>0</v>
      </c>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row>
    <row r="82" spans="1:131">
      <c r="A82" s="79"/>
      <c r="B82" s="79" t="s">
        <v>405</v>
      </c>
      <c r="C82" s="142">
        <v>0</v>
      </c>
      <c r="D82" s="142">
        <v>0</v>
      </c>
      <c r="E82" s="142">
        <v>0</v>
      </c>
      <c r="F82" s="142">
        <v>0</v>
      </c>
      <c r="G82" s="142">
        <v>0</v>
      </c>
      <c r="H82" s="142">
        <v>0</v>
      </c>
      <c r="I82" s="142">
        <v>0</v>
      </c>
      <c r="J82" s="142">
        <v>0</v>
      </c>
      <c r="K82" s="142">
        <v>0</v>
      </c>
      <c r="L82" s="143">
        <v>0</v>
      </c>
      <c r="M82" s="142">
        <v>0</v>
      </c>
      <c r="N82" s="142">
        <v>0</v>
      </c>
      <c r="O82" s="142">
        <v>0</v>
      </c>
      <c r="P82" s="142">
        <v>0</v>
      </c>
      <c r="Q82" s="142">
        <v>0</v>
      </c>
      <c r="R82" s="142">
        <v>0</v>
      </c>
      <c r="S82" s="142">
        <v>0</v>
      </c>
      <c r="T82" s="142">
        <v>0</v>
      </c>
      <c r="U82" s="142">
        <v>0</v>
      </c>
      <c r="V82" s="142">
        <v>0</v>
      </c>
      <c r="W82" s="142">
        <v>0</v>
      </c>
      <c r="X82" s="142">
        <v>0</v>
      </c>
      <c r="Y82" s="142">
        <v>0</v>
      </c>
      <c r="Z82" s="142"/>
      <c r="AA82" s="142">
        <v>0</v>
      </c>
      <c r="AB82" s="142">
        <v>0</v>
      </c>
      <c r="AC82" s="142">
        <v>0</v>
      </c>
      <c r="AD82" s="142">
        <v>0</v>
      </c>
      <c r="AE82" s="142">
        <v>0</v>
      </c>
      <c r="AF82" s="142">
        <v>0</v>
      </c>
      <c r="AG82" s="142">
        <v>0</v>
      </c>
      <c r="AH82" s="142">
        <v>0</v>
      </c>
      <c r="AI82" s="142">
        <v>0</v>
      </c>
      <c r="AJ82" s="142">
        <v>0</v>
      </c>
      <c r="AK82" s="142">
        <v>0</v>
      </c>
      <c r="AL82" s="142">
        <v>0</v>
      </c>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c r="CJ82" s="103"/>
      <c r="CK82" s="103"/>
      <c r="CL82" s="103"/>
      <c r="CM82" s="103"/>
      <c r="CN82" s="103"/>
      <c r="CO82" s="103"/>
      <c r="CP82" s="103"/>
      <c r="CQ82" s="103"/>
      <c r="CR82" s="103"/>
      <c r="CS82" s="103"/>
      <c r="CT82" s="103"/>
      <c r="CU82" s="103"/>
      <c r="CV82" s="103"/>
      <c r="CW82" s="103"/>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row>
    <row r="83" spans="1:131">
      <c r="A83" s="79"/>
      <c r="B83" s="79" t="s">
        <v>406</v>
      </c>
      <c r="C83" s="142">
        <v>0</v>
      </c>
      <c r="D83" s="142">
        <v>0</v>
      </c>
      <c r="E83" s="142">
        <v>0</v>
      </c>
      <c r="F83" s="142">
        <v>0</v>
      </c>
      <c r="G83" s="142">
        <v>0</v>
      </c>
      <c r="H83" s="142">
        <v>0</v>
      </c>
      <c r="I83" s="142">
        <v>0</v>
      </c>
      <c r="J83" s="142">
        <v>0</v>
      </c>
      <c r="K83" s="142">
        <v>0</v>
      </c>
      <c r="L83" s="143">
        <v>0</v>
      </c>
      <c r="M83" s="142">
        <v>0</v>
      </c>
      <c r="N83" s="142">
        <v>0</v>
      </c>
      <c r="O83" s="142">
        <v>0</v>
      </c>
      <c r="P83" s="142">
        <v>0</v>
      </c>
      <c r="Q83" s="142">
        <v>0</v>
      </c>
      <c r="R83" s="142">
        <v>0</v>
      </c>
      <c r="S83" s="142">
        <v>0</v>
      </c>
      <c r="T83" s="142">
        <v>0</v>
      </c>
      <c r="U83" s="142">
        <v>0</v>
      </c>
      <c r="V83" s="142">
        <v>0</v>
      </c>
      <c r="W83" s="142">
        <v>0</v>
      </c>
      <c r="X83" s="142">
        <v>0</v>
      </c>
      <c r="Y83" s="142">
        <v>0</v>
      </c>
      <c r="Z83" s="142"/>
      <c r="AA83" s="142">
        <v>0</v>
      </c>
      <c r="AB83" s="142">
        <v>0</v>
      </c>
      <c r="AC83" s="142">
        <v>0</v>
      </c>
      <c r="AD83" s="142">
        <v>0</v>
      </c>
      <c r="AE83" s="142">
        <v>0</v>
      </c>
      <c r="AF83" s="142">
        <v>0</v>
      </c>
      <c r="AG83" s="142">
        <v>0</v>
      </c>
      <c r="AH83" s="142">
        <v>0</v>
      </c>
      <c r="AI83" s="142">
        <v>0</v>
      </c>
      <c r="AJ83" s="142">
        <v>0</v>
      </c>
      <c r="AK83" s="142">
        <v>0</v>
      </c>
      <c r="AL83" s="142">
        <v>0</v>
      </c>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c r="CJ83" s="103"/>
      <c r="CK83" s="103"/>
      <c r="CL83" s="103"/>
      <c r="CM83" s="103"/>
      <c r="CN83" s="103"/>
      <c r="CO83" s="103"/>
      <c r="CP83" s="103"/>
      <c r="CQ83" s="103"/>
      <c r="CR83" s="103"/>
      <c r="CS83" s="103"/>
      <c r="CT83" s="103"/>
      <c r="CU83" s="103"/>
      <c r="CV83" s="103"/>
      <c r="CW83" s="103"/>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row>
    <row r="84" spans="1:131">
      <c r="A84" s="79"/>
      <c r="B84" s="79" t="s">
        <v>407</v>
      </c>
      <c r="C84" s="142">
        <v>0</v>
      </c>
      <c r="D84" s="142">
        <v>0</v>
      </c>
      <c r="E84" s="142">
        <v>0</v>
      </c>
      <c r="F84" s="142">
        <v>0</v>
      </c>
      <c r="G84" s="142">
        <v>0</v>
      </c>
      <c r="H84" s="142">
        <v>0</v>
      </c>
      <c r="I84" s="142">
        <v>0</v>
      </c>
      <c r="J84" s="142">
        <v>0</v>
      </c>
      <c r="K84" s="142">
        <v>0</v>
      </c>
      <c r="L84" s="143">
        <v>0</v>
      </c>
      <c r="M84" s="142">
        <v>0</v>
      </c>
      <c r="N84" s="142">
        <v>0</v>
      </c>
      <c r="O84" s="142">
        <v>0</v>
      </c>
      <c r="P84" s="142">
        <v>0</v>
      </c>
      <c r="Q84" s="142">
        <v>0</v>
      </c>
      <c r="R84" s="142">
        <v>0</v>
      </c>
      <c r="S84" s="142">
        <v>0</v>
      </c>
      <c r="T84" s="142">
        <v>0</v>
      </c>
      <c r="U84" s="142">
        <v>0</v>
      </c>
      <c r="V84" s="142">
        <v>0</v>
      </c>
      <c r="W84" s="142">
        <v>0</v>
      </c>
      <c r="X84" s="142">
        <v>0</v>
      </c>
      <c r="Y84" s="142">
        <v>0</v>
      </c>
      <c r="Z84" s="142"/>
      <c r="AA84" s="142">
        <v>0</v>
      </c>
      <c r="AB84" s="142">
        <v>0</v>
      </c>
      <c r="AC84" s="142">
        <v>0</v>
      </c>
      <c r="AD84" s="142">
        <v>0</v>
      </c>
      <c r="AE84" s="142">
        <v>0</v>
      </c>
      <c r="AF84" s="142">
        <v>0</v>
      </c>
      <c r="AG84" s="142">
        <v>0</v>
      </c>
      <c r="AH84" s="142">
        <v>0</v>
      </c>
      <c r="AI84" s="142">
        <v>0</v>
      </c>
      <c r="AJ84" s="142">
        <v>0</v>
      </c>
      <c r="AK84" s="142">
        <v>0</v>
      </c>
      <c r="AL84" s="142">
        <v>0</v>
      </c>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103"/>
      <c r="CI84" s="103"/>
      <c r="CJ84" s="103"/>
      <c r="CK84" s="103"/>
      <c r="CL84" s="103"/>
      <c r="CM84" s="103"/>
      <c r="CN84" s="103"/>
      <c r="CO84" s="103"/>
      <c r="CP84" s="103"/>
      <c r="CQ84" s="103"/>
      <c r="CR84" s="103"/>
      <c r="CS84" s="103"/>
      <c r="CT84" s="103"/>
      <c r="CU84" s="103"/>
      <c r="CV84" s="103"/>
      <c r="CW84" s="103"/>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row>
    <row r="85" spans="1:131">
      <c r="A85" s="79"/>
      <c r="B85" s="79" t="s">
        <v>408</v>
      </c>
      <c r="C85" s="142">
        <v>0</v>
      </c>
      <c r="D85" s="142">
        <v>0</v>
      </c>
      <c r="E85" s="142">
        <v>0</v>
      </c>
      <c r="F85" s="142">
        <v>0</v>
      </c>
      <c r="G85" s="142">
        <v>0</v>
      </c>
      <c r="H85" s="142">
        <v>0</v>
      </c>
      <c r="I85" s="142">
        <v>0</v>
      </c>
      <c r="J85" s="142">
        <v>0</v>
      </c>
      <c r="K85" s="142">
        <v>0</v>
      </c>
      <c r="L85" s="143">
        <v>0</v>
      </c>
      <c r="M85" s="142">
        <v>0</v>
      </c>
      <c r="N85" s="142">
        <v>0</v>
      </c>
      <c r="O85" s="142">
        <v>0</v>
      </c>
      <c r="P85" s="142">
        <v>0</v>
      </c>
      <c r="Q85" s="142">
        <v>0</v>
      </c>
      <c r="R85" s="142">
        <v>0</v>
      </c>
      <c r="S85" s="142">
        <v>0</v>
      </c>
      <c r="T85" s="142">
        <v>0</v>
      </c>
      <c r="U85" s="142">
        <v>0</v>
      </c>
      <c r="V85" s="142">
        <v>0</v>
      </c>
      <c r="W85" s="142">
        <v>0</v>
      </c>
      <c r="X85" s="142">
        <v>0</v>
      </c>
      <c r="Y85" s="142">
        <v>0</v>
      </c>
      <c r="Z85" s="142"/>
      <c r="AA85" s="142">
        <v>0</v>
      </c>
      <c r="AB85" s="142">
        <v>0</v>
      </c>
      <c r="AC85" s="142">
        <v>0</v>
      </c>
      <c r="AD85" s="142">
        <v>0</v>
      </c>
      <c r="AE85" s="142">
        <v>0</v>
      </c>
      <c r="AF85" s="142">
        <v>0</v>
      </c>
      <c r="AG85" s="142">
        <v>0</v>
      </c>
      <c r="AH85" s="142">
        <v>0</v>
      </c>
      <c r="AI85" s="142">
        <v>0</v>
      </c>
      <c r="AJ85" s="142">
        <v>0</v>
      </c>
      <c r="AK85" s="142">
        <v>0</v>
      </c>
      <c r="AL85" s="142">
        <v>0</v>
      </c>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103"/>
      <c r="CI85" s="103"/>
      <c r="CJ85" s="103"/>
      <c r="CK85" s="103"/>
      <c r="CL85" s="103"/>
      <c r="CM85" s="103"/>
      <c r="CN85" s="103"/>
      <c r="CO85" s="103"/>
      <c r="CP85" s="103"/>
      <c r="CQ85" s="103"/>
      <c r="CR85" s="103"/>
      <c r="CS85" s="103"/>
      <c r="CT85" s="103"/>
      <c r="CU85" s="103"/>
      <c r="CV85" s="103"/>
      <c r="CW85" s="103"/>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row>
    <row r="86" spans="1:131">
      <c r="A86" s="79"/>
      <c r="B86" s="79" t="s">
        <v>409</v>
      </c>
      <c r="C86" s="142">
        <v>0</v>
      </c>
      <c r="D86" s="142">
        <v>0</v>
      </c>
      <c r="E86" s="142">
        <v>0</v>
      </c>
      <c r="F86" s="142">
        <v>0</v>
      </c>
      <c r="G86" s="142">
        <v>0</v>
      </c>
      <c r="H86" s="142">
        <v>0</v>
      </c>
      <c r="I86" s="142">
        <v>0</v>
      </c>
      <c r="J86" s="142">
        <v>0</v>
      </c>
      <c r="K86" s="142">
        <v>0</v>
      </c>
      <c r="L86" s="143">
        <v>0</v>
      </c>
      <c r="M86" s="142">
        <v>0</v>
      </c>
      <c r="N86" s="142">
        <v>0</v>
      </c>
      <c r="O86" s="142">
        <v>0</v>
      </c>
      <c r="P86" s="142">
        <v>0</v>
      </c>
      <c r="Q86" s="142">
        <v>0</v>
      </c>
      <c r="R86" s="142">
        <v>0</v>
      </c>
      <c r="S86" s="142">
        <v>0</v>
      </c>
      <c r="T86" s="142">
        <v>0</v>
      </c>
      <c r="U86" s="142">
        <v>0</v>
      </c>
      <c r="V86" s="142">
        <v>0</v>
      </c>
      <c r="W86" s="142">
        <v>0</v>
      </c>
      <c r="X86" s="142">
        <v>0</v>
      </c>
      <c r="Y86" s="142">
        <v>0</v>
      </c>
      <c r="Z86" s="142"/>
      <c r="AA86" s="142">
        <v>0</v>
      </c>
      <c r="AB86" s="142">
        <v>0</v>
      </c>
      <c r="AC86" s="142">
        <v>0</v>
      </c>
      <c r="AD86" s="142">
        <v>0</v>
      </c>
      <c r="AE86" s="142">
        <v>0</v>
      </c>
      <c r="AF86" s="142">
        <v>0</v>
      </c>
      <c r="AG86" s="142">
        <v>0</v>
      </c>
      <c r="AH86" s="142">
        <v>0</v>
      </c>
      <c r="AI86" s="142">
        <v>0</v>
      </c>
      <c r="AJ86" s="142">
        <v>0</v>
      </c>
      <c r="AK86" s="142">
        <v>0</v>
      </c>
      <c r="AL86" s="142">
        <v>0</v>
      </c>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103"/>
      <c r="CI86" s="103"/>
      <c r="CJ86" s="103"/>
      <c r="CK86" s="103"/>
      <c r="CL86" s="103"/>
      <c r="CM86" s="103"/>
      <c r="CN86" s="103"/>
      <c r="CO86" s="103"/>
      <c r="CP86" s="103"/>
      <c r="CQ86" s="103"/>
      <c r="CR86" s="103"/>
      <c r="CS86" s="103"/>
      <c r="CT86" s="103"/>
      <c r="CU86" s="103"/>
      <c r="CV86" s="103"/>
      <c r="CW86" s="103"/>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row>
    <row r="87" spans="1:131">
      <c r="A87" s="79"/>
      <c r="B87" s="79" t="s">
        <v>410</v>
      </c>
      <c r="C87" s="142">
        <v>0</v>
      </c>
      <c r="D87" s="142">
        <v>0</v>
      </c>
      <c r="E87" s="142">
        <v>0</v>
      </c>
      <c r="F87" s="142">
        <v>0</v>
      </c>
      <c r="G87" s="142">
        <v>0</v>
      </c>
      <c r="H87" s="142">
        <v>0</v>
      </c>
      <c r="I87" s="142">
        <v>0</v>
      </c>
      <c r="J87" s="142">
        <v>0</v>
      </c>
      <c r="K87" s="142">
        <v>0</v>
      </c>
      <c r="L87" s="143">
        <v>0</v>
      </c>
      <c r="M87" s="142">
        <v>0</v>
      </c>
      <c r="N87" s="142">
        <v>0</v>
      </c>
      <c r="O87" s="142">
        <v>0</v>
      </c>
      <c r="P87" s="142">
        <v>0</v>
      </c>
      <c r="Q87" s="142">
        <v>0</v>
      </c>
      <c r="R87" s="142">
        <v>0</v>
      </c>
      <c r="S87" s="142">
        <v>0</v>
      </c>
      <c r="T87" s="142">
        <v>0</v>
      </c>
      <c r="U87" s="142">
        <v>0</v>
      </c>
      <c r="V87" s="142">
        <v>0</v>
      </c>
      <c r="W87" s="142">
        <v>0</v>
      </c>
      <c r="X87" s="142">
        <v>0</v>
      </c>
      <c r="Y87" s="142">
        <v>0</v>
      </c>
      <c r="Z87" s="142"/>
      <c r="AA87" s="142">
        <v>0</v>
      </c>
      <c r="AB87" s="142">
        <v>0</v>
      </c>
      <c r="AC87" s="142">
        <v>0</v>
      </c>
      <c r="AD87" s="142">
        <v>0</v>
      </c>
      <c r="AE87" s="142">
        <v>0</v>
      </c>
      <c r="AF87" s="142">
        <v>0</v>
      </c>
      <c r="AG87" s="142">
        <v>0</v>
      </c>
      <c r="AH87" s="142">
        <v>0</v>
      </c>
      <c r="AI87" s="142">
        <v>0</v>
      </c>
      <c r="AJ87" s="142">
        <v>0</v>
      </c>
      <c r="AK87" s="142">
        <v>0</v>
      </c>
      <c r="AL87" s="142">
        <v>0</v>
      </c>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3"/>
      <c r="CT87" s="103"/>
      <c r="CU87" s="103"/>
      <c r="CV87" s="103"/>
      <c r="CW87" s="103"/>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row>
    <row r="88" spans="1:131">
      <c r="A88" s="79"/>
      <c r="B88" s="79" t="s">
        <v>411</v>
      </c>
      <c r="C88" s="142">
        <v>0</v>
      </c>
      <c r="D88" s="142">
        <v>0</v>
      </c>
      <c r="E88" s="142">
        <v>0</v>
      </c>
      <c r="F88" s="142">
        <v>0</v>
      </c>
      <c r="G88" s="142">
        <v>0</v>
      </c>
      <c r="H88" s="142">
        <v>0</v>
      </c>
      <c r="I88" s="142">
        <v>0</v>
      </c>
      <c r="J88" s="142">
        <v>0</v>
      </c>
      <c r="K88" s="142">
        <v>0</v>
      </c>
      <c r="L88" s="143">
        <v>0</v>
      </c>
      <c r="M88" s="142">
        <v>0</v>
      </c>
      <c r="N88" s="142">
        <v>0</v>
      </c>
      <c r="O88" s="142">
        <v>0</v>
      </c>
      <c r="P88" s="142">
        <v>0</v>
      </c>
      <c r="Q88" s="142">
        <v>0</v>
      </c>
      <c r="R88" s="142">
        <v>0</v>
      </c>
      <c r="S88" s="142">
        <v>0</v>
      </c>
      <c r="T88" s="142">
        <v>0</v>
      </c>
      <c r="U88" s="142">
        <v>0</v>
      </c>
      <c r="V88" s="142">
        <v>0</v>
      </c>
      <c r="W88" s="142">
        <v>0</v>
      </c>
      <c r="X88" s="142">
        <v>0</v>
      </c>
      <c r="Y88" s="142">
        <v>0</v>
      </c>
      <c r="Z88" s="142"/>
      <c r="AA88" s="142">
        <v>0</v>
      </c>
      <c r="AB88" s="142">
        <v>0</v>
      </c>
      <c r="AC88" s="142">
        <v>0</v>
      </c>
      <c r="AD88" s="142">
        <v>0</v>
      </c>
      <c r="AE88" s="142">
        <v>0</v>
      </c>
      <c r="AF88" s="142">
        <v>0</v>
      </c>
      <c r="AG88" s="142">
        <v>0</v>
      </c>
      <c r="AH88" s="142">
        <v>0</v>
      </c>
      <c r="AI88" s="142">
        <v>0</v>
      </c>
      <c r="AJ88" s="142">
        <v>0</v>
      </c>
      <c r="AK88" s="142">
        <v>0</v>
      </c>
      <c r="AL88" s="142">
        <v>0</v>
      </c>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103"/>
      <c r="CI88" s="103"/>
      <c r="CJ88" s="103"/>
      <c r="CK88" s="103"/>
      <c r="CL88" s="103"/>
      <c r="CM88" s="103"/>
      <c r="CN88" s="103"/>
      <c r="CO88" s="103"/>
      <c r="CP88" s="103"/>
      <c r="CQ88" s="103"/>
      <c r="CR88" s="103"/>
      <c r="CS88" s="103"/>
      <c r="CT88" s="103"/>
      <c r="CU88" s="103"/>
      <c r="CV88" s="103"/>
      <c r="CW88" s="103"/>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row>
    <row r="89" spans="1:131">
      <c r="A89" s="79"/>
      <c r="B89" s="79"/>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103"/>
      <c r="CI89" s="103"/>
      <c r="CJ89" s="103"/>
      <c r="CK89" s="103"/>
      <c r="CL89" s="103"/>
      <c r="CM89" s="103"/>
      <c r="CN89" s="103"/>
      <c r="CO89" s="103"/>
      <c r="CP89" s="103"/>
      <c r="CQ89" s="103"/>
      <c r="CR89" s="103"/>
      <c r="CS89" s="103"/>
      <c r="CT89" s="103"/>
      <c r="CU89" s="103"/>
      <c r="CV89" s="103"/>
      <c r="CW89" s="103"/>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row>
    <row r="90" spans="1:131">
      <c r="A90" s="79"/>
      <c r="B90" s="79"/>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103"/>
      <c r="CR90" s="103"/>
      <c r="CS90" s="103"/>
      <c r="CT90" s="103"/>
      <c r="CU90" s="103"/>
      <c r="CV90" s="103"/>
      <c r="CW90" s="103"/>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row>
    <row r="91" spans="1:131" ht="15.75" thickBot="1">
      <c r="A91" s="101" t="s">
        <v>175</v>
      </c>
      <c r="B91" s="102"/>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103"/>
      <c r="CI91" s="103"/>
      <c r="CJ91" s="103"/>
      <c r="CK91" s="103"/>
      <c r="CL91" s="103"/>
      <c r="CM91" s="103"/>
      <c r="CN91" s="103"/>
      <c r="CO91" s="103"/>
      <c r="CP91" s="103"/>
      <c r="CQ91" s="103"/>
      <c r="CR91" s="103"/>
      <c r="CS91" s="103"/>
      <c r="CT91" s="103"/>
      <c r="CU91" s="103"/>
      <c r="CV91" s="103"/>
      <c r="CW91" s="103"/>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row>
    <row r="92" spans="1:131" ht="15.75" thickBot="1">
      <c r="A92" s="104"/>
      <c r="B92" s="105"/>
      <c r="C92" s="106"/>
      <c r="D92" s="106"/>
      <c r="E92" s="106"/>
      <c r="F92" s="106"/>
      <c r="G92" s="106"/>
      <c r="H92" s="106"/>
      <c r="I92" s="106"/>
      <c r="J92" s="106"/>
      <c r="K92" s="106"/>
      <c r="L92" s="106"/>
      <c r="M92" s="106"/>
      <c r="N92" s="106"/>
      <c r="O92" s="107" t="s">
        <v>176</v>
      </c>
      <c r="P92" s="108"/>
      <c r="Q92" s="108"/>
      <c r="R92" s="108"/>
      <c r="S92" s="108"/>
      <c r="T92" s="108"/>
      <c r="U92" s="108"/>
      <c r="V92" s="108"/>
      <c r="W92" s="108"/>
      <c r="X92" s="108"/>
      <c r="Y92" s="108"/>
      <c r="Z92" s="109"/>
      <c r="AA92" s="106"/>
      <c r="AB92" s="107" t="s">
        <v>177</v>
      </c>
      <c r="AC92" s="108"/>
      <c r="AD92" s="108"/>
      <c r="AE92" s="108"/>
      <c r="AF92" s="108"/>
      <c r="AG92" s="108"/>
      <c r="AH92" s="108"/>
      <c r="AI92" s="108"/>
      <c r="AJ92" s="108"/>
      <c r="AK92" s="108"/>
      <c r="AL92" s="108"/>
      <c r="AM92" s="109"/>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103"/>
      <c r="CL92" s="103"/>
      <c r="CM92" s="103"/>
      <c r="CN92" s="103"/>
      <c r="CO92" s="103"/>
      <c r="CP92" s="103"/>
      <c r="CQ92" s="103"/>
      <c r="CR92" s="103"/>
      <c r="CS92" s="103"/>
      <c r="CT92" s="103"/>
      <c r="CU92" s="103"/>
      <c r="CV92" s="103"/>
      <c r="CW92" s="103"/>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row>
    <row r="93" spans="1:131" ht="102.75">
      <c r="A93" s="110" t="s">
        <v>178</v>
      </c>
      <c r="B93" s="111" t="s">
        <v>179</v>
      </c>
      <c r="C93" s="112" t="s">
        <v>180</v>
      </c>
      <c r="D93" s="112" t="s">
        <v>12</v>
      </c>
      <c r="E93" s="112" t="s">
        <v>181</v>
      </c>
      <c r="F93" s="112" t="s">
        <v>182</v>
      </c>
      <c r="G93" s="112" t="s">
        <v>183</v>
      </c>
      <c r="H93" s="112" t="s">
        <v>184</v>
      </c>
      <c r="I93" s="112" t="s">
        <v>185</v>
      </c>
      <c r="J93" s="112" t="s">
        <v>186</v>
      </c>
      <c r="K93" s="112" t="s">
        <v>187</v>
      </c>
      <c r="L93" s="112" t="s">
        <v>188</v>
      </c>
      <c r="M93" s="112" t="s">
        <v>189</v>
      </c>
      <c r="N93" s="112" t="s">
        <v>190</v>
      </c>
      <c r="O93" s="112" t="s">
        <v>191</v>
      </c>
      <c r="P93" s="112" t="s">
        <v>192</v>
      </c>
      <c r="Q93" s="112" t="s">
        <v>193</v>
      </c>
      <c r="R93" s="112" t="s">
        <v>194</v>
      </c>
      <c r="S93" s="112" t="s">
        <v>195</v>
      </c>
      <c r="T93" s="112" t="s">
        <v>196</v>
      </c>
      <c r="U93" s="112" t="s">
        <v>197</v>
      </c>
      <c r="V93" s="112" t="s">
        <v>198</v>
      </c>
      <c r="W93" s="112" t="s">
        <v>199</v>
      </c>
      <c r="X93" s="112" t="s">
        <v>200</v>
      </c>
      <c r="Y93" s="112" t="s">
        <v>201</v>
      </c>
      <c r="Z93" s="112" t="s">
        <v>202</v>
      </c>
      <c r="AA93" s="112"/>
      <c r="AB93" s="112" t="s">
        <v>191</v>
      </c>
      <c r="AC93" s="112" t="s">
        <v>192</v>
      </c>
      <c r="AD93" s="112" t="s">
        <v>193</v>
      </c>
      <c r="AE93" s="112" t="s">
        <v>194</v>
      </c>
      <c r="AF93" s="112" t="s">
        <v>195</v>
      </c>
      <c r="AG93" s="112" t="s">
        <v>196</v>
      </c>
      <c r="AH93" s="112" t="s">
        <v>197</v>
      </c>
      <c r="AI93" s="112" t="s">
        <v>198</v>
      </c>
      <c r="AJ93" s="112" t="s">
        <v>199</v>
      </c>
      <c r="AK93" s="112" t="s">
        <v>200</v>
      </c>
      <c r="AL93" s="112" t="s">
        <v>201</v>
      </c>
      <c r="AM93" s="112" t="s">
        <v>202</v>
      </c>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103"/>
      <c r="CR93" s="103"/>
      <c r="CS93" s="103"/>
      <c r="CT93" s="103"/>
      <c r="CU93" s="103"/>
      <c r="CV93" s="103"/>
      <c r="CW93" s="103"/>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row>
    <row r="94" spans="1:131">
      <c r="A94" s="79" t="s">
        <v>203</v>
      </c>
      <c r="B94" s="79"/>
      <c r="C94" s="113">
        <v>1658.8489688773964</v>
      </c>
      <c r="D94" s="113">
        <v>356.58923434217837</v>
      </c>
      <c r="E94" s="113">
        <v>71.31784686843568</v>
      </c>
      <c r="F94" s="113">
        <v>427.90708121061402</v>
      </c>
      <c r="G94" s="113">
        <v>724.46047715203724</v>
      </c>
      <c r="H94" s="113">
        <v>995.88744206600791</v>
      </c>
      <c r="I94" s="113">
        <v>2259.6789109388919</v>
      </c>
      <c r="J94" s="113">
        <v>6.4755631858574585</v>
      </c>
      <c r="K94" s="113">
        <v>25.004091661642736</v>
      </c>
      <c r="L94" s="134">
        <v>1.3268955152014623</v>
      </c>
      <c r="M94" s="113">
        <v>15.759194720379217</v>
      </c>
      <c r="N94" s="113">
        <v>0.2083451628546675</v>
      </c>
      <c r="O94" s="113">
        <v>80.114820583742315</v>
      </c>
      <c r="P94" s="113">
        <v>75.276235480578862</v>
      </c>
      <c r="Q94" s="113">
        <v>85.380663470248152</v>
      </c>
      <c r="R94" s="113">
        <v>77.794487668881743</v>
      </c>
      <c r="S94" s="113">
        <v>79.791118945435272</v>
      </c>
      <c r="T94" s="113">
        <v>79.536821389854666</v>
      </c>
      <c r="U94" s="113">
        <v>76.156286541187455</v>
      </c>
      <c r="V94" s="113">
        <v>86.8750726301881</v>
      </c>
      <c r="W94" s="113">
        <v>74.826608915807711</v>
      </c>
      <c r="X94" s="113">
        <v>85.010618673183387</v>
      </c>
      <c r="Y94" s="113">
        <v>73.465954614449188</v>
      </c>
      <c r="Z94" s="113">
        <v>74.801163461287786</v>
      </c>
      <c r="AA94" s="113"/>
      <c r="AB94" s="113">
        <v>64.498354299608351</v>
      </c>
      <c r="AC94" s="113">
        <v>58.016562779748021</v>
      </c>
      <c r="AD94" s="113">
        <v>57.703911153071353</v>
      </c>
      <c r="AE94" s="113">
        <v>57.983918613796597</v>
      </c>
      <c r="AF94" s="113">
        <v>58.732966212783417</v>
      </c>
      <c r="AG94" s="113">
        <v>54.447339341574377</v>
      </c>
      <c r="AH94" s="113">
        <v>61.216070699572775</v>
      </c>
      <c r="AI94" s="113">
        <v>58.338770127816346</v>
      </c>
      <c r="AJ94" s="113">
        <v>61.013344525619971</v>
      </c>
      <c r="AK94" s="113">
        <v>57.236678520878947</v>
      </c>
      <c r="AL94" s="113">
        <v>60.197394865299678</v>
      </c>
      <c r="AM94" s="103">
        <v>60.433805362781712</v>
      </c>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103"/>
      <c r="CI94" s="103"/>
      <c r="CJ94" s="103"/>
      <c r="CK94" s="103"/>
      <c r="CL94" s="103"/>
      <c r="CM94" s="103"/>
      <c r="CN94" s="103"/>
      <c r="CO94" s="103"/>
      <c r="CP94" s="103"/>
      <c r="CQ94" s="103"/>
      <c r="CR94" s="103"/>
      <c r="CS94" s="103"/>
      <c r="CT94" s="103"/>
      <c r="CU94" s="103"/>
      <c r="CV94" s="103"/>
      <c r="CW94" s="103"/>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row>
    <row r="95" spans="1:131">
      <c r="A95" s="79" t="s">
        <v>204</v>
      </c>
      <c r="B95" s="79"/>
      <c r="C95" s="113">
        <v>1658.8489688773964</v>
      </c>
      <c r="D95" s="113">
        <v>484.7925975406369</v>
      </c>
      <c r="E95" s="113">
        <v>96.958519508127381</v>
      </c>
      <c r="F95" s="113">
        <v>581.75111704876429</v>
      </c>
      <c r="G95" s="113">
        <v>1022.9817048177833</v>
      </c>
      <c r="H95" s="113">
        <v>995.88744206600791</v>
      </c>
      <c r="I95" s="113">
        <v>3072.0938921859288</v>
      </c>
      <c r="J95" s="113">
        <v>11.367444439786548</v>
      </c>
      <c r="K95" s="113">
        <v>38.245631340063071</v>
      </c>
      <c r="L95" s="114">
        <v>0.97599810355622896</v>
      </c>
      <c r="M95" s="113">
        <v>15.759194720379217</v>
      </c>
      <c r="N95" s="113">
        <v>0.2083451628546675</v>
      </c>
      <c r="O95" s="113">
        <v>80.114820583742315</v>
      </c>
      <c r="P95" s="113">
        <v>75.276235480578862</v>
      </c>
      <c r="Q95" s="113">
        <v>85.380663470248152</v>
      </c>
      <c r="R95" s="113">
        <v>77.794487668881743</v>
      </c>
      <c r="S95" s="113">
        <v>79.791118945435272</v>
      </c>
      <c r="T95" s="113">
        <v>79.536821389854666</v>
      </c>
      <c r="U95" s="113">
        <v>76.156286541187455</v>
      </c>
      <c r="V95" s="113">
        <v>86.8750726301881</v>
      </c>
      <c r="W95" s="113">
        <v>74.826608915807711</v>
      </c>
      <c r="X95" s="113">
        <v>85.010618673183387</v>
      </c>
      <c r="Y95" s="113">
        <v>73.465954614449188</v>
      </c>
      <c r="Z95" s="113">
        <v>74.801163461287786</v>
      </c>
      <c r="AA95" s="113"/>
      <c r="AB95" s="113">
        <v>64.498354299608351</v>
      </c>
      <c r="AC95" s="113">
        <v>58.016562779748021</v>
      </c>
      <c r="AD95" s="113">
        <v>57.703911153071353</v>
      </c>
      <c r="AE95" s="113">
        <v>57.983918613796597</v>
      </c>
      <c r="AF95" s="113">
        <v>58.732966212783417</v>
      </c>
      <c r="AG95" s="113">
        <v>54.447339341574377</v>
      </c>
      <c r="AH95" s="113">
        <v>61.216070699572775</v>
      </c>
      <c r="AI95" s="113">
        <v>58.338770127816346</v>
      </c>
      <c r="AJ95" s="113">
        <v>61.013344525619971</v>
      </c>
      <c r="AK95" s="113">
        <v>57.236678520878947</v>
      </c>
      <c r="AL95" s="113">
        <v>60.197394865299678</v>
      </c>
      <c r="AM95" s="103">
        <v>60.433805362781712</v>
      </c>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103"/>
      <c r="CI95" s="103"/>
      <c r="CJ95" s="103"/>
      <c r="CK95" s="103"/>
      <c r="CL95" s="103"/>
      <c r="CM95" s="103"/>
      <c r="CN95" s="103"/>
      <c r="CO95" s="103"/>
      <c r="CP95" s="103"/>
      <c r="CQ95" s="103"/>
      <c r="CR95" s="103"/>
      <c r="CS95" s="103"/>
      <c r="CT95" s="103"/>
      <c r="CU95" s="103"/>
      <c r="CV95" s="103"/>
      <c r="CW95" s="103"/>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row>
    <row r="96" spans="1:131">
      <c r="A96" s="79" t="s">
        <v>205</v>
      </c>
      <c r="B96" s="79"/>
      <c r="C96" s="113">
        <v>1443.3335761052115</v>
      </c>
      <c r="D96" s="113">
        <v>447.49652763248179</v>
      </c>
      <c r="E96" s="113">
        <v>89.499305526496357</v>
      </c>
      <c r="F96" s="113">
        <v>536.99583315897814</v>
      </c>
      <c r="G96" s="113">
        <v>935.68485216466388</v>
      </c>
      <c r="H96" s="113">
        <v>866.50310554079113</v>
      </c>
      <c r="I96" s="113">
        <v>3259.179704782081</v>
      </c>
      <c r="J96" s="113">
        <v>12.493964261110371</v>
      </c>
      <c r="K96" s="113">
        <v>40.570722502572544</v>
      </c>
      <c r="L96" s="114">
        <v>0.93360642532402882</v>
      </c>
      <c r="M96" s="113">
        <v>13.711781662495888</v>
      </c>
      <c r="N96" s="113">
        <v>0.18127724380523469</v>
      </c>
      <c r="O96" s="113">
        <v>69.706412495414142</v>
      </c>
      <c r="P96" s="113">
        <v>65.496449761456248</v>
      </c>
      <c r="Q96" s="113">
        <v>74.288124264950397</v>
      </c>
      <c r="R96" s="113">
        <v>67.687534064289252</v>
      </c>
      <c r="S96" s="113">
        <v>69.424765731920658</v>
      </c>
      <c r="T96" s="113">
        <v>69.203506167501516</v>
      </c>
      <c r="U96" s="113">
        <v>66.26216579003659</v>
      </c>
      <c r="V96" s="113">
        <v>75.58838182754225</v>
      </c>
      <c r="W96" s="113">
        <v>65.105238065986342</v>
      </c>
      <c r="X96" s="113">
        <v>73.96615518260046</v>
      </c>
      <c r="Y96" s="113">
        <v>63.921358113399847</v>
      </c>
      <c r="Z96" s="113">
        <v>65.083098450170255</v>
      </c>
      <c r="AA96" s="113"/>
      <c r="AB96" s="113">
        <v>56.118816185631331</v>
      </c>
      <c r="AC96" s="113">
        <v>50.479130168730357</v>
      </c>
      <c r="AD96" s="113">
        <v>50.207097814445731</v>
      </c>
      <c r="AE96" s="113">
        <v>50.450727088241649</v>
      </c>
      <c r="AF96" s="113">
        <v>51.102459446040505</v>
      </c>
      <c r="AG96" s="113">
        <v>47.373615365641342</v>
      </c>
      <c r="AH96" s="113">
        <v>53.262962388744185</v>
      </c>
      <c r="AI96" s="113">
        <v>50.759476778132388</v>
      </c>
      <c r="AJ96" s="113">
        <v>53.086574122475774</v>
      </c>
      <c r="AK96" s="113">
        <v>49.800567407791718</v>
      </c>
      <c r="AL96" s="113">
        <v>52.376631527792838</v>
      </c>
      <c r="AM96" s="103">
        <v>52.582327896275665</v>
      </c>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03"/>
      <c r="CR96" s="103"/>
      <c r="CS96" s="103"/>
      <c r="CT96" s="103"/>
      <c r="CU96" s="103"/>
      <c r="CV96" s="103"/>
      <c r="CW96" s="103"/>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row>
    <row r="97" spans="1:131">
      <c r="A97" s="79" t="s">
        <v>207</v>
      </c>
      <c r="B97" s="79"/>
      <c r="C97" s="113">
        <v>1282.3061694466355</v>
      </c>
      <c r="D97" s="113">
        <v>545.41057057919818</v>
      </c>
      <c r="E97" s="113">
        <v>109.08211411583964</v>
      </c>
      <c r="F97" s="113">
        <v>654.49268469503784</v>
      </c>
      <c r="G97" s="113">
        <v>1123.0461824553986</v>
      </c>
      <c r="H97" s="113">
        <v>769.8305481661082</v>
      </c>
      <c r="I97" s="113">
        <v>4471.128701192084</v>
      </c>
      <c r="J97" s="113">
        <v>19.791602430160179</v>
      </c>
      <c r="K97" s="113">
        <v>57.312153684675614</v>
      </c>
      <c r="L97" s="114">
        <v>0.72187465503452253</v>
      </c>
      <c r="M97" s="113">
        <v>12.182008726887725</v>
      </c>
      <c r="N97" s="113">
        <v>0.16105280993947424</v>
      </c>
      <c r="O97" s="113">
        <v>61.929525005622054</v>
      </c>
      <c r="P97" s="113">
        <v>58.189252295094384</v>
      </c>
      <c r="Q97" s="113">
        <v>66.000072082172792</v>
      </c>
      <c r="R97" s="113">
        <v>60.135885399052349</v>
      </c>
      <c r="S97" s="113">
        <v>61.679300533323037</v>
      </c>
      <c r="T97" s="113">
        <v>61.482726082897408</v>
      </c>
      <c r="U97" s="113">
        <v>58.869540208954412</v>
      </c>
      <c r="V97" s="113">
        <v>67.155264701525837</v>
      </c>
      <c r="W97" s="113">
        <v>57.841686646400454</v>
      </c>
      <c r="X97" s="113">
        <v>65.714023903495701</v>
      </c>
      <c r="Y97" s="113">
        <v>56.789887816096517</v>
      </c>
      <c r="Z97" s="113">
        <v>57.822017065909733</v>
      </c>
      <c r="AA97" s="113"/>
      <c r="AB97" s="113">
        <v>49.857846729418242</v>
      </c>
      <c r="AC97" s="113">
        <v>44.847359692368343</v>
      </c>
      <c r="AD97" s="113">
        <v>44.605676985083463</v>
      </c>
      <c r="AE97" s="113">
        <v>44.822125438870103</v>
      </c>
      <c r="AF97" s="113">
        <v>45.401146419930235</v>
      </c>
      <c r="AG97" s="113">
        <v>42.088315728287085</v>
      </c>
      <c r="AH97" s="113">
        <v>47.320610013379259</v>
      </c>
      <c r="AI97" s="113">
        <v>45.096429063975243</v>
      </c>
      <c r="AJ97" s="113">
        <v>47.163900735774611</v>
      </c>
      <c r="AK97" s="113">
        <v>44.244501677344289</v>
      </c>
      <c r="AL97" s="113">
        <v>46.533163819384527</v>
      </c>
      <c r="AM97" s="103">
        <v>46.715911402275282</v>
      </c>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c r="CH97" s="103"/>
      <c r="CI97" s="103"/>
      <c r="CJ97" s="103"/>
      <c r="CK97" s="103"/>
      <c r="CL97" s="103"/>
      <c r="CM97" s="103"/>
      <c r="CN97" s="103"/>
      <c r="CO97" s="103"/>
      <c r="CP97" s="103"/>
      <c r="CQ97" s="103"/>
      <c r="CR97" s="103"/>
      <c r="CS97" s="103"/>
      <c r="CT97" s="103"/>
      <c r="CU97" s="103"/>
      <c r="CV97" s="103"/>
      <c r="CW97" s="103"/>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row>
    <row r="98" spans="1:131">
      <c r="A98" s="79" t="s">
        <v>206</v>
      </c>
      <c r="B98" s="79"/>
      <c r="C98" s="113">
        <v>1443.3335761052115</v>
      </c>
      <c r="D98" s="113">
        <v>581.53386844220199</v>
      </c>
      <c r="E98" s="113">
        <v>116.3067736884404</v>
      </c>
      <c r="F98" s="113">
        <v>697.84064213064244</v>
      </c>
      <c r="G98" s="113">
        <v>1247.7904828853627</v>
      </c>
      <c r="H98" s="113">
        <v>866.50310554079113</v>
      </c>
      <c r="I98" s="113">
        <v>4235.3923765567661</v>
      </c>
      <c r="J98" s="113">
        <v>18.372138075153426</v>
      </c>
      <c r="K98" s="113">
        <v>56.481998299135633</v>
      </c>
      <c r="L98" s="114">
        <v>0.71842012336621119</v>
      </c>
      <c r="M98" s="113">
        <v>13.711781662495888</v>
      </c>
      <c r="N98" s="113">
        <v>0.18127724380523469</v>
      </c>
      <c r="O98" s="113">
        <v>69.706412495414142</v>
      </c>
      <c r="P98" s="113">
        <v>65.496449761456248</v>
      </c>
      <c r="Q98" s="113">
        <v>74.288124264950397</v>
      </c>
      <c r="R98" s="113">
        <v>67.687534064289252</v>
      </c>
      <c r="S98" s="113">
        <v>69.424765731920658</v>
      </c>
      <c r="T98" s="113">
        <v>69.203506167501516</v>
      </c>
      <c r="U98" s="113">
        <v>66.26216579003659</v>
      </c>
      <c r="V98" s="113">
        <v>75.58838182754225</v>
      </c>
      <c r="W98" s="113">
        <v>65.105238065986342</v>
      </c>
      <c r="X98" s="113">
        <v>73.96615518260046</v>
      </c>
      <c r="Y98" s="113">
        <v>63.921358113399847</v>
      </c>
      <c r="Z98" s="113">
        <v>65.083098450170255</v>
      </c>
      <c r="AA98" s="113"/>
      <c r="AB98" s="113">
        <v>56.118816185631331</v>
      </c>
      <c r="AC98" s="113">
        <v>50.479130168730357</v>
      </c>
      <c r="AD98" s="113">
        <v>50.207097814445731</v>
      </c>
      <c r="AE98" s="113">
        <v>50.450727088241649</v>
      </c>
      <c r="AF98" s="113">
        <v>51.102459446040505</v>
      </c>
      <c r="AG98" s="113">
        <v>47.373615365641342</v>
      </c>
      <c r="AH98" s="113">
        <v>53.262962388744185</v>
      </c>
      <c r="AI98" s="113">
        <v>50.759476778132388</v>
      </c>
      <c r="AJ98" s="113">
        <v>53.086574122475774</v>
      </c>
      <c r="AK98" s="113">
        <v>49.800567407791718</v>
      </c>
      <c r="AL98" s="113">
        <v>52.376631527792838</v>
      </c>
      <c r="AM98" s="103">
        <v>52.582327896275665</v>
      </c>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c r="CH98" s="103"/>
      <c r="CI98" s="103"/>
      <c r="CJ98" s="103"/>
      <c r="CK98" s="103"/>
      <c r="CL98" s="103"/>
      <c r="CM98" s="103"/>
      <c r="CN98" s="103"/>
      <c r="CO98" s="103"/>
      <c r="CP98" s="103"/>
      <c r="CQ98" s="103"/>
      <c r="CR98" s="103"/>
      <c r="CS98" s="103"/>
      <c r="CT98" s="103"/>
      <c r="CU98" s="103"/>
      <c r="CV98" s="103"/>
      <c r="CW98" s="103"/>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row>
    <row r="99" spans="1:131">
      <c r="A99" s="79" t="s">
        <v>208</v>
      </c>
      <c r="B99" s="79"/>
      <c r="C99" s="113">
        <v>1282.3061694466355</v>
      </c>
      <c r="D99" s="113">
        <v>678.27513934376702</v>
      </c>
      <c r="E99" s="113">
        <v>135.65502786875342</v>
      </c>
      <c r="F99" s="113">
        <v>813.93016721252047</v>
      </c>
      <c r="G99" s="113">
        <v>1432.4210162456868</v>
      </c>
      <c r="H99" s="113">
        <v>769.8305481661082</v>
      </c>
      <c r="I99" s="113">
        <v>5560.3165879320077</v>
      </c>
      <c r="J99" s="113">
        <v>26.350045994274488</v>
      </c>
      <c r="K99" s="113">
        <v>75.06481082719074</v>
      </c>
      <c r="L99" s="114">
        <v>0.58046955380078369</v>
      </c>
      <c r="M99" s="113">
        <v>12.182008726887725</v>
      </c>
      <c r="N99" s="113">
        <v>0.16105280993947424</v>
      </c>
      <c r="O99" s="113">
        <v>61.929525005622054</v>
      </c>
      <c r="P99" s="113">
        <v>58.189252295094384</v>
      </c>
      <c r="Q99" s="113">
        <v>66.000072082172792</v>
      </c>
      <c r="R99" s="113">
        <v>60.135885399052349</v>
      </c>
      <c r="S99" s="113">
        <v>61.679300533323037</v>
      </c>
      <c r="T99" s="113">
        <v>61.482726082897408</v>
      </c>
      <c r="U99" s="113">
        <v>58.869540208954412</v>
      </c>
      <c r="V99" s="113">
        <v>67.155264701525837</v>
      </c>
      <c r="W99" s="113">
        <v>57.841686646400454</v>
      </c>
      <c r="X99" s="113">
        <v>65.714023903495701</v>
      </c>
      <c r="Y99" s="113">
        <v>56.789887816096517</v>
      </c>
      <c r="Z99" s="113">
        <v>57.822017065909733</v>
      </c>
      <c r="AA99" s="113"/>
      <c r="AB99" s="113">
        <v>49.857846729418242</v>
      </c>
      <c r="AC99" s="113">
        <v>44.847359692368343</v>
      </c>
      <c r="AD99" s="113">
        <v>44.605676985083463</v>
      </c>
      <c r="AE99" s="113">
        <v>44.822125438870103</v>
      </c>
      <c r="AF99" s="113">
        <v>45.401146419930235</v>
      </c>
      <c r="AG99" s="113">
        <v>42.088315728287085</v>
      </c>
      <c r="AH99" s="113">
        <v>47.320610013379259</v>
      </c>
      <c r="AI99" s="113">
        <v>45.096429063975243</v>
      </c>
      <c r="AJ99" s="113">
        <v>47.163900735774611</v>
      </c>
      <c r="AK99" s="113">
        <v>44.244501677344289</v>
      </c>
      <c r="AL99" s="113">
        <v>46.533163819384527</v>
      </c>
      <c r="AM99" s="103">
        <v>46.715911402275282</v>
      </c>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103"/>
      <c r="CD99" s="103"/>
      <c r="CE99" s="103"/>
      <c r="CF99" s="103"/>
      <c r="CG99" s="103"/>
      <c r="CH99" s="103"/>
      <c r="CI99" s="103"/>
      <c r="CJ99" s="103"/>
      <c r="CK99" s="103"/>
      <c r="CL99" s="103"/>
      <c r="CM99" s="103"/>
      <c r="CN99" s="103"/>
      <c r="CO99" s="103"/>
      <c r="CP99" s="103"/>
      <c r="CQ99" s="103"/>
      <c r="CR99" s="103"/>
      <c r="CS99" s="103"/>
      <c r="CT99" s="103"/>
      <c r="CU99" s="103"/>
      <c r="CV99" s="103"/>
      <c r="CW99" s="103"/>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row>
    <row r="100" spans="1:131">
      <c r="A100" s="79"/>
      <c r="B100" s="79"/>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c r="CA100" s="103"/>
      <c r="CB100" s="103"/>
      <c r="CC100" s="103"/>
      <c r="CD100" s="103"/>
      <c r="CE100" s="103"/>
      <c r="CF100" s="103"/>
      <c r="CG100" s="103"/>
      <c r="CH100" s="103"/>
      <c r="CI100" s="103"/>
      <c r="CJ100" s="103"/>
      <c r="CK100" s="103"/>
      <c r="CL100" s="103"/>
      <c r="CM100" s="103"/>
      <c r="CN100" s="103"/>
      <c r="CO100" s="103"/>
      <c r="CP100" s="103"/>
      <c r="CQ100" s="103"/>
      <c r="CR100" s="103"/>
      <c r="CS100" s="103"/>
      <c r="CT100" s="103"/>
      <c r="CU100" s="103"/>
      <c r="CV100" s="103"/>
      <c r="CW100" s="103"/>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row>
  </sheetData>
  <mergeCells count="3">
    <mergeCell ref="I6:N6"/>
    <mergeCell ref="O6:P6"/>
    <mergeCell ref="R6:T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tabColor rgb="FFFFC000"/>
  </sheetPr>
  <dimension ref="A1:EA10"/>
  <sheetViews>
    <sheetView workbookViewId="0">
      <selection sqref="A1:EA10"/>
    </sheetView>
  </sheetViews>
  <sheetFormatPr defaultRowHeight="15"/>
  <cols>
    <col min="1" max="1" width="67.42578125" customWidth="1"/>
  </cols>
  <sheetData>
    <row r="1" spans="1:131" ht="15.75" thickBot="1">
      <c r="A1" s="101" t="s">
        <v>175</v>
      </c>
      <c r="B1" s="10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row>
    <row r="2" spans="1:131" ht="15.75" thickBot="1">
      <c r="A2" s="104"/>
      <c r="B2" s="105"/>
      <c r="C2" s="106"/>
      <c r="D2" s="106"/>
      <c r="E2" s="106"/>
      <c r="F2" s="106"/>
      <c r="G2" s="106"/>
      <c r="H2" s="106"/>
      <c r="I2" s="106"/>
      <c r="J2" s="106"/>
      <c r="K2" s="106"/>
      <c r="L2" s="106"/>
      <c r="M2" s="106"/>
      <c r="N2" s="106"/>
      <c r="O2" s="107" t="s">
        <v>176</v>
      </c>
      <c r="P2" s="108"/>
      <c r="Q2" s="108"/>
      <c r="R2" s="108"/>
      <c r="S2" s="108"/>
      <c r="T2" s="108"/>
      <c r="U2" s="108"/>
      <c r="V2" s="108"/>
      <c r="W2" s="108"/>
      <c r="X2" s="108"/>
      <c r="Y2" s="108"/>
      <c r="Z2" s="109"/>
      <c r="AA2" s="106"/>
      <c r="AB2" s="107" t="s">
        <v>177</v>
      </c>
      <c r="AC2" s="108"/>
      <c r="AD2" s="108"/>
      <c r="AE2" s="108"/>
      <c r="AF2" s="108"/>
      <c r="AG2" s="108"/>
      <c r="AH2" s="108"/>
      <c r="AI2" s="108"/>
      <c r="AJ2" s="108"/>
      <c r="AK2" s="108"/>
      <c r="AL2" s="108"/>
      <c r="AM2" s="109"/>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row>
    <row r="3" spans="1:131" ht="204.75">
      <c r="A3" s="110" t="s">
        <v>178</v>
      </c>
      <c r="B3" s="111" t="s">
        <v>179</v>
      </c>
      <c r="C3" s="112" t="s">
        <v>180</v>
      </c>
      <c r="D3" s="112" t="s">
        <v>12</v>
      </c>
      <c r="E3" s="112" t="s">
        <v>181</v>
      </c>
      <c r="F3" s="112" t="s">
        <v>182</v>
      </c>
      <c r="G3" s="112" t="s">
        <v>183</v>
      </c>
      <c r="H3" s="112" t="s">
        <v>184</v>
      </c>
      <c r="I3" s="112" t="s">
        <v>185</v>
      </c>
      <c r="J3" s="112" t="s">
        <v>186</v>
      </c>
      <c r="K3" s="112" t="s">
        <v>187</v>
      </c>
      <c r="L3" s="112" t="s">
        <v>188</v>
      </c>
      <c r="M3" s="112" t="s">
        <v>189</v>
      </c>
      <c r="N3" s="112" t="s">
        <v>190</v>
      </c>
      <c r="O3" s="112" t="s">
        <v>191</v>
      </c>
      <c r="P3" s="112" t="s">
        <v>192</v>
      </c>
      <c r="Q3" s="112" t="s">
        <v>193</v>
      </c>
      <c r="R3" s="112" t="s">
        <v>194</v>
      </c>
      <c r="S3" s="112" t="s">
        <v>195</v>
      </c>
      <c r="T3" s="112" t="s">
        <v>196</v>
      </c>
      <c r="U3" s="112" t="s">
        <v>197</v>
      </c>
      <c r="V3" s="112" t="s">
        <v>198</v>
      </c>
      <c r="W3" s="112" t="s">
        <v>199</v>
      </c>
      <c r="X3" s="112" t="s">
        <v>200</v>
      </c>
      <c r="Y3" s="112" t="s">
        <v>201</v>
      </c>
      <c r="Z3" s="112" t="s">
        <v>202</v>
      </c>
      <c r="AA3" s="112"/>
      <c r="AB3" s="112" t="s">
        <v>191</v>
      </c>
      <c r="AC3" s="112" t="s">
        <v>192</v>
      </c>
      <c r="AD3" s="112" t="s">
        <v>193</v>
      </c>
      <c r="AE3" s="112" t="s">
        <v>194</v>
      </c>
      <c r="AF3" s="112" t="s">
        <v>195</v>
      </c>
      <c r="AG3" s="112" t="s">
        <v>196</v>
      </c>
      <c r="AH3" s="112" t="s">
        <v>197</v>
      </c>
      <c r="AI3" s="112" t="s">
        <v>198</v>
      </c>
      <c r="AJ3" s="112" t="s">
        <v>199</v>
      </c>
      <c r="AK3" s="112" t="s">
        <v>200</v>
      </c>
      <c r="AL3" s="112" t="s">
        <v>201</v>
      </c>
      <c r="AM3" s="112" t="s">
        <v>202</v>
      </c>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row>
    <row r="4" spans="1:131">
      <c r="A4" s="79" t="s">
        <v>203</v>
      </c>
      <c r="B4" s="79"/>
      <c r="C4" s="113">
        <v>1636.755308990244</v>
      </c>
      <c r="D4" s="113">
        <v>351.83994045781247</v>
      </c>
      <c r="E4" s="113">
        <v>70.367988091562495</v>
      </c>
      <c r="F4" s="113">
        <v>422.20792854937497</v>
      </c>
      <c r="G4" s="113">
        <v>714.81162804993187</v>
      </c>
      <c r="H4" s="113">
        <v>982.6235471342211</v>
      </c>
      <c r="I4" s="113">
        <v>2259.6789109388924</v>
      </c>
      <c r="J4" s="113">
        <v>6.4755631858574594</v>
      </c>
      <c r="K4" s="113">
        <v>25.00409166164275</v>
      </c>
      <c r="L4" s="134">
        <v>1.3268955152014621</v>
      </c>
      <c r="M4" s="113">
        <v>15.54930322646999</v>
      </c>
      <c r="N4" s="113">
        <v>0.20557028264941321</v>
      </c>
      <c r="O4" s="113">
        <v>79.047797828141313</v>
      </c>
      <c r="P4" s="113">
        <v>74.273656237081724</v>
      </c>
      <c r="Q4" s="113">
        <v>84.243506697665254</v>
      </c>
      <c r="R4" s="113">
        <v>76.758368658713692</v>
      </c>
      <c r="S4" s="113">
        <v>78.728407464721769</v>
      </c>
      <c r="T4" s="113">
        <v>78.477496814042425</v>
      </c>
      <c r="U4" s="113">
        <v>75.141986189149875</v>
      </c>
      <c r="V4" s="113">
        <v>85.718012317059078</v>
      </c>
      <c r="W4" s="113">
        <v>73.830018099578325</v>
      </c>
      <c r="X4" s="113">
        <v>83.878390404667329</v>
      </c>
      <c r="Y4" s="113">
        <v>72.487485902113647</v>
      </c>
      <c r="Z4" s="113">
        <v>73.80491154463779</v>
      </c>
      <c r="AA4" s="113"/>
      <c r="AB4" s="113">
        <v>63.639322085156095</v>
      </c>
      <c r="AC4" s="113">
        <v>57.243859399316221</v>
      </c>
      <c r="AD4" s="113">
        <v>56.935371876082698</v>
      </c>
      <c r="AE4" s="113">
        <v>57.211650010197026</v>
      </c>
      <c r="AF4" s="113">
        <v>57.950721292351027</v>
      </c>
      <c r="AG4" s="113">
        <v>53.722173265733737</v>
      </c>
      <c r="AH4" s="113">
        <v>60.400754133062499</v>
      </c>
      <c r="AI4" s="113">
        <v>57.561775374453724</v>
      </c>
      <c r="AJ4" s="113">
        <v>60.200728001863176</v>
      </c>
      <c r="AK4" s="113">
        <v>56.474362160537623</v>
      </c>
      <c r="AL4" s="113">
        <v>59.395645704767851</v>
      </c>
      <c r="AM4" s="103">
        <v>59.62890752914997</v>
      </c>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row>
    <row r="5" spans="1:131">
      <c r="A5" s="79" t="s">
        <v>204</v>
      </c>
      <c r="B5" s="79"/>
      <c r="C5" s="113">
        <v>1636.755308990244</v>
      </c>
      <c r="D5" s="113">
        <v>478.33580553194651</v>
      </c>
      <c r="E5" s="113">
        <v>95.667161106389301</v>
      </c>
      <c r="F5" s="113">
        <v>574.00296663833581</v>
      </c>
      <c r="G5" s="113">
        <v>1009.3569503759622</v>
      </c>
      <c r="H5" s="113">
        <v>982.6235471342211</v>
      </c>
      <c r="I5" s="113">
        <v>3072.0938921859292</v>
      </c>
      <c r="J5" s="113">
        <v>11.367444439786551</v>
      </c>
      <c r="K5" s="113">
        <v>38.245631340063099</v>
      </c>
      <c r="L5" s="114">
        <v>0.97599810355622874</v>
      </c>
      <c r="M5" s="113">
        <v>15.54930322646999</v>
      </c>
      <c r="N5" s="113">
        <v>0.20557028264941321</v>
      </c>
      <c r="O5" s="113">
        <v>79.047797828141313</v>
      </c>
      <c r="P5" s="113">
        <v>74.273656237081724</v>
      </c>
      <c r="Q5" s="113">
        <v>84.243506697665254</v>
      </c>
      <c r="R5" s="113">
        <v>76.758368658713692</v>
      </c>
      <c r="S5" s="113">
        <v>78.728407464721769</v>
      </c>
      <c r="T5" s="113">
        <v>78.477496814042425</v>
      </c>
      <c r="U5" s="113">
        <v>75.141986189149875</v>
      </c>
      <c r="V5" s="113">
        <v>85.718012317059078</v>
      </c>
      <c r="W5" s="113">
        <v>73.830018099578325</v>
      </c>
      <c r="X5" s="113">
        <v>83.878390404667329</v>
      </c>
      <c r="Y5" s="113">
        <v>72.487485902113647</v>
      </c>
      <c r="Z5" s="113">
        <v>73.80491154463779</v>
      </c>
      <c r="AA5" s="113"/>
      <c r="AB5" s="113">
        <v>63.639322085156095</v>
      </c>
      <c r="AC5" s="113">
        <v>57.243859399316221</v>
      </c>
      <c r="AD5" s="113">
        <v>56.935371876082698</v>
      </c>
      <c r="AE5" s="113">
        <v>57.211650010197026</v>
      </c>
      <c r="AF5" s="113">
        <v>57.950721292351027</v>
      </c>
      <c r="AG5" s="113">
        <v>53.722173265733737</v>
      </c>
      <c r="AH5" s="113">
        <v>60.400754133062499</v>
      </c>
      <c r="AI5" s="113">
        <v>57.561775374453724</v>
      </c>
      <c r="AJ5" s="113">
        <v>60.200728001863176</v>
      </c>
      <c r="AK5" s="113">
        <v>56.474362160537623</v>
      </c>
      <c r="AL5" s="113">
        <v>59.395645704767851</v>
      </c>
      <c r="AM5" s="103">
        <v>59.62890752914997</v>
      </c>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row>
    <row r="6" spans="1:131">
      <c r="A6" s="79" t="s">
        <v>205</v>
      </c>
      <c r="B6" s="79"/>
      <c r="C6" s="113">
        <v>1424.1102943402925</v>
      </c>
      <c r="D6" s="113">
        <v>441.53646962377445</v>
      </c>
      <c r="E6" s="113">
        <v>88.307293924754902</v>
      </c>
      <c r="F6" s="113">
        <v>529.8437635485293</v>
      </c>
      <c r="G6" s="113">
        <v>923.22277558437327</v>
      </c>
      <c r="H6" s="113">
        <v>854.96243772584535</v>
      </c>
      <c r="I6" s="113">
        <v>3259.179704782081</v>
      </c>
      <c r="J6" s="113">
        <v>12.493964261110364</v>
      </c>
      <c r="K6" s="113">
        <v>40.570722502572551</v>
      </c>
      <c r="L6" s="114">
        <v>0.93360642532402893</v>
      </c>
      <c r="M6" s="113">
        <v>13.529158984855092</v>
      </c>
      <c r="N6" s="113">
        <v>0.17886287224697064</v>
      </c>
      <c r="O6" s="113">
        <v>68.778015879133022</v>
      </c>
      <c r="P6" s="113">
        <v>64.624124244188181</v>
      </c>
      <c r="Q6" s="113">
        <v>73.298705347401182</v>
      </c>
      <c r="R6" s="113">
        <v>66.786026221035456</v>
      </c>
      <c r="S6" s="113">
        <v>68.500120275580954</v>
      </c>
      <c r="T6" s="113">
        <v>68.28180759400334</v>
      </c>
      <c r="U6" s="113">
        <v>65.379641954643731</v>
      </c>
      <c r="V6" s="113">
        <v>74.58164521025509</v>
      </c>
      <c r="W6" s="113">
        <v>64.238122967692973</v>
      </c>
      <c r="X6" s="113">
        <v>72.981024464599898</v>
      </c>
      <c r="Y6" s="113">
        <v>63.070010720009329</v>
      </c>
      <c r="Z6" s="113">
        <v>64.21627822208572</v>
      </c>
      <c r="AA6" s="113"/>
      <c r="AB6" s="113">
        <v>55.37138826341728</v>
      </c>
      <c r="AC6" s="113">
        <v>49.80681535630837</v>
      </c>
      <c r="AD6" s="113">
        <v>49.538406110833904</v>
      </c>
      <c r="AE6" s="113">
        <v>49.778790567039565</v>
      </c>
      <c r="AF6" s="113">
        <v>50.421842717465225</v>
      </c>
      <c r="AG6" s="113">
        <v>46.742661876113267</v>
      </c>
      <c r="AH6" s="113">
        <v>52.55357063718801</v>
      </c>
      <c r="AI6" s="113">
        <v>50.083428122090609</v>
      </c>
      <c r="AJ6" s="113">
        <v>52.379531627805626</v>
      </c>
      <c r="AK6" s="113">
        <v>49.137290147994193</v>
      </c>
      <c r="AL6" s="113">
        <v>51.679044523357554</v>
      </c>
      <c r="AM6" s="103">
        <v>51.882001290049892</v>
      </c>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row>
    <row r="7" spans="1:131">
      <c r="A7" s="79" t="s">
        <v>207</v>
      </c>
      <c r="B7" s="79"/>
      <c r="C7" s="113">
        <v>1265.2275583672172</v>
      </c>
      <c r="D7" s="113">
        <v>538.1464278686118</v>
      </c>
      <c r="E7" s="113">
        <v>107.62928557372237</v>
      </c>
      <c r="F7" s="113">
        <v>645.77571344233411</v>
      </c>
      <c r="G7" s="113">
        <v>1108.0887023844275</v>
      </c>
      <c r="H7" s="113">
        <v>759.57743011797675</v>
      </c>
      <c r="I7" s="113">
        <v>4471.128701192084</v>
      </c>
      <c r="J7" s="113">
        <v>19.791602430160189</v>
      </c>
      <c r="K7" s="113">
        <v>57.312153684675614</v>
      </c>
      <c r="L7" s="114">
        <v>0.72187465503452308</v>
      </c>
      <c r="M7" s="113">
        <v>12.019760588206129</v>
      </c>
      <c r="N7" s="113">
        <v>0.15890780091609044</v>
      </c>
      <c r="O7" s="113">
        <v>61.104706177556558</v>
      </c>
      <c r="P7" s="113">
        <v>57.414248920214789</v>
      </c>
      <c r="Q7" s="113">
        <v>65.12103898605082</v>
      </c>
      <c r="R7" s="113">
        <v>59.334955462725141</v>
      </c>
      <c r="S7" s="113">
        <v>60.857814362111867</v>
      </c>
      <c r="T7" s="113">
        <v>60.663858021671949</v>
      </c>
      <c r="U7" s="113">
        <v>58.085476304710092</v>
      </c>
      <c r="V7" s="113">
        <v>66.260845977589028</v>
      </c>
      <c r="W7" s="113">
        <v>57.071312383257236</v>
      </c>
      <c r="X7" s="113">
        <v>64.838800588305915</v>
      </c>
      <c r="Y7" s="113">
        <v>56.033522113143178</v>
      </c>
      <c r="Z7" s="113">
        <v>57.051904775393105</v>
      </c>
      <c r="AA7" s="113"/>
      <c r="AB7" s="113">
        <v>49.193806585310973</v>
      </c>
      <c r="AC7" s="113">
        <v>44.250052565276171</v>
      </c>
      <c r="AD7" s="113">
        <v>44.011588749907034</v>
      </c>
      <c r="AE7" s="113">
        <v>44.225154398440885</v>
      </c>
      <c r="AF7" s="113">
        <v>44.796463590867411</v>
      </c>
      <c r="AG7" s="113">
        <v>41.527755393759982</v>
      </c>
      <c r="AH7" s="113">
        <v>46.690362484578799</v>
      </c>
      <c r="AI7" s="113">
        <v>44.495804664432221</v>
      </c>
      <c r="AJ7" s="113">
        <v>46.535740365929257</v>
      </c>
      <c r="AK7" s="113">
        <v>43.655223816444561</v>
      </c>
      <c r="AL7" s="113">
        <v>45.913404025583432</v>
      </c>
      <c r="AM7" s="103">
        <v>46.093717653956723</v>
      </c>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row>
    <row r="8" spans="1:131">
      <c r="A8" s="79" t="s">
        <v>206</v>
      </c>
      <c r="B8" s="79"/>
      <c r="C8" s="113">
        <v>1424.1102943402925</v>
      </c>
      <c r="D8" s="113">
        <v>573.78861149399609</v>
      </c>
      <c r="E8" s="113">
        <v>114.75772229879922</v>
      </c>
      <c r="F8" s="113">
        <v>688.54633379279528</v>
      </c>
      <c r="G8" s="113">
        <v>1231.1715748011923</v>
      </c>
      <c r="H8" s="113">
        <v>854.96243772584535</v>
      </c>
      <c r="I8" s="113">
        <v>4235.3923765567661</v>
      </c>
      <c r="J8" s="113">
        <v>18.372138075153419</v>
      </c>
      <c r="K8" s="113">
        <v>56.481998299135633</v>
      </c>
      <c r="L8" s="114">
        <v>0.71842012336621119</v>
      </c>
      <c r="M8" s="113">
        <v>13.529158984855092</v>
      </c>
      <c r="N8" s="113">
        <v>0.17886287224697064</v>
      </c>
      <c r="O8" s="113">
        <v>68.778015879133022</v>
      </c>
      <c r="P8" s="113">
        <v>64.624124244188181</v>
      </c>
      <c r="Q8" s="113">
        <v>73.298705347401182</v>
      </c>
      <c r="R8" s="113">
        <v>66.786026221035456</v>
      </c>
      <c r="S8" s="113">
        <v>68.500120275580954</v>
      </c>
      <c r="T8" s="113">
        <v>68.28180759400334</v>
      </c>
      <c r="U8" s="113">
        <v>65.379641954643731</v>
      </c>
      <c r="V8" s="113">
        <v>74.58164521025509</v>
      </c>
      <c r="W8" s="113">
        <v>64.238122967692973</v>
      </c>
      <c r="X8" s="113">
        <v>72.981024464599898</v>
      </c>
      <c r="Y8" s="113">
        <v>63.070010720009329</v>
      </c>
      <c r="Z8" s="113">
        <v>64.21627822208572</v>
      </c>
      <c r="AA8" s="113"/>
      <c r="AB8" s="113">
        <v>55.37138826341728</v>
      </c>
      <c r="AC8" s="113">
        <v>49.80681535630837</v>
      </c>
      <c r="AD8" s="113">
        <v>49.538406110833904</v>
      </c>
      <c r="AE8" s="113">
        <v>49.778790567039565</v>
      </c>
      <c r="AF8" s="113">
        <v>50.421842717465225</v>
      </c>
      <c r="AG8" s="113">
        <v>46.742661876113267</v>
      </c>
      <c r="AH8" s="113">
        <v>52.55357063718801</v>
      </c>
      <c r="AI8" s="113">
        <v>50.083428122090609</v>
      </c>
      <c r="AJ8" s="113">
        <v>52.379531627805626</v>
      </c>
      <c r="AK8" s="113">
        <v>49.137290147994193</v>
      </c>
      <c r="AL8" s="113">
        <v>51.679044523357554</v>
      </c>
      <c r="AM8" s="103">
        <v>51.882001290049892</v>
      </c>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row>
    <row r="9" spans="1:131">
      <c r="A9" s="79" t="s">
        <v>208</v>
      </c>
      <c r="B9" s="79"/>
      <c r="C9" s="113">
        <v>1265.2275583672172</v>
      </c>
      <c r="D9" s="113">
        <v>669.2414174560455</v>
      </c>
      <c r="E9" s="113">
        <v>133.84828349120912</v>
      </c>
      <c r="F9" s="113">
        <v>803.08970094725464</v>
      </c>
      <c r="G9" s="113">
        <v>1413.3430752505167</v>
      </c>
      <c r="H9" s="113">
        <v>759.57743011797675</v>
      </c>
      <c r="I9" s="113">
        <v>5560.3165879320077</v>
      </c>
      <c r="J9" s="113">
        <v>26.350045994274506</v>
      </c>
      <c r="K9" s="113">
        <v>75.06481082719074</v>
      </c>
      <c r="L9" s="114">
        <v>0.58046955380078424</v>
      </c>
      <c r="M9" s="113">
        <v>12.019760588206129</v>
      </c>
      <c r="N9" s="113">
        <v>0.15890780091609044</v>
      </c>
      <c r="O9" s="113">
        <v>61.104706177556558</v>
      </c>
      <c r="P9" s="113">
        <v>57.414248920214789</v>
      </c>
      <c r="Q9" s="113">
        <v>65.12103898605082</v>
      </c>
      <c r="R9" s="113">
        <v>59.334955462725141</v>
      </c>
      <c r="S9" s="113">
        <v>60.857814362111867</v>
      </c>
      <c r="T9" s="113">
        <v>60.663858021671949</v>
      </c>
      <c r="U9" s="113">
        <v>58.085476304710092</v>
      </c>
      <c r="V9" s="113">
        <v>66.260845977589028</v>
      </c>
      <c r="W9" s="113">
        <v>57.071312383257236</v>
      </c>
      <c r="X9" s="113">
        <v>64.838800588305915</v>
      </c>
      <c r="Y9" s="113">
        <v>56.033522113143178</v>
      </c>
      <c r="Z9" s="113">
        <v>57.051904775393105</v>
      </c>
      <c r="AA9" s="113"/>
      <c r="AB9" s="113">
        <v>49.193806585310973</v>
      </c>
      <c r="AC9" s="113">
        <v>44.250052565276171</v>
      </c>
      <c r="AD9" s="113">
        <v>44.011588749907034</v>
      </c>
      <c r="AE9" s="113">
        <v>44.225154398440885</v>
      </c>
      <c r="AF9" s="113">
        <v>44.796463590867411</v>
      </c>
      <c r="AG9" s="113">
        <v>41.527755393759982</v>
      </c>
      <c r="AH9" s="113">
        <v>46.690362484578799</v>
      </c>
      <c r="AI9" s="113">
        <v>44.495804664432221</v>
      </c>
      <c r="AJ9" s="113">
        <v>46.535740365929257</v>
      </c>
      <c r="AK9" s="113">
        <v>43.655223816444561</v>
      </c>
      <c r="AL9" s="113">
        <v>45.913404025583432</v>
      </c>
      <c r="AM9" s="103">
        <v>46.093717653956723</v>
      </c>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row>
    <row r="10" spans="1:131">
      <c r="A10" s="79"/>
      <c r="B10" s="79"/>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rgb="FFFFC000"/>
  </sheetPr>
  <dimension ref="A1:EA100"/>
  <sheetViews>
    <sheetView workbookViewId="0">
      <selection activeCell="A16" sqref="A16:EA100"/>
    </sheetView>
  </sheetViews>
  <sheetFormatPr defaultRowHeight="15"/>
  <cols>
    <col min="1" max="1" width="60.7109375" customWidth="1"/>
    <col min="2" max="2" width="60.140625" customWidth="1"/>
    <col min="3" max="3" width="17.42578125" bestFit="1" customWidth="1"/>
    <col min="4" max="4" width="10.7109375" customWidth="1"/>
    <col min="5" max="5" width="12.5703125" customWidth="1"/>
    <col min="6" max="6" width="13.7109375" customWidth="1"/>
    <col min="7" max="7" width="31.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70" t="s">
        <v>150</v>
      </c>
      <c r="B1" s="71"/>
      <c r="C1" s="71"/>
      <c r="D1" s="71"/>
      <c r="E1" s="71"/>
      <c r="F1" s="71"/>
      <c r="G1" s="71"/>
      <c r="H1" s="72"/>
      <c r="I1" s="73"/>
      <c r="J1" s="73"/>
      <c r="K1" s="73"/>
      <c r="L1" s="73"/>
      <c r="M1" s="73"/>
      <c r="N1" s="74"/>
      <c r="O1" s="75"/>
      <c r="P1" s="74"/>
      <c r="Q1" s="74"/>
      <c r="R1" s="74"/>
      <c r="S1" s="72"/>
      <c r="T1" s="72"/>
      <c r="U1" s="72"/>
      <c r="V1" s="74"/>
      <c r="W1" s="72"/>
      <c r="X1" s="72"/>
      <c r="Y1" s="72"/>
      <c r="Z1" s="72"/>
      <c r="AA1" s="72"/>
      <c r="AB1" s="72"/>
      <c r="AC1" s="72"/>
      <c r="AD1" s="72"/>
      <c r="AE1" s="72"/>
      <c r="AF1" s="72"/>
      <c r="AG1" s="72"/>
      <c r="AH1" s="72"/>
      <c r="AI1" s="72"/>
      <c r="AJ1" s="72"/>
      <c r="AK1" s="72"/>
      <c r="AL1" s="72"/>
      <c r="AM1" s="72"/>
      <c r="AN1" s="72"/>
      <c r="AO1" s="72"/>
      <c r="AP1" s="76"/>
      <c r="AQ1" s="72"/>
      <c r="AR1" s="72"/>
      <c r="AS1" s="72"/>
      <c r="AT1" s="72"/>
      <c r="AU1" s="72"/>
      <c r="AV1" s="76"/>
      <c r="AW1" s="72"/>
      <c r="AX1" s="72"/>
      <c r="AY1" s="72"/>
      <c r="AZ1" s="72"/>
      <c r="BA1" s="72"/>
      <c r="BB1" s="72"/>
      <c r="BC1" s="72"/>
      <c r="BD1" s="72"/>
      <c r="BE1" s="72"/>
      <c r="BF1" s="72"/>
      <c r="BG1" s="72"/>
      <c r="BH1" s="72"/>
      <c r="BI1" s="72"/>
      <c r="BJ1" s="72"/>
      <c r="BK1" s="72"/>
      <c r="BL1" s="72"/>
      <c r="BM1" s="77"/>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6"/>
      <c r="CQ1" s="72"/>
      <c r="CR1" s="72"/>
      <c r="CS1" s="72"/>
      <c r="CT1" s="72"/>
      <c r="CU1" s="72"/>
      <c r="CV1" s="72"/>
      <c r="CW1" s="72"/>
      <c r="CX1" s="72"/>
      <c r="CY1" s="72"/>
      <c r="CZ1" s="72"/>
      <c r="DA1" s="72"/>
    </row>
    <row r="2" spans="1:131">
      <c r="A2" s="78" t="s">
        <v>151</v>
      </c>
      <c r="B2" s="72"/>
      <c r="C2" s="72"/>
      <c r="D2" s="72"/>
      <c r="E2" s="72"/>
      <c r="F2" s="72"/>
      <c r="G2" s="72"/>
      <c r="H2" s="72"/>
      <c r="I2" s="73"/>
      <c r="J2" s="73"/>
      <c r="K2" s="73"/>
      <c r="L2" s="73"/>
      <c r="M2" s="73"/>
      <c r="N2" s="74"/>
      <c r="O2" s="74"/>
      <c r="P2" s="74"/>
      <c r="Q2" s="74"/>
      <c r="R2" s="74"/>
      <c r="S2" s="72"/>
      <c r="T2" s="72"/>
      <c r="U2" s="72"/>
      <c r="V2" s="74"/>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6"/>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row>
    <row r="3" spans="1:131">
      <c r="A3" s="78" t="s">
        <v>152</v>
      </c>
      <c r="B3" s="79"/>
      <c r="C3" s="78">
        <v>2012</v>
      </c>
      <c r="D3" s="79"/>
      <c r="E3" s="79"/>
      <c r="F3" s="79"/>
      <c r="G3" s="79"/>
      <c r="H3" s="79"/>
      <c r="I3" s="79"/>
      <c r="J3" s="80"/>
      <c r="K3" s="81"/>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81"/>
      <c r="CP3" s="81"/>
      <c r="CQ3" s="79"/>
      <c r="CR3" s="79"/>
      <c r="CS3" s="79"/>
      <c r="CT3" s="79"/>
      <c r="CU3" s="79"/>
      <c r="CV3" s="79"/>
      <c r="CW3" s="79"/>
      <c r="CX3" s="79"/>
      <c r="CY3" s="79"/>
      <c r="CZ3" s="79"/>
      <c r="DA3" s="79"/>
    </row>
    <row r="4" spans="1:131">
      <c r="A4" s="79"/>
      <c r="B4" s="82"/>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row>
    <row r="5" spans="1:131">
      <c r="A5" s="83">
        <v>1</v>
      </c>
      <c r="B5" s="83">
        <v>2</v>
      </c>
      <c r="C5" s="83">
        <v>3</v>
      </c>
      <c r="D5" s="83">
        <v>4</v>
      </c>
      <c r="E5" s="83">
        <v>5</v>
      </c>
      <c r="F5" s="83">
        <v>6</v>
      </c>
      <c r="G5" s="83">
        <v>7</v>
      </c>
      <c r="H5" s="83">
        <v>8</v>
      </c>
      <c r="I5" s="83">
        <v>9</v>
      </c>
      <c r="J5" s="83">
        <v>10</v>
      </c>
      <c r="K5" s="83">
        <v>11</v>
      </c>
      <c r="L5" s="83">
        <v>12</v>
      </c>
      <c r="M5" s="83">
        <v>13</v>
      </c>
      <c r="N5" s="83">
        <v>14</v>
      </c>
      <c r="O5" s="83">
        <v>15</v>
      </c>
      <c r="P5" s="83">
        <v>16</v>
      </c>
      <c r="Q5" s="83">
        <v>17</v>
      </c>
      <c r="R5" s="83">
        <v>18</v>
      </c>
      <c r="S5" s="83">
        <v>19</v>
      </c>
      <c r="T5" s="83">
        <v>20</v>
      </c>
      <c r="U5" s="83">
        <v>21</v>
      </c>
      <c r="V5" s="83">
        <v>22</v>
      </c>
      <c r="W5" s="83">
        <v>23</v>
      </c>
      <c r="X5" s="83">
        <v>24</v>
      </c>
      <c r="Y5" s="83">
        <v>25</v>
      </c>
      <c r="Z5" s="83">
        <v>26</v>
      </c>
      <c r="AA5" s="83">
        <v>27</v>
      </c>
      <c r="AB5" s="83">
        <v>28</v>
      </c>
      <c r="AC5" s="83">
        <v>29</v>
      </c>
      <c r="AD5" s="83">
        <v>30</v>
      </c>
      <c r="AE5" s="83">
        <v>31</v>
      </c>
      <c r="AF5" s="83">
        <v>32</v>
      </c>
      <c r="AG5" s="83">
        <v>33</v>
      </c>
      <c r="AH5" s="83">
        <v>34</v>
      </c>
      <c r="AI5" s="83">
        <v>35</v>
      </c>
      <c r="AJ5" s="83">
        <v>36</v>
      </c>
      <c r="AK5" s="83">
        <v>37</v>
      </c>
      <c r="AL5" s="83">
        <v>38</v>
      </c>
      <c r="AM5" s="83">
        <v>39</v>
      </c>
      <c r="AN5" s="83">
        <v>40</v>
      </c>
      <c r="AO5" s="83">
        <v>41</v>
      </c>
      <c r="AP5" s="83">
        <v>42</v>
      </c>
      <c r="AQ5" s="83">
        <v>43</v>
      </c>
      <c r="AR5" s="83">
        <v>44</v>
      </c>
      <c r="AS5" s="83">
        <v>45</v>
      </c>
      <c r="AT5" s="83">
        <v>46</v>
      </c>
      <c r="AU5" s="83">
        <v>47</v>
      </c>
      <c r="AV5" s="83">
        <v>48</v>
      </c>
      <c r="AW5" s="83">
        <v>49</v>
      </c>
      <c r="AX5" s="83">
        <v>50</v>
      </c>
      <c r="AY5" s="83">
        <v>51</v>
      </c>
      <c r="AZ5" s="83">
        <v>52</v>
      </c>
      <c r="BA5" s="83">
        <v>53</v>
      </c>
      <c r="BB5" s="83">
        <v>54</v>
      </c>
      <c r="BC5" s="83">
        <v>55</v>
      </c>
      <c r="BD5" s="83">
        <v>56</v>
      </c>
      <c r="BE5" s="83">
        <v>57</v>
      </c>
      <c r="BF5" s="83">
        <v>58</v>
      </c>
      <c r="BG5" s="83">
        <v>59</v>
      </c>
      <c r="BH5" s="83">
        <v>60</v>
      </c>
      <c r="BI5" s="83">
        <v>61</v>
      </c>
      <c r="BJ5" s="83">
        <v>62</v>
      </c>
      <c r="BK5" s="83">
        <v>63</v>
      </c>
      <c r="BL5" s="83">
        <v>64</v>
      </c>
      <c r="BM5" s="83">
        <v>65</v>
      </c>
      <c r="BN5" s="83">
        <v>66</v>
      </c>
      <c r="BO5" s="83">
        <v>67</v>
      </c>
      <c r="BP5" s="83">
        <v>68</v>
      </c>
      <c r="BQ5" s="83">
        <v>69</v>
      </c>
      <c r="BR5" s="83">
        <v>70</v>
      </c>
      <c r="BS5" s="83">
        <v>71</v>
      </c>
      <c r="BT5" s="83">
        <v>72</v>
      </c>
      <c r="BU5" s="83">
        <v>73</v>
      </c>
      <c r="BV5" s="83">
        <v>74</v>
      </c>
      <c r="BW5" s="83">
        <v>75</v>
      </c>
      <c r="BX5" s="83">
        <v>76</v>
      </c>
      <c r="BY5" s="83">
        <v>77</v>
      </c>
      <c r="BZ5" s="83">
        <v>78</v>
      </c>
      <c r="CA5" s="83">
        <v>79</v>
      </c>
      <c r="CB5" s="83">
        <v>80</v>
      </c>
      <c r="CC5" s="83">
        <v>81</v>
      </c>
      <c r="CD5" s="83">
        <v>82</v>
      </c>
      <c r="CE5" s="83">
        <v>83</v>
      </c>
      <c r="CF5" s="83">
        <v>84</v>
      </c>
      <c r="CG5" s="83">
        <v>85</v>
      </c>
      <c r="CH5" s="83">
        <v>86</v>
      </c>
      <c r="CI5" s="83">
        <v>87</v>
      </c>
      <c r="CJ5" s="83">
        <v>88</v>
      </c>
      <c r="CK5" s="83">
        <v>89</v>
      </c>
      <c r="CL5" s="83">
        <v>90</v>
      </c>
      <c r="CM5" s="83">
        <v>91</v>
      </c>
      <c r="CN5" s="83">
        <v>92</v>
      </c>
      <c r="CO5" s="83">
        <v>93</v>
      </c>
      <c r="CP5" s="83">
        <v>94</v>
      </c>
      <c r="CQ5" s="83">
        <v>95</v>
      </c>
      <c r="CR5" s="83">
        <v>96</v>
      </c>
      <c r="CS5" s="83">
        <v>97</v>
      </c>
      <c r="CT5" s="83">
        <v>98</v>
      </c>
      <c r="CU5" s="83">
        <v>99</v>
      </c>
      <c r="CV5" s="83">
        <v>100</v>
      </c>
      <c r="CW5" s="83">
        <v>101</v>
      </c>
      <c r="CX5" s="83">
        <v>102</v>
      </c>
      <c r="CY5" s="83">
        <v>103</v>
      </c>
      <c r="CZ5" s="83">
        <v>104</v>
      </c>
      <c r="DA5" s="83">
        <v>105</v>
      </c>
    </row>
    <row r="6" spans="1:131">
      <c r="A6" s="84" t="s">
        <v>153</v>
      </c>
      <c r="B6" s="85"/>
      <c r="C6" s="85"/>
      <c r="D6" s="85"/>
      <c r="E6" s="85"/>
      <c r="F6" s="85"/>
      <c r="G6" s="86"/>
      <c r="H6" s="87"/>
      <c r="I6" s="347" t="s">
        <v>154</v>
      </c>
      <c r="J6" s="348"/>
      <c r="K6" s="348"/>
      <c r="L6" s="348"/>
      <c r="M6" s="348"/>
      <c r="N6" s="349"/>
      <c r="O6" s="350" t="s">
        <v>155</v>
      </c>
      <c r="P6" s="351"/>
      <c r="Q6" s="88" t="s">
        <v>156</v>
      </c>
      <c r="R6" s="352" t="s">
        <v>157</v>
      </c>
      <c r="S6" s="352"/>
      <c r="T6" s="352"/>
      <c r="U6" s="89"/>
      <c r="V6" s="89"/>
      <c r="W6" s="89"/>
      <c r="X6" s="90"/>
      <c r="Y6" s="91"/>
      <c r="Z6" s="89"/>
      <c r="AA6" s="89"/>
      <c r="AB6" s="89"/>
      <c r="AC6" s="89"/>
      <c r="AD6" s="89"/>
      <c r="AE6" s="92"/>
      <c r="AF6" s="92"/>
      <c r="AG6" s="92"/>
      <c r="AH6" s="92"/>
      <c r="AI6" s="92"/>
      <c r="AJ6" s="92"/>
      <c r="AK6" s="92"/>
      <c r="AL6" s="92"/>
      <c r="AM6" s="92"/>
      <c r="AN6" s="92"/>
      <c r="AO6" s="9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row>
    <row r="7" spans="1:131" ht="26.25">
      <c r="A7" s="93" t="s">
        <v>64</v>
      </c>
      <c r="B7" s="93" t="s">
        <v>73</v>
      </c>
      <c r="C7" s="93" t="s">
        <v>158</v>
      </c>
      <c r="D7" s="93" t="s">
        <v>159</v>
      </c>
      <c r="E7" s="93" t="s">
        <v>160</v>
      </c>
      <c r="F7" s="94" t="s">
        <v>161</v>
      </c>
      <c r="G7" s="93" t="s">
        <v>162</v>
      </c>
      <c r="H7" s="95" t="s">
        <v>163</v>
      </c>
      <c r="I7" s="95" t="s">
        <v>164</v>
      </c>
      <c r="J7" s="95" t="s">
        <v>165</v>
      </c>
      <c r="K7" s="95" t="s">
        <v>166</v>
      </c>
      <c r="L7" s="95" t="s">
        <v>167</v>
      </c>
      <c r="M7" s="95" t="s">
        <v>168</v>
      </c>
      <c r="N7" s="95" t="s">
        <v>169</v>
      </c>
      <c r="O7" s="96" t="s">
        <v>170</v>
      </c>
      <c r="P7" s="95" t="s">
        <v>162</v>
      </c>
      <c r="Q7" s="97" t="s">
        <v>171</v>
      </c>
      <c r="R7" s="98" t="s">
        <v>172</v>
      </c>
      <c r="S7" s="98" t="s">
        <v>173</v>
      </c>
      <c r="T7" s="98" t="s">
        <v>174</v>
      </c>
      <c r="U7" s="99"/>
      <c r="V7" s="99"/>
      <c r="W7" s="99"/>
      <c r="X7" s="99"/>
      <c r="Y7" s="99"/>
      <c r="Z7" s="99"/>
      <c r="AA7" s="99"/>
      <c r="AB7" s="99"/>
      <c r="AC7" s="99"/>
      <c r="AD7" s="99"/>
      <c r="AE7" s="92"/>
      <c r="AF7" s="92"/>
      <c r="AG7" s="92"/>
      <c r="AH7" s="92"/>
      <c r="AI7" s="92"/>
      <c r="AJ7" s="92"/>
      <c r="AK7" s="92"/>
      <c r="AL7" s="92"/>
      <c r="AM7" s="92"/>
      <c r="AN7" s="92"/>
      <c r="AO7" s="9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row>
    <row r="8" spans="1:131">
      <c r="A8" t="str">
        <f>'Measure Development'!B9</f>
        <v>NR_PARKING_GARAGE_FIX_REPL_from HPS to BI-LEVEL_LED_FIX</v>
      </c>
      <c r="B8" t="str">
        <f>'Measure Development'!C9</f>
        <v>NR_PARKING_GARAGE_FIX_REPL_from HPS to BI-LEVEL_LED_FIX</v>
      </c>
      <c r="C8" s="3">
        <f>'Measure Development'!BB9</f>
        <v>1178.7466859186579</v>
      </c>
      <c r="D8" s="100">
        <f>'Measure Development'!AN9</f>
        <v>8.5616438356164384</v>
      </c>
      <c r="E8" s="7">
        <f>'Measure Development'!BC9</f>
        <v>538.1464278686118</v>
      </c>
      <c r="G8" t="str">
        <f>'Measure Development'!AY9</f>
        <v>Total Industrial-Total Industrial</v>
      </c>
      <c r="I8" s="6">
        <f>(-1)*'Measure Development'!BD9</f>
        <v>-34.464019396022984</v>
      </c>
      <c r="J8" s="100">
        <f>'Measure Development'!BE9</f>
        <v>2.0547945205479454</v>
      </c>
      <c r="Q8" t="str">
        <f>'Measure Development'!BF9</f>
        <v>L</v>
      </c>
    </row>
    <row r="9" spans="1:131">
      <c r="A9" t="str">
        <f>'Measure Development'!B10</f>
        <v>NR_PARKING_GARAGE_FIX_REPL_from MH to BI-LEVEL_LED_FIX</v>
      </c>
      <c r="B9" t="str">
        <f>'Measure Development'!C10</f>
        <v>NR_PARKING_GARAGE_FIX_REPL_from MH to BI-LEVEL_LED_FIX</v>
      </c>
      <c r="C9" s="3">
        <f>'Measure Development'!BB10</f>
        <v>1524.8797604612853</v>
      </c>
      <c r="D9" s="100">
        <f>'Measure Development'!AN10</f>
        <v>8.5616438356164384</v>
      </c>
      <c r="E9" s="7">
        <f>'Measure Development'!BC10</f>
        <v>351.83994045781247</v>
      </c>
      <c r="G9" t="str">
        <f>'Measure Development'!AY10</f>
        <v>Total Industrial-Total Industrial</v>
      </c>
      <c r="I9" s="6">
        <f>(-1)*'Measure Development'!BD10</f>
        <v>-37.991662372550387</v>
      </c>
      <c r="J9" s="100">
        <f>'Measure Development'!BE10</f>
        <v>3.1963470319634704</v>
      </c>
      <c r="Q9" t="str">
        <f>'Measure Development'!BF10</f>
        <v>L</v>
      </c>
    </row>
    <row r="10" spans="1:131">
      <c r="A10" t="str">
        <f>'Measure Development'!B11</f>
        <v>NR_PARKING_GARAGE_FIX_REPL_from HID to BI-LEVEL_LED_FIX</v>
      </c>
      <c r="B10" t="str">
        <f>'Measure Development'!C11</f>
        <v>NR_PARKING_GARAGE_FIX_REPL_from HID to BI-LEVEL_LED_FIX</v>
      </c>
      <c r="C10" s="3">
        <f>'Measure Development'!BB11</f>
        <v>1326.769464302999</v>
      </c>
      <c r="D10" s="100">
        <f>'Measure Development'!AN11</f>
        <v>8.5616438356164384</v>
      </c>
      <c r="E10" s="7">
        <f>'Measure Development'!BC11</f>
        <v>441.53646962377445</v>
      </c>
      <c r="G10" t="str">
        <f>'Measure Development'!AY11</f>
        <v>Total Industrial-Total Industrial</v>
      </c>
      <c r="I10" s="6">
        <f>(-1)*'Measure Development'!BD11</f>
        <v>-37.449285041481936</v>
      </c>
      <c r="J10" s="100">
        <f>'Measure Development'!BE11</f>
        <v>2.6255707762557079</v>
      </c>
      <c r="Q10" t="str">
        <f>'Measure Development'!BF11</f>
        <v>L</v>
      </c>
    </row>
    <row r="11" spans="1:131">
      <c r="A11" t="str">
        <f>'Measure Development'!B12</f>
        <v>Retro_PARKING_GARAGE_FIX_REPL_from HPS to BI-LEVEL_LED_FIX</v>
      </c>
      <c r="B11" t="str">
        <f>'Measure Development'!C12</f>
        <v>Retro_PARKING_GARAGE_FIX_REPL_from HPS to BI-LEVEL_LED_FIX</v>
      </c>
      <c r="C11" s="3">
        <f>'Measure Development'!BB12</f>
        <v>1178.7466859186579</v>
      </c>
      <c r="D11" s="100">
        <f>'Measure Development'!AN12</f>
        <v>8.5616438356164384</v>
      </c>
      <c r="E11" s="7">
        <f>'Measure Development'!BC12</f>
        <v>669.2414174560455</v>
      </c>
      <c r="G11" t="str">
        <f>'Measure Development'!AY12</f>
        <v>Total Industrial-Total Industrial</v>
      </c>
      <c r="I11" s="6">
        <f>(-1)*'Measure Development'!BD12</f>
        <v>-34.464019396022984</v>
      </c>
      <c r="J11" s="100">
        <f>'Measure Development'!BE12</f>
        <v>2.0547945205479454</v>
      </c>
      <c r="Q11" t="str">
        <f>'Measure Development'!BF12</f>
        <v>R</v>
      </c>
    </row>
    <row r="12" spans="1:131">
      <c r="A12" t="str">
        <f>'Measure Development'!B13</f>
        <v>Retro_PARKING_GARAGE_FIX_REPL_from MH to BI-LEVEL_LED_FIX</v>
      </c>
      <c r="B12" t="str">
        <f>'Measure Development'!C13</f>
        <v>Retro_PARKING_GARAGE_FIX_REPL_from MH to BI-LEVEL_LED_FIX</v>
      </c>
      <c r="C12" s="3">
        <f>'Measure Development'!BB13</f>
        <v>1524.8797604612853</v>
      </c>
      <c r="D12" s="100">
        <f>'Measure Development'!AN13</f>
        <v>8.5616438356164384</v>
      </c>
      <c r="E12" s="7">
        <f>'Measure Development'!BC13</f>
        <v>478.33580553194651</v>
      </c>
      <c r="G12" t="str">
        <f>'Measure Development'!AY13</f>
        <v>Total Industrial-Total Industrial</v>
      </c>
      <c r="I12" s="6">
        <f>(-1)*'Measure Development'!BD13</f>
        <v>-37.991662372550387</v>
      </c>
      <c r="J12" s="100">
        <f>'Measure Development'!BE13</f>
        <v>3.1963470319634704</v>
      </c>
      <c r="Q12" t="str">
        <f>'Measure Development'!BF13</f>
        <v>R</v>
      </c>
    </row>
    <row r="13" spans="1:131">
      <c r="A13" t="str">
        <f>'Measure Development'!B14</f>
        <v>Retro_PARKING_GARAGE_FIX_REPL_from HID to BI-LEVEL_LED_FIX</v>
      </c>
      <c r="B13" t="str">
        <f>'Measure Development'!C14</f>
        <v>Retro_PARKING_GARAGE_FIX_REPL_from HID to BI-LEVEL_LED_FIX</v>
      </c>
      <c r="C13" s="3">
        <f>'Measure Development'!BB14</f>
        <v>1326.769464302999</v>
      </c>
      <c r="D13" s="100">
        <f>'Measure Development'!AN14</f>
        <v>8.5616438356164384</v>
      </c>
      <c r="E13" s="7">
        <f>'Measure Development'!BC14</f>
        <v>573.78861149399609</v>
      </c>
      <c r="G13" t="str">
        <f>'Measure Development'!AY14</f>
        <v>Total Industrial-Total Industrial</v>
      </c>
      <c r="I13" s="6">
        <f>(-1)*'Measure Development'!BD14</f>
        <v>-37.449285041481936</v>
      </c>
      <c r="J13" s="100">
        <f>'Measure Development'!BE14</f>
        <v>2.6255707762557079</v>
      </c>
      <c r="Q13" t="str">
        <f>'Measure Development'!BF14</f>
        <v>R</v>
      </c>
    </row>
    <row r="16" spans="1:13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row>
    <row r="17" spans="1:131">
      <c r="A17" s="115" t="s">
        <v>209</v>
      </c>
      <c r="B17" s="116"/>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row>
    <row r="18" spans="1:131">
      <c r="A18" s="79" t="s">
        <v>210</v>
      </c>
      <c r="B18" s="79" t="s">
        <v>211</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row>
    <row r="19" spans="1:131">
      <c r="A19" s="79" t="s">
        <v>212</v>
      </c>
      <c r="B19" s="79" t="s">
        <v>711</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row>
    <row r="20" spans="1:13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row>
    <row r="21" spans="1:131" ht="15.75" thickBot="1">
      <c r="A21" s="101" t="s">
        <v>213</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02"/>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row>
    <row r="22" spans="1:131">
      <c r="A22" s="79"/>
      <c r="B22" s="118" t="s">
        <v>214</v>
      </c>
      <c r="C22" s="119"/>
      <c r="D22" s="119" t="s">
        <v>214</v>
      </c>
      <c r="E22" s="120"/>
      <c r="F22" s="79"/>
      <c r="G22" s="118" t="s">
        <v>215</v>
      </c>
      <c r="H22" s="119"/>
      <c r="I22" s="119"/>
      <c r="J22" s="119"/>
      <c r="K22" s="119"/>
      <c r="L22" s="119"/>
      <c r="M22" s="119"/>
      <c r="N22" s="119"/>
      <c r="O22" s="120"/>
      <c r="P22" s="79"/>
      <c r="Q22" s="118" t="s">
        <v>216</v>
      </c>
      <c r="R22" s="119"/>
      <c r="S22" s="119"/>
      <c r="T22" s="119"/>
      <c r="U22" s="120"/>
      <c r="V22" s="79"/>
      <c r="W22" s="118" t="s">
        <v>217</v>
      </c>
      <c r="X22" s="120"/>
      <c r="Y22" s="79"/>
      <c r="Z22" s="118" t="s">
        <v>218</v>
      </c>
      <c r="AA22" s="119"/>
      <c r="AB22" s="120"/>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row>
    <row r="23" spans="1:131">
      <c r="A23" s="79"/>
      <c r="B23" s="121" t="s">
        <v>219</v>
      </c>
      <c r="C23" s="122" t="s">
        <v>220</v>
      </c>
      <c r="D23" s="122" t="s">
        <v>219</v>
      </c>
      <c r="E23" s="123" t="s">
        <v>220</v>
      </c>
      <c r="F23" s="79"/>
      <c r="G23" s="121" t="s">
        <v>221</v>
      </c>
      <c r="H23" s="122" t="s">
        <v>712</v>
      </c>
      <c r="I23" s="122"/>
      <c r="J23" s="122"/>
      <c r="K23" s="122" t="s">
        <v>222</v>
      </c>
      <c r="L23" s="122"/>
      <c r="M23" s="122"/>
      <c r="N23" s="122"/>
      <c r="O23" s="123"/>
      <c r="P23" s="79"/>
      <c r="Q23" s="121"/>
      <c r="R23" s="122" t="s">
        <v>223</v>
      </c>
      <c r="S23" s="122" t="s">
        <v>224</v>
      </c>
      <c r="T23" s="122" t="s">
        <v>225</v>
      </c>
      <c r="U23" s="123" t="s">
        <v>226</v>
      </c>
      <c r="V23" s="79"/>
      <c r="W23" s="121" t="s">
        <v>227</v>
      </c>
      <c r="X23" s="123">
        <v>20</v>
      </c>
      <c r="Y23" s="79"/>
      <c r="Z23" s="121"/>
      <c r="AA23" s="122" t="s">
        <v>220</v>
      </c>
      <c r="AB23" s="123" t="s">
        <v>228</v>
      </c>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row>
    <row r="24" spans="1:131">
      <c r="A24" s="79"/>
      <c r="B24" s="121" t="s">
        <v>229</v>
      </c>
      <c r="C24" s="122" t="s">
        <v>230</v>
      </c>
      <c r="D24" s="122" t="s">
        <v>229</v>
      </c>
      <c r="E24" s="123" t="s">
        <v>230</v>
      </c>
      <c r="F24" s="79"/>
      <c r="G24" s="121" t="s">
        <v>231</v>
      </c>
      <c r="H24" s="122" t="s">
        <v>232</v>
      </c>
      <c r="I24" s="122"/>
      <c r="J24" s="122"/>
      <c r="K24" s="122" t="s">
        <v>233</v>
      </c>
      <c r="L24" s="122"/>
      <c r="M24" s="122"/>
      <c r="N24" s="122"/>
      <c r="O24" s="123"/>
      <c r="P24" s="79"/>
      <c r="Q24" s="121" t="s">
        <v>234</v>
      </c>
      <c r="R24" s="122">
        <v>6.8012888465852586E-2</v>
      </c>
      <c r="S24" s="122">
        <v>4.387844424080023E-2</v>
      </c>
      <c r="T24" s="122">
        <v>5.3289007766645871E-2</v>
      </c>
      <c r="U24" s="123">
        <v>5.447903102274565E-2</v>
      </c>
      <c r="V24" s="79"/>
      <c r="W24" s="121" t="s">
        <v>235</v>
      </c>
      <c r="X24" s="123">
        <v>2016</v>
      </c>
      <c r="Y24" s="79"/>
      <c r="Z24" s="121" t="s">
        <v>236</v>
      </c>
      <c r="AA24" s="122">
        <v>4.03890184699085E-3</v>
      </c>
      <c r="AB24" s="123">
        <v>0.01</v>
      </c>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row>
    <row r="25" spans="1:131">
      <c r="A25" s="79"/>
      <c r="B25" s="121" t="s">
        <v>237</v>
      </c>
      <c r="C25" s="122" t="s">
        <v>238</v>
      </c>
      <c r="D25" s="122" t="s">
        <v>237</v>
      </c>
      <c r="E25" s="123" t="s">
        <v>238</v>
      </c>
      <c r="F25" s="79"/>
      <c r="G25" s="121" t="s">
        <v>239</v>
      </c>
      <c r="H25" s="122" t="s">
        <v>240</v>
      </c>
      <c r="I25" s="122"/>
      <c r="J25" s="122"/>
      <c r="K25" s="122" t="s">
        <v>241</v>
      </c>
      <c r="L25" s="122"/>
      <c r="M25" s="122"/>
      <c r="N25" s="122"/>
      <c r="O25" s="123"/>
      <c r="P25" s="79"/>
      <c r="Q25" s="121" t="s">
        <v>242</v>
      </c>
      <c r="R25" s="122">
        <v>12</v>
      </c>
      <c r="S25" s="122">
        <v>12</v>
      </c>
      <c r="T25" s="122">
        <v>1</v>
      </c>
      <c r="U25" s="123">
        <v>1</v>
      </c>
      <c r="V25" s="79"/>
      <c r="W25" s="121" t="s">
        <v>243</v>
      </c>
      <c r="X25" s="123">
        <v>2016</v>
      </c>
      <c r="Y25" s="79"/>
      <c r="Z25" s="121" t="s">
        <v>244</v>
      </c>
      <c r="AA25" s="122">
        <v>26</v>
      </c>
      <c r="AB25" s="123">
        <v>0</v>
      </c>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row>
    <row r="26" spans="1:131" ht="15.75" thickBot="1">
      <c r="A26" s="79"/>
      <c r="B26" s="124" t="s">
        <v>245</v>
      </c>
      <c r="C26" s="125" t="s">
        <v>238</v>
      </c>
      <c r="D26" s="125" t="s">
        <v>245</v>
      </c>
      <c r="E26" s="126" t="s">
        <v>238</v>
      </c>
      <c r="F26" s="79"/>
      <c r="G26" s="121" t="s">
        <v>246</v>
      </c>
      <c r="H26" s="122" t="s">
        <v>247</v>
      </c>
      <c r="I26" s="122"/>
      <c r="J26" s="122"/>
      <c r="K26" s="122" t="s">
        <v>233</v>
      </c>
      <c r="L26" s="122"/>
      <c r="M26" s="122"/>
      <c r="N26" s="122"/>
      <c r="O26" s="123"/>
      <c r="P26" s="79"/>
      <c r="Q26" s="121"/>
      <c r="R26" s="122" t="s">
        <v>223</v>
      </c>
      <c r="S26" s="122" t="s">
        <v>224</v>
      </c>
      <c r="T26" s="122" t="s">
        <v>225</v>
      </c>
      <c r="U26" s="123" t="s">
        <v>226</v>
      </c>
      <c r="V26" s="79"/>
      <c r="W26" s="121" t="s">
        <v>248</v>
      </c>
      <c r="X26" s="123">
        <v>2012</v>
      </c>
      <c r="Y26" s="79"/>
      <c r="Z26" s="121" t="s">
        <v>249</v>
      </c>
      <c r="AA26" s="122">
        <v>0.9</v>
      </c>
      <c r="AB26" s="123" t="s">
        <v>111</v>
      </c>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row>
    <row r="27" spans="1:131">
      <c r="A27" s="79"/>
      <c r="B27" s="79"/>
      <c r="C27" s="79"/>
      <c r="D27" s="79"/>
      <c r="E27" s="79"/>
      <c r="F27" s="79"/>
      <c r="G27" s="121" t="s">
        <v>250</v>
      </c>
      <c r="H27" s="122" t="s">
        <v>240</v>
      </c>
      <c r="I27" s="122"/>
      <c r="J27" s="122"/>
      <c r="K27" s="122"/>
      <c r="L27" s="122"/>
      <c r="M27" s="122"/>
      <c r="N27" s="122"/>
      <c r="O27" s="123"/>
      <c r="P27" s="79"/>
      <c r="Q27" s="121" t="s">
        <v>251</v>
      </c>
      <c r="R27" s="122">
        <v>0.35</v>
      </c>
      <c r="S27" s="122">
        <v>0.19500000000000001</v>
      </c>
      <c r="T27" s="122">
        <v>0.45499999999999996</v>
      </c>
      <c r="U27" s="123">
        <v>0</v>
      </c>
      <c r="V27" s="79"/>
      <c r="W27" s="121" t="s">
        <v>252</v>
      </c>
      <c r="X27" s="123">
        <v>0.04</v>
      </c>
      <c r="Y27" s="79"/>
      <c r="Z27" s="121" t="s">
        <v>253</v>
      </c>
      <c r="AA27" s="122">
        <v>4.7399348199455904E-2</v>
      </c>
      <c r="AB27" s="123">
        <v>0</v>
      </c>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row>
    <row r="28" spans="1:131">
      <c r="A28" s="79"/>
      <c r="B28" s="79" t="s">
        <v>254</v>
      </c>
      <c r="C28" s="79" t="s">
        <v>220</v>
      </c>
      <c r="D28" s="79"/>
      <c r="E28" s="79"/>
      <c r="F28" s="79"/>
      <c r="G28" s="121" t="s">
        <v>255</v>
      </c>
      <c r="H28" s="122" t="s">
        <v>256</v>
      </c>
      <c r="I28" s="122"/>
      <c r="J28" s="122"/>
      <c r="K28" s="122" t="s">
        <v>257</v>
      </c>
      <c r="L28" s="122"/>
      <c r="M28" s="122"/>
      <c r="N28" s="122"/>
      <c r="O28" s="123"/>
      <c r="P28" s="79"/>
      <c r="Q28" s="121" t="s">
        <v>258</v>
      </c>
      <c r="R28" s="122">
        <v>1</v>
      </c>
      <c r="S28" s="122">
        <v>0</v>
      </c>
      <c r="T28" s="122">
        <v>0</v>
      </c>
      <c r="U28" s="123">
        <v>0</v>
      </c>
      <c r="V28" s="79"/>
      <c r="W28" s="121" t="s">
        <v>259</v>
      </c>
      <c r="X28" s="123">
        <v>0</v>
      </c>
      <c r="Y28" s="79"/>
      <c r="Z28" s="121" t="s">
        <v>260</v>
      </c>
      <c r="AA28" s="122">
        <v>31</v>
      </c>
      <c r="AB28" s="123">
        <v>0</v>
      </c>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row>
    <row r="29" spans="1:131">
      <c r="A29" s="79"/>
      <c r="B29" s="79" t="s">
        <v>261</v>
      </c>
      <c r="C29" s="79" t="s">
        <v>262</v>
      </c>
      <c r="D29" s="79"/>
      <c r="E29" s="79"/>
      <c r="F29" s="79"/>
      <c r="G29" s="121" t="s">
        <v>263</v>
      </c>
      <c r="H29" s="122" t="s">
        <v>257</v>
      </c>
      <c r="I29" s="122"/>
      <c r="J29" s="122"/>
      <c r="K29" s="122" t="s">
        <v>264</v>
      </c>
      <c r="L29" s="122"/>
      <c r="M29" s="122"/>
      <c r="N29" s="122"/>
      <c r="O29" s="123"/>
      <c r="P29" s="79"/>
      <c r="Q29" s="121" t="s">
        <v>265</v>
      </c>
      <c r="R29" s="122">
        <v>1</v>
      </c>
      <c r="S29" s="122">
        <v>0</v>
      </c>
      <c r="T29" s="122">
        <v>0</v>
      </c>
      <c r="U29" s="123">
        <v>0</v>
      </c>
      <c r="V29" s="79"/>
      <c r="W29" s="121" t="s">
        <v>266</v>
      </c>
      <c r="X29" s="123">
        <v>0.2</v>
      </c>
      <c r="Y29" s="79"/>
      <c r="Z29" s="121" t="s">
        <v>267</v>
      </c>
      <c r="AA29" s="122">
        <v>0.7</v>
      </c>
      <c r="AB29" s="123" t="s">
        <v>111</v>
      </c>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row>
    <row r="30" spans="1:131">
      <c r="A30" s="79"/>
      <c r="B30" s="79" t="s">
        <v>268</v>
      </c>
      <c r="C30" s="79" t="s">
        <v>269</v>
      </c>
      <c r="D30" s="79"/>
      <c r="E30" s="79"/>
      <c r="F30" s="79"/>
      <c r="G30" s="121" t="s">
        <v>270</v>
      </c>
      <c r="H30" s="122" t="s">
        <v>264</v>
      </c>
      <c r="I30" s="122"/>
      <c r="J30" s="122"/>
      <c r="K30" s="122" t="s">
        <v>271</v>
      </c>
      <c r="L30" s="122"/>
      <c r="M30" s="122"/>
      <c r="N30" s="122"/>
      <c r="O30" s="123"/>
      <c r="P30" s="79"/>
      <c r="Q30" s="121" t="s">
        <v>272</v>
      </c>
      <c r="R30" s="122"/>
      <c r="S30" s="122">
        <v>0.3</v>
      </c>
      <c r="T30" s="122">
        <v>0.7</v>
      </c>
      <c r="U30" s="123">
        <v>0</v>
      </c>
      <c r="V30" s="79"/>
      <c r="W30" s="121" t="s">
        <v>273</v>
      </c>
      <c r="X30" s="123">
        <v>0</v>
      </c>
      <c r="Y30" s="79"/>
      <c r="Z30" s="121" t="s">
        <v>274</v>
      </c>
      <c r="AA30" s="122">
        <v>0</v>
      </c>
      <c r="AB30" s="123">
        <v>0</v>
      </c>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row>
    <row r="31" spans="1:131" ht="15.75" thickBot="1">
      <c r="A31" s="79"/>
      <c r="B31" s="79" t="s">
        <v>275</v>
      </c>
      <c r="C31" s="79" t="s">
        <v>276</v>
      </c>
      <c r="D31" s="79"/>
      <c r="E31" s="79"/>
      <c r="F31" s="79"/>
      <c r="G31" s="124" t="s">
        <v>277</v>
      </c>
      <c r="H31" s="125" t="s">
        <v>271</v>
      </c>
      <c r="I31" s="125"/>
      <c r="J31" s="125"/>
      <c r="K31" s="125"/>
      <c r="L31" s="125"/>
      <c r="M31" s="125"/>
      <c r="N31" s="125"/>
      <c r="O31" s="126"/>
      <c r="P31" s="79"/>
      <c r="Q31" s="124" t="s">
        <v>278</v>
      </c>
      <c r="R31" s="125"/>
      <c r="S31" s="125">
        <v>20</v>
      </c>
      <c r="T31" s="125"/>
      <c r="U31" s="126"/>
      <c r="V31" s="79"/>
      <c r="W31" s="124" t="s">
        <v>279</v>
      </c>
      <c r="X31" s="126">
        <v>2018</v>
      </c>
      <c r="Y31" s="79"/>
      <c r="Z31" s="124" t="s">
        <v>280</v>
      </c>
      <c r="AA31" s="125">
        <v>0</v>
      </c>
      <c r="AB31" s="126">
        <v>0</v>
      </c>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row>
    <row r="32" spans="1:13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row>
    <row r="33" spans="1:13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row>
    <row r="34" spans="1:13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row>
    <row r="35" spans="1:13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row>
    <row r="36" spans="1:13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row>
    <row r="37" spans="1:13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row>
    <row r="38" spans="1:13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row>
    <row r="39" spans="1:131" ht="15.75" thickBot="1">
      <c r="A39" s="101" t="s">
        <v>281</v>
      </c>
      <c r="B39" s="102"/>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row>
    <row r="40" spans="1:131" ht="27" thickBot="1">
      <c r="A40" s="127" t="s">
        <v>282</v>
      </c>
      <c r="B40" s="128"/>
      <c r="C40" s="129" t="s">
        <v>283</v>
      </c>
      <c r="D40" s="130"/>
      <c r="E40" s="130"/>
      <c r="F40" s="130"/>
      <c r="G40" s="130"/>
      <c r="H40" s="130"/>
      <c r="I40" s="130"/>
      <c r="J40" s="130"/>
      <c r="K40" s="131"/>
      <c r="L40" s="129" t="s">
        <v>284</v>
      </c>
      <c r="M40" s="130"/>
      <c r="N40" s="130"/>
      <c r="O40" s="130"/>
      <c r="P40" s="130"/>
      <c r="Q40" s="131"/>
      <c r="R40" s="129" t="s">
        <v>285</v>
      </c>
      <c r="S40" s="130"/>
      <c r="T40" s="130"/>
      <c r="U40" s="131"/>
      <c r="V40" s="129" t="s">
        <v>286</v>
      </c>
      <c r="W40" s="130"/>
      <c r="X40" s="130"/>
      <c r="Y40" s="131"/>
      <c r="Z40" s="129" t="s">
        <v>287</v>
      </c>
      <c r="AA40" s="130"/>
      <c r="AB40" s="130"/>
      <c r="AC40" s="131"/>
      <c r="AD40" s="129" t="s">
        <v>288</v>
      </c>
      <c r="AE40" s="130"/>
      <c r="AF40" s="130"/>
      <c r="AG40" s="131"/>
      <c r="AH40" s="129" t="s">
        <v>289</v>
      </c>
      <c r="AI40" s="130"/>
      <c r="AJ40" s="130"/>
      <c r="AK40" s="130"/>
      <c r="AL40" s="131"/>
      <c r="AM40" s="129" t="s">
        <v>290</v>
      </c>
      <c r="AN40" s="130"/>
      <c r="AO40" s="130"/>
      <c r="AP40" s="130"/>
      <c r="AQ40" s="130"/>
      <c r="AR40" s="130"/>
      <c r="AS40" s="131"/>
      <c r="AT40" s="129" t="s">
        <v>291</v>
      </c>
      <c r="AU40" s="130"/>
      <c r="AV40" s="130"/>
      <c r="AW40" s="130"/>
      <c r="AX40" s="130"/>
      <c r="AY40" s="130"/>
      <c r="AZ40" s="131"/>
      <c r="BA40" s="129" t="s">
        <v>292</v>
      </c>
      <c r="BB40" s="130"/>
      <c r="BC40" s="130"/>
      <c r="BD40" s="130"/>
      <c r="BE40" s="130"/>
      <c r="BF40" s="131"/>
      <c r="BG40" s="129" t="s">
        <v>293</v>
      </c>
      <c r="BH40" s="131"/>
      <c r="BI40" s="129" t="s">
        <v>294</v>
      </c>
      <c r="BJ40" s="130"/>
      <c r="BK40" s="130"/>
      <c r="BL40" s="130"/>
      <c r="BM40" s="131"/>
      <c r="BN40" s="129" t="s">
        <v>295</v>
      </c>
      <c r="BO40" s="130"/>
      <c r="BP40" s="130"/>
      <c r="BQ40" s="130"/>
      <c r="BR40" s="130"/>
      <c r="BS40" s="130"/>
      <c r="BT40" s="130"/>
      <c r="BU40" s="130"/>
      <c r="BV40" s="130"/>
      <c r="BW40" s="130"/>
      <c r="BX40" s="130"/>
      <c r="BY40" s="130"/>
      <c r="BZ40" s="130"/>
      <c r="CA40" s="130"/>
      <c r="CB40" s="130"/>
      <c r="CC40" s="131"/>
      <c r="CD40" s="129" t="s">
        <v>296</v>
      </c>
      <c r="CE40" s="131"/>
      <c r="CF40" s="129" t="s">
        <v>297</v>
      </c>
      <c r="CG40" s="130"/>
      <c r="CH40" s="130"/>
      <c r="CI40" s="130"/>
      <c r="CJ40" s="130"/>
      <c r="CK40" s="131"/>
      <c r="CL40" s="132"/>
      <c r="CM40" s="129" t="s">
        <v>155</v>
      </c>
      <c r="CN40" s="130"/>
      <c r="CO40" s="130"/>
      <c r="CP40" s="131"/>
      <c r="CQ40" s="129" t="s">
        <v>298</v>
      </c>
      <c r="CR40" s="130"/>
      <c r="CS40" s="130"/>
      <c r="CT40" s="130"/>
      <c r="CU40" s="131"/>
      <c r="CV40" s="129" t="s">
        <v>299</v>
      </c>
      <c r="CW40" s="131"/>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row>
    <row r="41" spans="1:131" ht="128.25">
      <c r="A41" s="110" t="s">
        <v>178</v>
      </c>
      <c r="B41" s="111" t="s">
        <v>179</v>
      </c>
      <c r="C41" s="112" t="s">
        <v>300</v>
      </c>
      <c r="D41" s="112" t="s">
        <v>301</v>
      </c>
      <c r="E41" s="112" t="s">
        <v>302</v>
      </c>
      <c r="F41" s="112" t="s">
        <v>303</v>
      </c>
      <c r="G41" s="112" t="s">
        <v>304</v>
      </c>
      <c r="H41" s="112" t="s">
        <v>305</v>
      </c>
      <c r="I41" s="112" t="s">
        <v>306</v>
      </c>
      <c r="J41" s="112" t="s">
        <v>307</v>
      </c>
      <c r="K41" s="112" t="s">
        <v>308</v>
      </c>
      <c r="L41" s="112" t="s">
        <v>309</v>
      </c>
      <c r="M41" s="112" t="s">
        <v>310</v>
      </c>
      <c r="N41" s="112" t="s">
        <v>311</v>
      </c>
      <c r="O41" s="112" t="s">
        <v>312</v>
      </c>
      <c r="P41" s="112" t="s">
        <v>313</v>
      </c>
      <c r="Q41" s="112" t="s">
        <v>314</v>
      </c>
      <c r="R41" s="112" t="s">
        <v>315</v>
      </c>
      <c r="S41" s="112" t="s">
        <v>316</v>
      </c>
      <c r="T41" s="112" t="s">
        <v>317</v>
      </c>
      <c r="U41" s="112" t="s">
        <v>223</v>
      </c>
      <c r="V41" s="112" t="s">
        <v>315</v>
      </c>
      <c r="W41" s="112" t="s">
        <v>316</v>
      </c>
      <c r="X41" s="112" t="s">
        <v>317</v>
      </c>
      <c r="Y41" s="112" t="s">
        <v>223</v>
      </c>
      <c r="Z41" s="112" t="s">
        <v>315</v>
      </c>
      <c r="AA41" s="112" t="s">
        <v>316</v>
      </c>
      <c r="AB41" s="112" t="s">
        <v>317</v>
      </c>
      <c r="AC41" s="112" t="s">
        <v>223</v>
      </c>
      <c r="AD41" s="112" t="s">
        <v>315</v>
      </c>
      <c r="AE41" s="112" t="s">
        <v>316</v>
      </c>
      <c r="AF41" s="112" t="s">
        <v>317</v>
      </c>
      <c r="AG41" s="112" t="s">
        <v>223</v>
      </c>
      <c r="AH41" s="112" t="s">
        <v>315</v>
      </c>
      <c r="AI41" s="112" t="s">
        <v>316</v>
      </c>
      <c r="AJ41" s="112" t="s">
        <v>317</v>
      </c>
      <c r="AK41" s="112" t="s">
        <v>223</v>
      </c>
      <c r="AL41" s="112" t="s">
        <v>318</v>
      </c>
      <c r="AM41" s="112" t="s">
        <v>319</v>
      </c>
      <c r="AN41" s="112" t="s">
        <v>320</v>
      </c>
      <c r="AO41" s="112" t="s">
        <v>321</v>
      </c>
      <c r="AP41" s="112" t="s">
        <v>322</v>
      </c>
      <c r="AQ41" s="112" t="s">
        <v>323</v>
      </c>
      <c r="AR41" s="112" t="s">
        <v>324</v>
      </c>
      <c r="AS41" s="112" t="s">
        <v>325</v>
      </c>
      <c r="AT41" s="112" t="s">
        <v>326</v>
      </c>
      <c r="AU41" s="112" t="s">
        <v>327</v>
      </c>
      <c r="AV41" s="112" t="s">
        <v>328</v>
      </c>
      <c r="AW41" s="112" t="s">
        <v>329</v>
      </c>
      <c r="AX41" s="112" t="s">
        <v>330</v>
      </c>
      <c r="AY41" s="112" t="s">
        <v>331</v>
      </c>
      <c r="AZ41" s="112" t="s">
        <v>332</v>
      </c>
      <c r="BA41" s="112" t="s">
        <v>333</v>
      </c>
      <c r="BB41" s="112" t="s">
        <v>334</v>
      </c>
      <c r="BC41" s="112" t="s">
        <v>335</v>
      </c>
      <c r="BD41" s="112" t="s">
        <v>336</v>
      </c>
      <c r="BE41" s="112" t="s">
        <v>337</v>
      </c>
      <c r="BF41" s="112" t="s">
        <v>338</v>
      </c>
      <c r="BG41" s="112" t="s">
        <v>339</v>
      </c>
      <c r="BH41" s="112" t="s">
        <v>340</v>
      </c>
      <c r="BI41" s="112" t="s">
        <v>341</v>
      </c>
      <c r="BJ41" s="112" t="s">
        <v>342</v>
      </c>
      <c r="BK41" s="112" t="s">
        <v>343</v>
      </c>
      <c r="BL41" s="112" t="s">
        <v>344</v>
      </c>
      <c r="BM41" s="112" t="s">
        <v>345</v>
      </c>
      <c r="BN41" s="112" t="s">
        <v>346</v>
      </c>
      <c r="BO41" s="112" t="s">
        <v>347</v>
      </c>
      <c r="BP41" s="112" t="s">
        <v>348</v>
      </c>
      <c r="BQ41" s="112" t="s">
        <v>349</v>
      </c>
      <c r="BR41" s="112" t="s">
        <v>350</v>
      </c>
      <c r="BS41" s="112" t="s">
        <v>351</v>
      </c>
      <c r="BT41" s="112" t="s">
        <v>352</v>
      </c>
      <c r="BU41" s="112" t="s">
        <v>353</v>
      </c>
      <c r="BV41" s="112" t="s">
        <v>354</v>
      </c>
      <c r="BW41" s="112" t="s">
        <v>355</v>
      </c>
      <c r="BX41" s="112" t="s">
        <v>356</v>
      </c>
      <c r="BY41" s="112" t="s">
        <v>357</v>
      </c>
      <c r="BZ41" s="112" t="s">
        <v>358</v>
      </c>
      <c r="CA41" s="112" t="s">
        <v>359</v>
      </c>
      <c r="CB41" s="112" t="s">
        <v>360</v>
      </c>
      <c r="CC41" s="112" t="s">
        <v>361</v>
      </c>
      <c r="CD41" s="112" t="s">
        <v>188</v>
      </c>
      <c r="CE41" s="112" t="s">
        <v>187</v>
      </c>
      <c r="CF41" s="112" t="s">
        <v>362</v>
      </c>
      <c r="CG41" s="112" t="s">
        <v>363</v>
      </c>
      <c r="CH41" s="112" t="s">
        <v>364</v>
      </c>
      <c r="CI41" s="112" t="s">
        <v>365</v>
      </c>
      <c r="CJ41" s="112" t="s">
        <v>366</v>
      </c>
      <c r="CK41" s="112" t="s">
        <v>367</v>
      </c>
      <c r="CL41" s="112"/>
      <c r="CM41" s="112" t="s">
        <v>368</v>
      </c>
      <c r="CN41" s="112" t="s">
        <v>369</v>
      </c>
      <c r="CO41" s="112" t="s">
        <v>370</v>
      </c>
      <c r="CP41" s="112" t="s">
        <v>371</v>
      </c>
      <c r="CQ41" s="112" t="s">
        <v>372</v>
      </c>
      <c r="CR41" s="112" t="s">
        <v>373</v>
      </c>
      <c r="CS41" s="112" t="s">
        <v>374</v>
      </c>
      <c r="CT41" s="112" t="s">
        <v>375</v>
      </c>
      <c r="CU41" s="112" t="s">
        <v>376</v>
      </c>
      <c r="CV41" s="112" t="s">
        <v>377</v>
      </c>
      <c r="CW41" s="133" t="s">
        <v>378</v>
      </c>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row>
    <row r="42" spans="1:131">
      <c r="A42" s="79" t="s">
        <v>207</v>
      </c>
      <c r="B42" s="79" t="s">
        <v>207</v>
      </c>
      <c r="C42" s="103">
        <v>8.5616438356164384</v>
      </c>
      <c r="D42" s="103">
        <v>1178.7466859186579</v>
      </c>
      <c r="E42" s="103">
        <v>0</v>
      </c>
      <c r="F42" s="103">
        <v>538.1464278686118</v>
      </c>
      <c r="G42" s="103">
        <v>0</v>
      </c>
      <c r="H42" s="103">
        <v>-144.98398076032771</v>
      </c>
      <c r="I42" s="103" t="s">
        <v>710</v>
      </c>
      <c r="J42" s="103"/>
      <c r="K42" s="103"/>
      <c r="L42" s="103">
        <v>1265.2275583672172</v>
      </c>
      <c r="M42" s="103">
        <v>0.15890780091609044</v>
      </c>
      <c r="N42" s="103">
        <v>0.1577608756702609</v>
      </c>
      <c r="O42" s="103">
        <v>0</v>
      </c>
      <c r="P42" s="103">
        <v>0</v>
      </c>
      <c r="Q42" s="103">
        <v>0</v>
      </c>
      <c r="R42" s="103">
        <v>107.31358654722686</v>
      </c>
      <c r="S42" s="103">
        <v>247.98537620626655</v>
      </c>
      <c r="T42" s="103">
        <v>0</v>
      </c>
      <c r="U42" s="103">
        <v>790.14443481753938</v>
      </c>
      <c r="V42" s="103" t="s">
        <v>379</v>
      </c>
      <c r="W42" s="103" t="s">
        <v>379</v>
      </c>
      <c r="X42" s="103" t="s">
        <v>379</v>
      </c>
      <c r="Y42" s="103" t="s">
        <v>379</v>
      </c>
      <c r="Z42" s="103">
        <v>0</v>
      </c>
      <c r="AA42" s="103">
        <v>0</v>
      </c>
      <c r="AB42" s="103">
        <v>0</v>
      </c>
      <c r="AC42" s="103">
        <v>0</v>
      </c>
      <c r="AD42" s="103">
        <v>0</v>
      </c>
      <c r="AE42" s="103">
        <v>0</v>
      </c>
      <c r="AF42" s="103">
        <v>0</v>
      </c>
      <c r="AG42" s="103">
        <v>-144.98398076032771</v>
      </c>
      <c r="AH42" s="103">
        <v>107.31358654722686</v>
      </c>
      <c r="AI42" s="103">
        <v>247.98537620626655</v>
      </c>
      <c r="AJ42" s="103">
        <v>0</v>
      </c>
      <c r="AK42" s="103">
        <v>645.16045405721161</v>
      </c>
      <c r="AL42" s="103">
        <v>1000.4594168107051</v>
      </c>
      <c r="AM42" s="103">
        <v>636.96292408486715</v>
      </c>
      <c r="AN42" s="103">
        <v>56.14983070348142</v>
      </c>
      <c r="AO42" s="103">
        <v>0</v>
      </c>
      <c r="AP42" s="103">
        <v>0</v>
      </c>
      <c r="AQ42" s="103">
        <v>693.11275478834852</v>
      </c>
      <c r="AR42" s="103">
        <v>107.31358654722686</v>
      </c>
      <c r="AS42" s="134">
        <v>6.4587605082355672</v>
      </c>
      <c r="AT42" s="103">
        <v>636.96292408486715</v>
      </c>
      <c r="AU42" s="103">
        <v>66.464675329628264</v>
      </c>
      <c r="AV42" s="103">
        <v>0</v>
      </c>
      <c r="AW42" s="103">
        <v>0</v>
      </c>
      <c r="AX42" s="103">
        <v>703.42759941449538</v>
      </c>
      <c r="AY42" s="103">
        <v>247.98537620626655</v>
      </c>
      <c r="AZ42" s="134">
        <v>2.8365688742444477</v>
      </c>
      <c r="BA42" s="103">
        <v>636.96292408486715</v>
      </c>
      <c r="BB42" s="103">
        <v>122.61450603310968</v>
      </c>
      <c r="BC42" s="103">
        <v>0</v>
      </c>
      <c r="BD42" s="103">
        <v>0</v>
      </c>
      <c r="BE42" s="103">
        <v>759.57743011797675</v>
      </c>
      <c r="BF42" s="103">
        <v>355.29896275349341</v>
      </c>
      <c r="BG42" s="103">
        <v>13.532213621593172</v>
      </c>
      <c r="BH42" s="134">
        <v>2.1378543416828717</v>
      </c>
      <c r="BI42" s="103">
        <v>6.2410287224362984</v>
      </c>
      <c r="BJ42" s="103">
        <v>14.42206812244013</v>
      </c>
      <c r="BK42" s="103">
        <v>0</v>
      </c>
      <c r="BL42" s="103">
        <v>37.520551254515418</v>
      </c>
      <c r="BM42" s="103">
        <v>58.183648099391853</v>
      </c>
      <c r="BN42" s="103">
        <v>636.96292408486715</v>
      </c>
      <c r="BO42" s="103">
        <v>0</v>
      </c>
      <c r="BP42" s="103">
        <v>122.61450603310968</v>
      </c>
      <c r="BQ42" s="103">
        <v>0</v>
      </c>
      <c r="BR42" s="103">
        <v>0</v>
      </c>
      <c r="BS42" s="103">
        <v>0</v>
      </c>
      <c r="BT42" s="103">
        <v>0</v>
      </c>
      <c r="BU42" s="103">
        <v>0</v>
      </c>
      <c r="BV42" s="103">
        <v>0</v>
      </c>
      <c r="BW42" s="103">
        <v>0</v>
      </c>
      <c r="BX42" s="103">
        <v>1145.4433975710328</v>
      </c>
      <c r="BY42" s="103"/>
      <c r="BZ42" s="103">
        <v>0</v>
      </c>
      <c r="CA42" s="103">
        <v>-144.98398076032771</v>
      </c>
      <c r="CB42" s="103">
        <v>759.57743011797675</v>
      </c>
      <c r="CC42" s="103">
        <v>1000.4594168107051</v>
      </c>
      <c r="CD42" s="114">
        <v>0.789704155435764</v>
      </c>
      <c r="CE42" s="103">
        <v>51.05276487610859</v>
      </c>
      <c r="CF42" s="103">
        <v>12.019760588206129</v>
      </c>
      <c r="CG42" s="103">
        <v>0</v>
      </c>
      <c r="CH42" s="103">
        <v>12.019760588206129</v>
      </c>
      <c r="CI42" s="103">
        <v>0.60098309022442808</v>
      </c>
      <c r="CJ42" s="103">
        <v>0</v>
      </c>
      <c r="CK42" s="103">
        <v>0.60098309022442808</v>
      </c>
      <c r="CL42" s="103"/>
      <c r="CM42" s="103">
        <v>0</v>
      </c>
      <c r="CN42" s="103"/>
      <c r="CO42" s="103">
        <v>0</v>
      </c>
      <c r="CP42" s="103">
        <v>0</v>
      </c>
      <c r="CQ42" s="103">
        <v>0</v>
      </c>
      <c r="CR42" s="103">
        <v>0</v>
      </c>
      <c r="CS42" s="103">
        <v>0</v>
      </c>
      <c r="CT42" s="103">
        <v>0</v>
      </c>
      <c r="CU42" s="103">
        <v>0</v>
      </c>
      <c r="CV42" s="103">
        <v>9999</v>
      </c>
      <c r="CW42" s="134">
        <v>9999</v>
      </c>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row>
    <row r="43" spans="1:131">
      <c r="A43" s="79" t="s">
        <v>203</v>
      </c>
      <c r="B43" s="79" t="s">
        <v>203</v>
      </c>
      <c r="C43" s="103">
        <v>8.5616438356164384</v>
      </c>
      <c r="D43" s="103">
        <v>1524.8797604612853</v>
      </c>
      <c r="E43" s="103">
        <v>0</v>
      </c>
      <c r="F43" s="103">
        <v>351.83994045781247</v>
      </c>
      <c r="G43" s="103">
        <v>0</v>
      </c>
      <c r="H43" s="103">
        <v>-104.44684026903448</v>
      </c>
      <c r="I43" s="103" t="s">
        <v>710</v>
      </c>
      <c r="J43" s="103"/>
      <c r="K43" s="103"/>
      <c r="L43" s="103">
        <v>1636.755308990244</v>
      </c>
      <c r="M43" s="103">
        <v>0.20557028264941321</v>
      </c>
      <c r="N43" s="103">
        <v>0.2040865685359228</v>
      </c>
      <c r="O43" s="103">
        <v>0</v>
      </c>
      <c r="P43" s="103">
        <v>0</v>
      </c>
      <c r="Q43" s="103">
        <v>0</v>
      </c>
      <c r="R43" s="103">
        <v>70.1615841818967</v>
      </c>
      <c r="S43" s="103">
        <v>162.13274952764974</v>
      </c>
      <c r="T43" s="103">
        <v>0</v>
      </c>
      <c r="U43" s="103">
        <v>516.59614651785739</v>
      </c>
      <c r="V43" s="103" t="s">
        <v>379</v>
      </c>
      <c r="W43" s="103" t="s">
        <v>379</v>
      </c>
      <c r="X43" s="103" t="s">
        <v>379</v>
      </c>
      <c r="Y43" s="103" t="s">
        <v>379</v>
      </c>
      <c r="Z43" s="103">
        <v>0</v>
      </c>
      <c r="AA43" s="103">
        <v>0</v>
      </c>
      <c r="AB43" s="103">
        <v>0</v>
      </c>
      <c r="AC43" s="103">
        <v>0</v>
      </c>
      <c r="AD43" s="103">
        <v>0</v>
      </c>
      <c r="AE43" s="103">
        <v>0</v>
      </c>
      <c r="AF43" s="103">
        <v>0</v>
      </c>
      <c r="AG43" s="103">
        <v>-104.44684026903448</v>
      </c>
      <c r="AH43" s="103">
        <v>70.1615841818967</v>
      </c>
      <c r="AI43" s="103">
        <v>162.13274952764974</v>
      </c>
      <c r="AJ43" s="103">
        <v>0</v>
      </c>
      <c r="AK43" s="103">
        <v>412.14930624882288</v>
      </c>
      <c r="AL43" s="103">
        <v>644.44363995836932</v>
      </c>
      <c r="AM43" s="103">
        <v>824.00390406550707</v>
      </c>
      <c r="AN43" s="103">
        <v>72.637947928852128</v>
      </c>
      <c r="AO43" s="103">
        <v>0</v>
      </c>
      <c r="AP43" s="103">
        <v>0</v>
      </c>
      <c r="AQ43" s="103">
        <v>896.64185199435917</v>
      </c>
      <c r="AR43" s="103">
        <v>70.1615841818967</v>
      </c>
      <c r="AS43" s="134">
        <v>12.779669422369077</v>
      </c>
      <c r="AT43" s="103">
        <v>824.00390406550707</v>
      </c>
      <c r="AU43" s="103">
        <v>85.981695139861955</v>
      </c>
      <c r="AV43" s="103">
        <v>0</v>
      </c>
      <c r="AW43" s="103">
        <v>0</v>
      </c>
      <c r="AX43" s="103">
        <v>909.985599205369</v>
      </c>
      <c r="AY43" s="103">
        <v>162.13274952764974</v>
      </c>
      <c r="AZ43" s="134">
        <v>5.612595862689556</v>
      </c>
      <c r="BA43" s="103">
        <v>824.00390406550707</v>
      </c>
      <c r="BB43" s="103">
        <v>158.61964306871408</v>
      </c>
      <c r="BC43" s="103">
        <v>0</v>
      </c>
      <c r="BD43" s="103">
        <v>0</v>
      </c>
      <c r="BE43" s="103">
        <v>982.6235471342211</v>
      </c>
      <c r="BF43" s="103">
        <v>232.29433370954644</v>
      </c>
      <c r="BG43" s="103">
        <v>3.3121094292445714</v>
      </c>
      <c r="BH43" s="134">
        <v>4.2300797072513303</v>
      </c>
      <c r="BI43" s="103">
        <v>3.1541746903624497</v>
      </c>
      <c r="BJ43" s="103">
        <v>7.2888179621653819</v>
      </c>
      <c r="BK43" s="103">
        <v>0</v>
      </c>
      <c r="BL43" s="103">
        <v>18.528528475785283</v>
      </c>
      <c r="BM43" s="103">
        <v>28.971521128313114</v>
      </c>
      <c r="BN43" s="103">
        <v>824.00390406550707</v>
      </c>
      <c r="BO43" s="103">
        <v>0</v>
      </c>
      <c r="BP43" s="103">
        <v>158.61964306871408</v>
      </c>
      <c r="BQ43" s="103">
        <v>0</v>
      </c>
      <c r="BR43" s="103">
        <v>0</v>
      </c>
      <c r="BS43" s="103">
        <v>0</v>
      </c>
      <c r="BT43" s="103">
        <v>0</v>
      </c>
      <c r="BU43" s="103">
        <v>0</v>
      </c>
      <c r="BV43" s="103">
        <v>0</v>
      </c>
      <c r="BW43" s="103">
        <v>0</v>
      </c>
      <c r="BX43" s="103">
        <v>748.89048022740383</v>
      </c>
      <c r="BY43" s="103"/>
      <c r="BZ43" s="103">
        <v>0</v>
      </c>
      <c r="CA43" s="103">
        <v>-104.44684026903448</v>
      </c>
      <c r="CB43" s="103">
        <v>982.6235471342211</v>
      </c>
      <c r="CC43" s="103">
        <v>644.44363995836932</v>
      </c>
      <c r="CD43" s="134">
        <v>1.4515745841410108</v>
      </c>
      <c r="CE43" s="103">
        <v>21.840637905029855</v>
      </c>
      <c r="CF43" s="103">
        <v>15.54930322646999</v>
      </c>
      <c r="CG43" s="103">
        <v>0</v>
      </c>
      <c r="CH43" s="103">
        <v>15.54930322646999</v>
      </c>
      <c r="CI43" s="103">
        <v>0.77745877177036571</v>
      </c>
      <c r="CJ43" s="103">
        <v>0</v>
      </c>
      <c r="CK43" s="103">
        <v>0.77745877177036571</v>
      </c>
      <c r="CL43" s="103"/>
      <c r="CM43" s="103">
        <v>0</v>
      </c>
      <c r="CN43" s="103"/>
      <c r="CO43" s="103">
        <v>0</v>
      </c>
      <c r="CP43" s="103">
        <v>0</v>
      </c>
      <c r="CQ43" s="103">
        <v>0</v>
      </c>
      <c r="CR43" s="103">
        <v>0</v>
      </c>
      <c r="CS43" s="103">
        <v>0</v>
      </c>
      <c r="CT43" s="103">
        <v>0</v>
      </c>
      <c r="CU43" s="103">
        <v>0</v>
      </c>
      <c r="CV43" s="103">
        <v>9999</v>
      </c>
      <c r="CW43" s="134">
        <v>9999</v>
      </c>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row>
    <row r="44" spans="1:131">
      <c r="A44" s="79" t="s">
        <v>205</v>
      </c>
      <c r="B44" s="79" t="s">
        <v>205</v>
      </c>
      <c r="C44" s="103">
        <v>8.5616438356164384</v>
      </c>
      <c r="D44" s="103">
        <v>1326.769464302999</v>
      </c>
      <c r="E44" s="103">
        <v>0</v>
      </c>
      <c r="F44" s="103">
        <v>441.53646962377445</v>
      </c>
      <c r="G44" s="103">
        <v>0</v>
      </c>
      <c r="H44" s="103">
        <v>-104.89384852672865</v>
      </c>
      <c r="I44" s="103" t="s">
        <v>710</v>
      </c>
      <c r="J44" s="103"/>
      <c r="K44" s="103"/>
      <c r="L44" s="103">
        <v>1424.1102943402925</v>
      </c>
      <c r="M44" s="103">
        <v>0.17886287224697064</v>
      </c>
      <c r="N44" s="103">
        <v>0.1775719202449984</v>
      </c>
      <c r="O44" s="103">
        <v>0</v>
      </c>
      <c r="P44" s="103">
        <v>0</v>
      </c>
      <c r="Q44" s="103">
        <v>0</v>
      </c>
      <c r="R44" s="103">
        <v>88.04827030886922</v>
      </c>
      <c r="S44" s="103">
        <v>203.46616061748077</v>
      </c>
      <c r="T44" s="103">
        <v>0</v>
      </c>
      <c r="U44" s="103">
        <v>648.29489925999701</v>
      </c>
      <c r="V44" s="103" t="s">
        <v>379</v>
      </c>
      <c r="W44" s="103" t="s">
        <v>379</v>
      </c>
      <c r="X44" s="103" t="s">
        <v>379</v>
      </c>
      <c r="Y44" s="103" t="s">
        <v>379</v>
      </c>
      <c r="Z44" s="103">
        <v>0</v>
      </c>
      <c r="AA44" s="103">
        <v>0</v>
      </c>
      <c r="AB44" s="103">
        <v>0</v>
      </c>
      <c r="AC44" s="103">
        <v>0</v>
      </c>
      <c r="AD44" s="103">
        <v>0</v>
      </c>
      <c r="AE44" s="103">
        <v>0</v>
      </c>
      <c r="AF44" s="103">
        <v>0</v>
      </c>
      <c r="AG44" s="103">
        <v>-104.89384852672865</v>
      </c>
      <c r="AH44" s="103">
        <v>88.04827030886922</v>
      </c>
      <c r="AI44" s="103">
        <v>203.46616061748077</v>
      </c>
      <c r="AJ44" s="103">
        <v>0</v>
      </c>
      <c r="AK44" s="103">
        <v>543.40105073326833</v>
      </c>
      <c r="AL44" s="103">
        <v>834.91548165961831</v>
      </c>
      <c r="AM44" s="103">
        <v>716.95044207935075</v>
      </c>
      <c r="AN44" s="103">
        <v>63.200924925699461</v>
      </c>
      <c r="AO44" s="103">
        <v>0</v>
      </c>
      <c r="AP44" s="103">
        <v>0</v>
      </c>
      <c r="AQ44" s="103">
        <v>780.15136700505025</v>
      </c>
      <c r="AR44" s="103">
        <v>88.04827030886922</v>
      </c>
      <c r="AS44" s="134">
        <v>8.8604962285836582</v>
      </c>
      <c r="AT44" s="103">
        <v>716.95044207935075</v>
      </c>
      <c r="AU44" s="103">
        <v>74.811070720795158</v>
      </c>
      <c r="AV44" s="103">
        <v>0</v>
      </c>
      <c r="AW44" s="103">
        <v>0</v>
      </c>
      <c r="AX44" s="103">
        <v>791.76151280014597</v>
      </c>
      <c r="AY44" s="103">
        <v>203.46616061748077</v>
      </c>
      <c r="AZ44" s="134">
        <v>3.8913670479518641</v>
      </c>
      <c r="BA44" s="103">
        <v>716.95044207935075</v>
      </c>
      <c r="BB44" s="103">
        <v>138.01199564649463</v>
      </c>
      <c r="BC44" s="103">
        <v>0</v>
      </c>
      <c r="BD44" s="103">
        <v>0</v>
      </c>
      <c r="BE44" s="103">
        <v>854.96243772584546</v>
      </c>
      <c r="BF44" s="103">
        <v>291.51443092634997</v>
      </c>
      <c r="BG44" s="103">
        <v>7.9312521737167314</v>
      </c>
      <c r="BH44" s="134">
        <v>2.9328305806646275</v>
      </c>
      <c r="BI44" s="103">
        <v>4.5493287061281062</v>
      </c>
      <c r="BJ44" s="103">
        <v>10.512806690871891</v>
      </c>
      <c r="BK44" s="103">
        <v>0</v>
      </c>
      <c r="BL44" s="103">
        <v>28.076758241462173</v>
      </c>
      <c r="BM44" s="103">
        <v>43.138893638462172</v>
      </c>
      <c r="BN44" s="103">
        <v>716.95044207935075</v>
      </c>
      <c r="BO44" s="103">
        <v>0</v>
      </c>
      <c r="BP44" s="103">
        <v>138.01199564649463</v>
      </c>
      <c r="BQ44" s="103">
        <v>0</v>
      </c>
      <c r="BR44" s="103">
        <v>0</v>
      </c>
      <c r="BS44" s="103">
        <v>0</v>
      </c>
      <c r="BT44" s="103">
        <v>0</v>
      </c>
      <c r="BU44" s="103">
        <v>0</v>
      </c>
      <c r="BV44" s="103">
        <v>0</v>
      </c>
      <c r="BW44" s="103">
        <v>0</v>
      </c>
      <c r="BX44" s="103">
        <v>939.80933018634698</v>
      </c>
      <c r="BY44" s="103"/>
      <c r="BZ44" s="103">
        <v>0</v>
      </c>
      <c r="CA44" s="103">
        <v>-104.89384852672865</v>
      </c>
      <c r="CB44" s="103">
        <v>854.96243772584535</v>
      </c>
      <c r="CC44" s="103">
        <v>834.91548165961831</v>
      </c>
      <c r="CD44" s="134">
        <v>1.0213308757663133</v>
      </c>
      <c r="CE44" s="103">
        <v>36.008010415178909</v>
      </c>
      <c r="CF44" s="103">
        <v>13.529158984855092</v>
      </c>
      <c r="CG44" s="103">
        <v>0</v>
      </c>
      <c r="CH44" s="103">
        <v>13.529158984855092</v>
      </c>
      <c r="CI44" s="103">
        <v>0.67645238981163891</v>
      </c>
      <c r="CJ44" s="103">
        <v>0</v>
      </c>
      <c r="CK44" s="103">
        <v>0.67645238981163891</v>
      </c>
      <c r="CL44" s="103"/>
      <c r="CM44" s="103">
        <v>0</v>
      </c>
      <c r="CN44" s="103"/>
      <c r="CO44" s="103">
        <v>0</v>
      </c>
      <c r="CP44" s="103">
        <v>0</v>
      </c>
      <c r="CQ44" s="103">
        <v>0</v>
      </c>
      <c r="CR44" s="103">
        <v>0</v>
      </c>
      <c r="CS44" s="103">
        <v>0</v>
      </c>
      <c r="CT44" s="103">
        <v>0</v>
      </c>
      <c r="CU44" s="103">
        <v>0</v>
      </c>
      <c r="CV44" s="103">
        <v>9999</v>
      </c>
      <c r="CW44" s="134">
        <v>9999</v>
      </c>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row>
    <row r="45" spans="1:131">
      <c r="A45" s="79" t="s">
        <v>208</v>
      </c>
      <c r="B45" s="79" t="s">
        <v>208</v>
      </c>
      <c r="C45" s="103">
        <v>8.5616438356164384</v>
      </c>
      <c r="D45" s="103">
        <v>1178.7466859186579</v>
      </c>
      <c r="E45" s="103">
        <v>0</v>
      </c>
      <c r="F45" s="103">
        <v>669.2414174560455</v>
      </c>
      <c r="G45" s="103">
        <v>0</v>
      </c>
      <c r="H45" s="103">
        <v>-144.98398076032771</v>
      </c>
      <c r="I45" s="103" t="s">
        <v>710</v>
      </c>
      <c r="J45" s="103"/>
      <c r="K45" s="103"/>
      <c r="L45" s="103">
        <v>1265.2275583672172</v>
      </c>
      <c r="M45" s="103">
        <v>0.15890780091609044</v>
      </c>
      <c r="N45" s="103">
        <v>0.1577608756702609</v>
      </c>
      <c r="O45" s="103">
        <v>0</v>
      </c>
      <c r="P45" s="103">
        <v>0</v>
      </c>
      <c r="Q45" s="103">
        <v>0</v>
      </c>
      <c r="R45" s="103">
        <v>133.45567870366429</v>
      </c>
      <c r="S45" s="103">
        <v>308.39577499002206</v>
      </c>
      <c r="T45" s="103">
        <v>0</v>
      </c>
      <c r="U45" s="103">
        <v>982.62731882594903</v>
      </c>
      <c r="V45" s="103" t="s">
        <v>379</v>
      </c>
      <c r="W45" s="103" t="s">
        <v>379</v>
      </c>
      <c r="X45" s="103" t="s">
        <v>379</v>
      </c>
      <c r="Y45" s="103" t="s">
        <v>379</v>
      </c>
      <c r="Z45" s="103">
        <v>0</v>
      </c>
      <c r="AA45" s="103">
        <v>0</v>
      </c>
      <c r="AB45" s="103">
        <v>0</v>
      </c>
      <c r="AC45" s="103">
        <v>0</v>
      </c>
      <c r="AD45" s="103">
        <v>0</v>
      </c>
      <c r="AE45" s="103">
        <v>0</v>
      </c>
      <c r="AF45" s="103">
        <v>0</v>
      </c>
      <c r="AG45" s="103">
        <v>-144.98398076032771</v>
      </c>
      <c r="AH45" s="103">
        <v>133.45567870366429</v>
      </c>
      <c r="AI45" s="103">
        <v>308.39577499002206</v>
      </c>
      <c r="AJ45" s="103">
        <v>0</v>
      </c>
      <c r="AK45" s="103">
        <v>837.64333806562126</v>
      </c>
      <c r="AL45" s="103">
        <v>1279.4947917593076</v>
      </c>
      <c r="AM45" s="103">
        <v>636.96292408486715</v>
      </c>
      <c r="AN45" s="103">
        <v>56.14983070348142</v>
      </c>
      <c r="AO45" s="103">
        <v>0</v>
      </c>
      <c r="AP45" s="103">
        <v>0</v>
      </c>
      <c r="AQ45" s="103">
        <v>693.11275478834852</v>
      </c>
      <c r="AR45" s="103">
        <v>133.45567870366429</v>
      </c>
      <c r="AS45" s="134">
        <v>5.1935800823237486</v>
      </c>
      <c r="AT45" s="103">
        <v>636.96292408486715</v>
      </c>
      <c r="AU45" s="103">
        <v>66.464675329628264</v>
      </c>
      <c r="AV45" s="103">
        <v>0</v>
      </c>
      <c r="AW45" s="103">
        <v>0</v>
      </c>
      <c r="AX45" s="103">
        <v>703.42759941449538</v>
      </c>
      <c r="AY45" s="103">
        <v>308.39577499002206</v>
      </c>
      <c r="AZ45" s="134">
        <v>2.2809248908719786</v>
      </c>
      <c r="BA45" s="103">
        <v>636.96292408486715</v>
      </c>
      <c r="BB45" s="103">
        <v>122.61450603310968</v>
      </c>
      <c r="BC45" s="103">
        <v>0</v>
      </c>
      <c r="BD45" s="103">
        <v>0</v>
      </c>
      <c r="BE45" s="103">
        <v>759.57743011797675</v>
      </c>
      <c r="BF45" s="103">
        <v>441.85145369368638</v>
      </c>
      <c r="BG45" s="103">
        <v>18.565840763655277</v>
      </c>
      <c r="BH45" s="134">
        <v>1.7190787169946802</v>
      </c>
      <c r="BI45" s="103">
        <v>7.7613725415397772</v>
      </c>
      <c r="BJ45" s="103">
        <v>17.935351445398755</v>
      </c>
      <c r="BK45" s="103">
        <v>0</v>
      </c>
      <c r="BL45" s="103">
        <v>48.714764832916238</v>
      </c>
      <c r="BM45" s="103">
        <v>74.411488819854782</v>
      </c>
      <c r="BN45" s="103">
        <v>636.96292408486715</v>
      </c>
      <c r="BO45" s="103">
        <v>0</v>
      </c>
      <c r="BP45" s="103">
        <v>122.61450603310968</v>
      </c>
      <c r="BQ45" s="103">
        <v>0</v>
      </c>
      <c r="BR45" s="103">
        <v>0</v>
      </c>
      <c r="BS45" s="103">
        <v>0</v>
      </c>
      <c r="BT45" s="103">
        <v>0</v>
      </c>
      <c r="BU45" s="103">
        <v>0</v>
      </c>
      <c r="BV45" s="103">
        <v>0</v>
      </c>
      <c r="BW45" s="103">
        <v>0</v>
      </c>
      <c r="BX45" s="103">
        <v>1424.4787725196354</v>
      </c>
      <c r="BY45" s="103"/>
      <c r="BZ45" s="103">
        <v>0</v>
      </c>
      <c r="CA45" s="103">
        <v>-144.98398076032771</v>
      </c>
      <c r="CB45" s="103">
        <v>759.57743011797675</v>
      </c>
      <c r="CC45" s="103">
        <v>1279.4947917593076</v>
      </c>
      <c r="CD45" s="114">
        <v>0.63501220820462301</v>
      </c>
      <c r="CE45" s="103">
        <v>67.280605596571519</v>
      </c>
      <c r="CF45" s="103">
        <v>12.019760588206129</v>
      </c>
      <c r="CG45" s="103">
        <v>0</v>
      </c>
      <c r="CH45" s="103">
        <v>12.019760588206129</v>
      </c>
      <c r="CI45" s="103">
        <v>0.60098309022442808</v>
      </c>
      <c r="CJ45" s="103">
        <v>0</v>
      </c>
      <c r="CK45" s="103">
        <v>0.60098309022442808</v>
      </c>
      <c r="CL45" s="103"/>
      <c r="CM45" s="103">
        <v>0</v>
      </c>
      <c r="CN45" s="103"/>
      <c r="CO45" s="103">
        <v>0</v>
      </c>
      <c r="CP45" s="103">
        <v>0</v>
      </c>
      <c r="CQ45" s="103">
        <v>0</v>
      </c>
      <c r="CR45" s="103">
        <v>0</v>
      </c>
      <c r="CS45" s="103">
        <v>0</v>
      </c>
      <c r="CT45" s="103">
        <v>0</v>
      </c>
      <c r="CU45" s="103">
        <v>0</v>
      </c>
      <c r="CV45" s="103">
        <v>9999</v>
      </c>
      <c r="CW45" s="134">
        <v>9999</v>
      </c>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row>
    <row r="46" spans="1:131">
      <c r="A46" s="79" t="s">
        <v>204</v>
      </c>
      <c r="B46" s="79" t="s">
        <v>204</v>
      </c>
      <c r="C46" s="103">
        <v>8.5616438356164384</v>
      </c>
      <c r="D46" s="103">
        <v>1524.8797604612853</v>
      </c>
      <c r="E46" s="103">
        <v>0</v>
      </c>
      <c r="F46" s="103">
        <v>478.33580553194651</v>
      </c>
      <c r="G46" s="103">
        <v>0</v>
      </c>
      <c r="H46" s="103">
        <v>-104.44684026903448</v>
      </c>
      <c r="I46" s="103" t="s">
        <v>710</v>
      </c>
      <c r="J46" s="103"/>
      <c r="K46" s="103"/>
      <c r="L46" s="103">
        <v>1636.755308990244</v>
      </c>
      <c r="M46" s="103">
        <v>0.20557028264941321</v>
      </c>
      <c r="N46" s="103">
        <v>0.2040865685359228</v>
      </c>
      <c r="O46" s="103">
        <v>0</v>
      </c>
      <c r="P46" s="103">
        <v>0</v>
      </c>
      <c r="Q46" s="103">
        <v>0</v>
      </c>
      <c r="R46" s="103">
        <v>95.386549472967388</v>
      </c>
      <c r="S46" s="103">
        <v>220.42380761975141</v>
      </c>
      <c r="T46" s="103">
        <v>0</v>
      </c>
      <c r="U46" s="103">
        <v>702.32627244588855</v>
      </c>
      <c r="V46" s="103" t="s">
        <v>379</v>
      </c>
      <c r="W46" s="103" t="s">
        <v>379</v>
      </c>
      <c r="X46" s="103" t="s">
        <v>379</v>
      </c>
      <c r="Y46" s="103" t="s">
        <v>379</v>
      </c>
      <c r="Z46" s="103">
        <v>0</v>
      </c>
      <c r="AA46" s="103">
        <v>0</v>
      </c>
      <c r="AB46" s="103">
        <v>0</v>
      </c>
      <c r="AC46" s="103">
        <v>0</v>
      </c>
      <c r="AD46" s="103">
        <v>0</v>
      </c>
      <c r="AE46" s="103">
        <v>0</v>
      </c>
      <c r="AF46" s="103">
        <v>0</v>
      </c>
      <c r="AG46" s="103">
        <v>-104.44684026903448</v>
      </c>
      <c r="AH46" s="103">
        <v>95.386549472967388</v>
      </c>
      <c r="AI46" s="103">
        <v>220.42380761975141</v>
      </c>
      <c r="AJ46" s="103">
        <v>0</v>
      </c>
      <c r="AK46" s="103">
        <v>597.87943217685404</v>
      </c>
      <c r="AL46" s="103">
        <v>913.68978926957288</v>
      </c>
      <c r="AM46" s="103">
        <v>824.00390406550707</v>
      </c>
      <c r="AN46" s="103">
        <v>72.637947928852128</v>
      </c>
      <c r="AO46" s="103">
        <v>0</v>
      </c>
      <c r="AP46" s="103">
        <v>0</v>
      </c>
      <c r="AQ46" s="103">
        <v>896.64185199435917</v>
      </c>
      <c r="AR46" s="103">
        <v>95.386549472967388</v>
      </c>
      <c r="AS46" s="134">
        <v>9.4000868775368378</v>
      </c>
      <c r="AT46" s="103">
        <v>824.00390406550707</v>
      </c>
      <c r="AU46" s="103">
        <v>85.981695139861955</v>
      </c>
      <c r="AV46" s="103">
        <v>0</v>
      </c>
      <c r="AW46" s="103">
        <v>0</v>
      </c>
      <c r="AX46" s="103">
        <v>909.985599205369</v>
      </c>
      <c r="AY46" s="103">
        <v>220.42380761975141</v>
      </c>
      <c r="AZ46" s="134">
        <v>4.1283453408770008</v>
      </c>
      <c r="BA46" s="103">
        <v>824.00390406550707</v>
      </c>
      <c r="BB46" s="103">
        <v>158.61964306871408</v>
      </c>
      <c r="BC46" s="103">
        <v>0</v>
      </c>
      <c r="BD46" s="103">
        <v>0</v>
      </c>
      <c r="BE46" s="103">
        <v>982.6235471342211</v>
      </c>
      <c r="BF46" s="103">
        <v>315.81035709271879</v>
      </c>
      <c r="BG46" s="103">
        <v>7.0666444823868009</v>
      </c>
      <c r="BH46" s="134">
        <v>3.1114354708947451</v>
      </c>
      <c r="BI46" s="103">
        <v>4.2881848187554139</v>
      </c>
      <c r="BJ46" s="103">
        <v>9.9093428869146507</v>
      </c>
      <c r="BK46" s="103">
        <v>0</v>
      </c>
      <c r="BL46" s="103">
        <v>26.878186900276539</v>
      </c>
      <c r="BM46" s="103">
        <v>41.075714605946608</v>
      </c>
      <c r="BN46" s="103">
        <v>824.00390406550707</v>
      </c>
      <c r="BO46" s="103">
        <v>0</v>
      </c>
      <c r="BP46" s="103">
        <v>158.61964306871408</v>
      </c>
      <c r="BQ46" s="103">
        <v>0</v>
      </c>
      <c r="BR46" s="103">
        <v>0</v>
      </c>
      <c r="BS46" s="103">
        <v>0</v>
      </c>
      <c r="BT46" s="103">
        <v>0</v>
      </c>
      <c r="BU46" s="103">
        <v>0</v>
      </c>
      <c r="BV46" s="103">
        <v>0</v>
      </c>
      <c r="BW46" s="103">
        <v>0</v>
      </c>
      <c r="BX46" s="103">
        <v>1018.1366295386074</v>
      </c>
      <c r="BY46" s="103"/>
      <c r="BZ46" s="103">
        <v>0</v>
      </c>
      <c r="CA46" s="103">
        <v>-104.44684026903448</v>
      </c>
      <c r="CB46" s="103">
        <v>982.6235471342211</v>
      </c>
      <c r="CC46" s="103">
        <v>913.68978926957288</v>
      </c>
      <c r="CD46" s="134">
        <v>1.0677058028016213</v>
      </c>
      <c r="CE46" s="103">
        <v>33.944831382663345</v>
      </c>
      <c r="CF46" s="103">
        <v>15.54930322646999</v>
      </c>
      <c r="CG46" s="103">
        <v>0</v>
      </c>
      <c r="CH46" s="103">
        <v>15.54930322646999</v>
      </c>
      <c r="CI46" s="103">
        <v>0.77745877177036571</v>
      </c>
      <c r="CJ46" s="103">
        <v>0</v>
      </c>
      <c r="CK46" s="103">
        <v>0.77745877177036571</v>
      </c>
      <c r="CL46" s="103"/>
      <c r="CM46" s="103">
        <v>0</v>
      </c>
      <c r="CN46" s="103"/>
      <c r="CO46" s="103">
        <v>0</v>
      </c>
      <c r="CP46" s="103">
        <v>0</v>
      </c>
      <c r="CQ46" s="103">
        <v>0</v>
      </c>
      <c r="CR46" s="103">
        <v>0</v>
      </c>
      <c r="CS46" s="103">
        <v>0</v>
      </c>
      <c r="CT46" s="103">
        <v>0</v>
      </c>
      <c r="CU46" s="103">
        <v>0</v>
      </c>
      <c r="CV46" s="103">
        <v>9999</v>
      </c>
      <c r="CW46" s="134">
        <v>9999</v>
      </c>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row>
    <row r="47" spans="1:131">
      <c r="A47" s="79" t="s">
        <v>206</v>
      </c>
      <c r="B47" s="79" t="s">
        <v>206</v>
      </c>
      <c r="C47" s="103">
        <v>8.5616438356164384</v>
      </c>
      <c r="D47" s="103">
        <v>1326.769464302999</v>
      </c>
      <c r="E47" s="103">
        <v>0</v>
      </c>
      <c r="F47" s="103">
        <v>573.78861149399609</v>
      </c>
      <c r="G47" s="103">
        <v>0</v>
      </c>
      <c r="H47" s="103">
        <v>-104.89384852672865</v>
      </c>
      <c r="I47" s="103" t="s">
        <v>710</v>
      </c>
      <c r="J47" s="103"/>
      <c r="K47" s="103"/>
      <c r="L47" s="103">
        <v>1424.1102943402925</v>
      </c>
      <c r="M47" s="103">
        <v>0.17886287224697064</v>
      </c>
      <c r="N47" s="103">
        <v>0.1775719202449984</v>
      </c>
      <c r="O47" s="103">
        <v>0</v>
      </c>
      <c r="P47" s="103">
        <v>0</v>
      </c>
      <c r="Q47" s="103">
        <v>0</v>
      </c>
      <c r="R47" s="103">
        <v>114.42111408831586</v>
      </c>
      <c r="S47" s="103">
        <v>264.40979130488677</v>
      </c>
      <c r="T47" s="103">
        <v>0</v>
      </c>
      <c r="U47" s="103">
        <v>842.47679563591896</v>
      </c>
      <c r="V47" s="103" t="s">
        <v>379</v>
      </c>
      <c r="W47" s="103" t="s">
        <v>379</v>
      </c>
      <c r="X47" s="103" t="s">
        <v>379</v>
      </c>
      <c r="Y47" s="103" t="s">
        <v>379</v>
      </c>
      <c r="Z47" s="103">
        <v>0</v>
      </c>
      <c r="AA47" s="103">
        <v>0</v>
      </c>
      <c r="AB47" s="103">
        <v>0</v>
      </c>
      <c r="AC47" s="103">
        <v>0</v>
      </c>
      <c r="AD47" s="103">
        <v>0</v>
      </c>
      <c r="AE47" s="103">
        <v>0</v>
      </c>
      <c r="AF47" s="103">
        <v>0</v>
      </c>
      <c r="AG47" s="103">
        <v>-104.89384852672865</v>
      </c>
      <c r="AH47" s="103">
        <v>114.42111408831586</v>
      </c>
      <c r="AI47" s="103">
        <v>264.40979130488677</v>
      </c>
      <c r="AJ47" s="103">
        <v>0</v>
      </c>
      <c r="AK47" s="103">
        <v>737.58294710919029</v>
      </c>
      <c r="AL47" s="103">
        <v>1116.413852502393</v>
      </c>
      <c r="AM47" s="103">
        <v>716.95044207935075</v>
      </c>
      <c r="AN47" s="103">
        <v>63.200924925699461</v>
      </c>
      <c r="AO47" s="103">
        <v>0</v>
      </c>
      <c r="AP47" s="103">
        <v>0</v>
      </c>
      <c r="AQ47" s="103">
        <v>780.15136700505025</v>
      </c>
      <c r="AR47" s="103">
        <v>114.42111408831586</v>
      </c>
      <c r="AS47" s="134">
        <v>6.8182465554643255</v>
      </c>
      <c r="AT47" s="103">
        <v>716.95044207935075</v>
      </c>
      <c r="AU47" s="103">
        <v>74.811070720795158</v>
      </c>
      <c r="AV47" s="103">
        <v>0</v>
      </c>
      <c r="AW47" s="103">
        <v>0</v>
      </c>
      <c r="AX47" s="103">
        <v>791.76151280014597</v>
      </c>
      <c r="AY47" s="103">
        <v>264.40979130488677</v>
      </c>
      <c r="AZ47" s="134">
        <v>2.9944485372222025</v>
      </c>
      <c r="BA47" s="103">
        <v>716.95044207935075</v>
      </c>
      <c r="BB47" s="103">
        <v>138.01199564649463</v>
      </c>
      <c r="BC47" s="103">
        <v>0</v>
      </c>
      <c r="BD47" s="103">
        <v>0</v>
      </c>
      <c r="BE47" s="103">
        <v>854.96243772584546</v>
      </c>
      <c r="BF47" s="103">
        <v>378.83090539320261</v>
      </c>
      <c r="BG47" s="103">
        <v>12.442770031097524</v>
      </c>
      <c r="BH47" s="134">
        <v>2.2568444800944851</v>
      </c>
      <c r="BI47" s="103">
        <v>5.9119759773032108</v>
      </c>
      <c r="BJ47" s="103">
        <v>13.661677277077578</v>
      </c>
      <c r="BK47" s="103">
        <v>0</v>
      </c>
      <c r="BL47" s="103">
        <v>38.109860223982196</v>
      </c>
      <c r="BM47" s="103">
        <v>57.683513478362997</v>
      </c>
      <c r="BN47" s="103">
        <v>716.95044207935075</v>
      </c>
      <c r="BO47" s="103">
        <v>0</v>
      </c>
      <c r="BP47" s="103">
        <v>138.01199564649463</v>
      </c>
      <c r="BQ47" s="103">
        <v>0</v>
      </c>
      <c r="BR47" s="103">
        <v>0</v>
      </c>
      <c r="BS47" s="103">
        <v>0</v>
      </c>
      <c r="BT47" s="103">
        <v>0</v>
      </c>
      <c r="BU47" s="103">
        <v>0</v>
      </c>
      <c r="BV47" s="103">
        <v>0</v>
      </c>
      <c r="BW47" s="103">
        <v>0</v>
      </c>
      <c r="BX47" s="103">
        <v>1221.3077010291215</v>
      </c>
      <c r="BY47" s="103"/>
      <c r="BZ47" s="103">
        <v>0</v>
      </c>
      <c r="CA47" s="103">
        <v>-104.89384852672865</v>
      </c>
      <c r="CB47" s="103">
        <v>854.96243772584535</v>
      </c>
      <c r="CC47" s="103">
        <v>1116.413852502393</v>
      </c>
      <c r="CD47" s="114">
        <v>0.78592502564567612</v>
      </c>
      <c r="CE47" s="103">
        <v>50.552630255079734</v>
      </c>
      <c r="CF47" s="103">
        <v>13.529158984855092</v>
      </c>
      <c r="CG47" s="103">
        <v>0</v>
      </c>
      <c r="CH47" s="103">
        <v>13.529158984855092</v>
      </c>
      <c r="CI47" s="103">
        <v>0.67645238981163891</v>
      </c>
      <c r="CJ47" s="103">
        <v>0</v>
      </c>
      <c r="CK47" s="103">
        <v>0.67645238981163891</v>
      </c>
      <c r="CL47" s="103"/>
      <c r="CM47" s="103">
        <v>0</v>
      </c>
      <c r="CN47" s="103"/>
      <c r="CO47" s="103">
        <v>0</v>
      </c>
      <c r="CP47" s="103">
        <v>0</v>
      </c>
      <c r="CQ47" s="103">
        <v>0</v>
      </c>
      <c r="CR47" s="103">
        <v>0</v>
      </c>
      <c r="CS47" s="103">
        <v>0</v>
      </c>
      <c r="CT47" s="103">
        <v>0</v>
      </c>
      <c r="CU47" s="103">
        <v>0</v>
      </c>
      <c r="CV47" s="103">
        <v>9999</v>
      </c>
      <c r="CW47" s="134">
        <v>9999</v>
      </c>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row>
    <row r="48" spans="1:131">
      <c r="A48" s="79"/>
      <c r="B48" s="79"/>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row>
    <row r="49" spans="1:131">
      <c r="A49" s="79"/>
      <c r="B49" s="79"/>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row>
    <row r="50" spans="1:131" ht="15.75" thickBot="1">
      <c r="A50" s="101" t="s">
        <v>380</v>
      </c>
      <c r="B50" s="102"/>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row>
    <row r="51" spans="1:131" ht="27" thickBot="1">
      <c r="A51" s="127" t="s">
        <v>282</v>
      </c>
      <c r="B51" s="128"/>
      <c r="C51" s="129" t="s">
        <v>283</v>
      </c>
      <c r="D51" s="130"/>
      <c r="E51" s="130"/>
      <c r="F51" s="130"/>
      <c r="G51" s="130"/>
      <c r="H51" s="130"/>
      <c r="I51" s="130"/>
      <c r="J51" s="130"/>
      <c r="K51" s="131"/>
      <c r="L51" s="129" t="s">
        <v>284</v>
      </c>
      <c r="M51" s="130"/>
      <c r="N51" s="130"/>
      <c r="O51" s="130"/>
      <c r="P51" s="130"/>
      <c r="Q51" s="131"/>
      <c r="R51" s="129" t="s">
        <v>285</v>
      </c>
      <c r="S51" s="130"/>
      <c r="T51" s="130"/>
      <c r="U51" s="131"/>
      <c r="V51" s="129" t="s">
        <v>286</v>
      </c>
      <c r="W51" s="130"/>
      <c r="X51" s="130"/>
      <c r="Y51" s="131"/>
      <c r="Z51" s="129" t="s">
        <v>287</v>
      </c>
      <c r="AA51" s="130"/>
      <c r="AB51" s="130"/>
      <c r="AC51" s="131"/>
      <c r="AD51" s="129" t="s">
        <v>288</v>
      </c>
      <c r="AE51" s="130"/>
      <c r="AF51" s="130"/>
      <c r="AG51" s="131"/>
      <c r="AH51" s="129" t="s">
        <v>289</v>
      </c>
      <c r="AI51" s="130"/>
      <c r="AJ51" s="130"/>
      <c r="AK51" s="130"/>
      <c r="AL51" s="131"/>
      <c r="AM51" s="129" t="s">
        <v>290</v>
      </c>
      <c r="AN51" s="130"/>
      <c r="AO51" s="130"/>
      <c r="AP51" s="130"/>
      <c r="AQ51" s="130"/>
      <c r="AR51" s="130"/>
      <c r="AS51" s="131"/>
      <c r="AT51" s="129" t="s">
        <v>291</v>
      </c>
      <c r="AU51" s="130"/>
      <c r="AV51" s="130"/>
      <c r="AW51" s="130"/>
      <c r="AX51" s="130"/>
      <c r="AY51" s="130"/>
      <c r="AZ51" s="131"/>
      <c r="BA51" s="129" t="s">
        <v>292</v>
      </c>
      <c r="BB51" s="130"/>
      <c r="BC51" s="130"/>
      <c r="BD51" s="130"/>
      <c r="BE51" s="130"/>
      <c r="BF51" s="131"/>
      <c r="BG51" s="129" t="s">
        <v>293</v>
      </c>
      <c r="BH51" s="131"/>
      <c r="BI51" s="129" t="s">
        <v>294</v>
      </c>
      <c r="BJ51" s="130"/>
      <c r="BK51" s="130"/>
      <c r="BL51" s="130"/>
      <c r="BM51" s="131"/>
      <c r="BN51" s="129" t="s">
        <v>295</v>
      </c>
      <c r="BO51" s="130"/>
      <c r="BP51" s="130"/>
      <c r="BQ51" s="130"/>
      <c r="BR51" s="130"/>
      <c r="BS51" s="130"/>
      <c r="BT51" s="130"/>
      <c r="BU51" s="130"/>
      <c r="BV51" s="130"/>
      <c r="BW51" s="130"/>
      <c r="BX51" s="130"/>
      <c r="BY51" s="130"/>
      <c r="BZ51" s="130"/>
      <c r="CA51" s="130"/>
      <c r="CB51" s="130"/>
      <c r="CC51" s="131"/>
      <c r="CD51" s="129" t="s">
        <v>296</v>
      </c>
      <c r="CE51" s="131"/>
      <c r="CF51" s="129" t="s">
        <v>297</v>
      </c>
      <c r="CG51" s="130"/>
      <c r="CH51" s="130"/>
      <c r="CI51" s="130"/>
      <c r="CJ51" s="130"/>
      <c r="CK51" s="131"/>
      <c r="CL51" s="132"/>
      <c r="CM51" s="129" t="s">
        <v>155</v>
      </c>
      <c r="CN51" s="130"/>
      <c r="CO51" s="130"/>
      <c r="CP51" s="131"/>
      <c r="CQ51" s="129" t="s">
        <v>298</v>
      </c>
      <c r="CR51" s="130"/>
      <c r="CS51" s="130"/>
      <c r="CT51" s="130"/>
      <c r="CU51" s="131"/>
      <c r="CV51" s="129" t="s">
        <v>299</v>
      </c>
      <c r="CW51" s="131"/>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row>
    <row r="52" spans="1:131" ht="128.25">
      <c r="A52" s="110" t="s">
        <v>178</v>
      </c>
      <c r="B52" s="111" t="s">
        <v>179</v>
      </c>
      <c r="C52" s="112" t="s">
        <v>300</v>
      </c>
      <c r="D52" s="112" t="s">
        <v>301</v>
      </c>
      <c r="E52" s="112" t="s">
        <v>302</v>
      </c>
      <c r="F52" s="112" t="s">
        <v>303</v>
      </c>
      <c r="G52" s="112" t="s">
        <v>304</v>
      </c>
      <c r="H52" s="112" t="s">
        <v>305</v>
      </c>
      <c r="I52" s="112" t="s">
        <v>306</v>
      </c>
      <c r="J52" s="112" t="s">
        <v>307</v>
      </c>
      <c r="K52" s="112" t="s">
        <v>308</v>
      </c>
      <c r="L52" s="112" t="s">
        <v>309</v>
      </c>
      <c r="M52" s="112" t="s">
        <v>310</v>
      </c>
      <c r="N52" s="112" t="s">
        <v>311</v>
      </c>
      <c r="O52" s="112" t="s">
        <v>312</v>
      </c>
      <c r="P52" s="112" t="s">
        <v>313</v>
      </c>
      <c r="Q52" s="112" t="s">
        <v>314</v>
      </c>
      <c r="R52" s="112" t="s">
        <v>315</v>
      </c>
      <c r="S52" s="112" t="s">
        <v>316</v>
      </c>
      <c r="T52" s="112" t="s">
        <v>317</v>
      </c>
      <c r="U52" s="112" t="s">
        <v>223</v>
      </c>
      <c r="V52" s="112" t="s">
        <v>315</v>
      </c>
      <c r="W52" s="112" t="s">
        <v>316</v>
      </c>
      <c r="X52" s="112" t="s">
        <v>317</v>
      </c>
      <c r="Y52" s="112" t="s">
        <v>223</v>
      </c>
      <c r="Z52" s="112" t="s">
        <v>315</v>
      </c>
      <c r="AA52" s="112" t="s">
        <v>316</v>
      </c>
      <c r="AB52" s="112" t="s">
        <v>317</v>
      </c>
      <c r="AC52" s="112" t="s">
        <v>223</v>
      </c>
      <c r="AD52" s="112" t="s">
        <v>315</v>
      </c>
      <c r="AE52" s="112" t="s">
        <v>316</v>
      </c>
      <c r="AF52" s="112" t="s">
        <v>317</v>
      </c>
      <c r="AG52" s="112" t="s">
        <v>223</v>
      </c>
      <c r="AH52" s="112" t="s">
        <v>315</v>
      </c>
      <c r="AI52" s="112" t="s">
        <v>316</v>
      </c>
      <c r="AJ52" s="112" t="s">
        <v>317</v>
      </c>
      <c r="AK52" s="112" t="s">
        <v>223</v>
      </c>
      <c r="AL52" s="112" t="s">
        <v>318</v>
      </c>
      <c r="AM52" s="112" t="s">
        <v>319</v>
      </c>
      <c r="AN52" s="112" t="s">
        <v>320</v>
      </c>
      <c r="AO52" s="112" t="s">
        <v>321</v>
      </c>
      <c r="AP52" s="112" t="s">
        <v>322</v>
      </c>
      <c r="AQ52" s="112" t="s">
        <v>323</v>
      </c>
      <c r="AR52" s="112" t="s">
        <v>324</v>
      </c>
      <c r="AS52" s="112" t="s">
        <v>325</v>
      </c>
      <c r="AT52" s="112" t="s">
        <v>326</v>
      </c>
      <c r="AU52" s="112" t="s">
        <v>327</v>
      </c>
      <c r="AV52" s="112" t="s">
        <v>328</v>
      </c>
      <c r="AW52" s="112" t="s">
        <v>329</v>
      </c>
      <c r="AX52" s="112" t="s">
        <v>330</v>
      </c>
      <c r="AY52" s="112" t="s">
        <v>331</v>
      </c>
      <c r="AZ52" s="112" t="s">
        <v>332</v>
      </c>
      <c r="BA52" s="112" t="s">
        <v>333</v>
      </c>
      <c r="BB52" s="112" t="s">
        <v>334</v>
      </c>
      <c r="BC52" s="112" t="s">
        <v>335</v>
      </c>
      <c r="BD52" s="112" t="s">
        <v>336</v>
      </c>
      <c r="BE52" s="112" t="s">
        <v>337</v>
      </c>
      <c r="BF52" s="112" t="s">
        <v>338</v>
      </c>
      <c r="BG52" s="112" t="s">
        <v>339</v>
      </c>
      <c r="BH52" s="112" t="s">
        <v>340</v>
      </c>
      <c r="BI52" s="112" t="s">
        <v>341</v>
      </c>
      <c r="BJ52" s="112" t="s">
        <v>342</v>
      </c>
      <c r="BK52" s="112" t="s">
        <v>343</v>
      </c>
      <c r="BL52" s="112" t="s">
        <v>344</v>
      </c>
      <c r="BM52" s="112" t="s">
        <v>345</v>
      </c>
      <c r="BN52" s="112" t="s">
        <v>346</v>
      </c>
      <c r="BO52" s="112" t="s">
        <v>347</v>
      </c>
      <c r="BP52" s="112" t="s">
        <v>348</v>
      </c>
      <c r="BQ52" s="112" t="s">
        <v>349</v>
      </c>
      <c r="BR52" s="112" t="s">
        <v>350</v>
      </c>
      <c r="BS52" s="112" t="s">
        <v>351</v>
      </c>
      <c r="BT52" s="112" t="s">
        <v>352</v>
      </c>
      <c r="BU52" s="112" t="s">
        <v>353</v>
      </c>
      <c r="BV52" s="112" t="s">
        <v>354</v>
      </c>
      <c r="BW52" s="112" t="s">
        <v>355</v>
      </c>
      <c r="BX52" s="112" t="s">
        <v>356</v>
      </c>
      <c r="BY52" s="112" t="s">
        <v>357</v>
      </c>
      <c r="BZ52" s="112" t="s">
        <v>358</v>
      </c>
      <c r="CA52" s="112" t="s">
        <v>359</v>
      </c>
      <c r="CB52" s="112" t="s">
        <v>360</v>
      </c>
      <c r="CC52" s="112" t="s">
        <v>361</v>
      </c>
      <c r="CD52" s="112" t="s">
        <v>188</v>
      </c>
      <c r="CE52" s="112" t="s">
        <v>187</v>
      </c>
      <c r="CF52" s="112" t="s">
        <v>362</v>
      </c>
      <c r="CG52" s="112" t="s">
        <v>363</v>
      </c>
      <c r="CH52" s="112" t="s">
        <v>364</v>
      </c>
      <c r="CI52" s="112" t="s">
        <v>365</v>
      </c>
      <c r="CJ52" s="112" t="s">
        <v>366</v>
      </c>
      <c r="CK52" s="112" t="s">
        <v>367</v>
      </c>
      <c r="CL52" s="112"/>
      <c r="CM52" s="112" t="s">
        <v>368</v>
      </c>
      <c r="CN52" s="112" t="s">
        <v>369</v>
      </c>
      <c r="CO52" s="112" t="s">
        <v>370</v>
      </c>
      <c r="CP52" s="112" t="s">
        <v>371</v>
      </c>
      <c r="CQ52" s="112" t="s">
        <v>372</v>
      </c>
      <c r="CR52" s="112" t="s">
        <v>373</v>
      </c>
      <c r="CS52" s="112" t="s">
        <v>374</v>
      </c>
      <c r="CT52" s="112" t="s">
        <v>375</v>
      </c>
      <c r="CU52" s="112" t="s">
        <v>376</v>
      </c>
      <c r="CV52" s="112" t="s">
        <v>377</v>
      </c>
      <c r="CW52" s="112" t="s">
        <v>378</v>
      </c>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row>
    <row r="53" spans="1:131">
      <c r="A53" s="79" t="s">
        <v>203</v>
      </c>
      <c r="B53" s="79"/>
      <c r="C53" s="103">
        <v>8.5616438356164384</v>
      </c>
      <c r="D53" s="103">
        <v>1524.8797604612853</v>
      </c>
      <c r="E53" s="103">
        <v>0</v>
      </c>
      <c r="F53" s="103">
        <v>351.83994045781247</v>
      </c>
      <c r="G53" s="103">
        <v>0</v>
      </c>
      <c r="H53" s="103">
        <v>-104.44684026903448</v>
      </c>
      <c r="I53" s="103"/>
      <c r="J53" s="103"/>
      <c r="K53" s="103"/>
      <c r="L53" s="103">
        <v>1636.755308990244</v>
      </c>
      <c r="M53" s="103">
        <v>0.20557028264941321</v>
      </c>
      <c r="N53" s="103">
        <v>0.2040865685359228</v>
      </c>
      <c r="O53" s="103">
        <v>0</v>
      </c>
      <c r="P53" s="103">
        <v>0</v>
      </c>
      <c r="Q53" s="103">
        <v>0</v>
      </c>
      <c r="R53" s="103">
        <v>70.1615841818967</v>
      </c>
      <c r="S53" s="103">
        <v>162.13274952764974</v>
      </c>
      <c r="T53" s="103">
        <v>0</v>
      </c>
      <c r="U53" s="103">
        <v>516.59614651785739</v>
      </c>
      <c r="V53" s="103">
        <v>21.11039642746875</v>
      </c>
      <c r="W53" s="103">
        <v>49.257591664093745</v>
      </c>
      <c r="X53" s="103">
        <v>0</v>
      </c>
      <c r="Y53" s="103">
        <v>0</v>
      </c>
      <c r="Z53" s="103">
        <v>0</v>
      </c>
      <c r="AA53" s="103">
        <v>0</v>
      </c>
      <c r="AB53" s="103">
        <v>0</v>
      </c>
      <c r="AC53" s="103">
        <v>0</v>
      </c>
      <c r="AD53" s="103">
        <v>0</v>
      </c>
      <c r="AE53" s="103">
        <v>0</v>
      </c>
      <c r="AF53" s="103">
        <v>0</v>
      </c>
      <c r="AG53" s="103">
        <v>-104.44684026903448</v>
      </c>
      <c r="AH53" s="103">
        <v>91.271980609365443</v>
      </c>
      <c r="AI53" s="103">
        <v>211.39034119174349</v>
      </c>
      <c r="AJ53" s="103">
        <v>0</v>
      </c>
      <c r="AK53" s="103">
        <v>412.14930624882288</v>
      </c>
      <c r="AL53" s="103">
        <v>714.81162804993187</v>
      </c>
      <c r="AM53" s="103">
        <v>824.00390406550707</v>
      </c>
      <c r="AN53" s="103">
        <v>72.637947928852128</v>
      </c>
      <c r="AO53" s="103">
        <v>0</v>
      </c>
      <c r="AP53" s="103">
        <v>0</v>
      </c>
      <c r="AQ53" s="103">
        <v>896.64185199435917</v>
      </c>
      <c r="AR53" s="103">
        <v>91.271980609365443</v>
      </c>
      <c r="AS53" s="134">
        <v>9.8238456753983758</v>
      </c>
      <c r="AT53" s="103">
        <v>824.00390406550707</v>
      </c>
      <c r="AU53" s="103">
        <v>85.981695139861955</v>
      </c>
      <c r="AV53" s="103">
        <v>0</v>
      </c>
      <c r="AW53" s="103">
        <v>0</v>
      </c>
      <c r="AX53" s="103">
        <v>909.985599205369</v>
      </c>
      <c r="AY53" s="103">
        <v>211.39034119174349</v>
      </c>
      <c r="AZ53" s="134">
        <v>4.3047643240234823</v>
      </c>
      <c r="BA53" s="103">
        <v>824.00390406550707</v>
      </c>
      <c r="BB53" s="103">
        <v>158.61964306871408</v>
      </c>
      <c r="BC53" s="103">
        <v>0</v>
      </c>
      <c r="BD53" s="103">
        <v>0</v>
      </c>
      <c r="BE53" s="103">
        <v>982.6235471342211</v>
      </c>
      <c r="BF53" s="103">
        <v>302.66232180110893</v>
      </c>
      <c r="BG53" s="103">
        <v>6.4755631858574594</v>
      </c>
      <c r="BH53" s="134">
        <v>3.2466001756899918</v>
      </c>
      <c r="BI53" s="103">
        <v>4.1032108173463167</v>
      </c>
      <c r="BJ53" s="103">
        <v>9.5032355917944056</v>
      </c>
      <c r="BK53" s="103">
        <v>0</v>
      </c>
      <c r="BL53" s="103">
        <v>18.528528475785283</v>
      </c>
      <c r="BM53" s="103">
        <v>32.134974884926002</v>
      </c>
      <c r="BN53" s="103">
        <v>824.00390406550707</v>
      </c>
      <c r="BO53" s="103">
        <v>0</v>
      </c>
      <c r="BP53" s="103">
        <v>158.61964306871408</v>
      </c>
      <c r="BQ53" s="103">
        <v>0</v>
      </c>
      <c r="BR53" s="103">
        <v>0</v>
      </c>
      <c r="BS53" s="103">
        <v>0</v>
      </c>
      <c r="BT53" s="103">
        <v>0</v>
      </c>
      <c r="BU53" s="103">
        <v>0</v>
      </c>
      <c r="BV53" s="103">
        <v>0</v>
      </c>
      <c r="BW53" s="103">
        <v>0</v>
      </c>
      <c r="BX53" s="103">
        <v>748.89048022740383</v>
      </c>
      <c r="BY53" s="103">
        <v>70.367988091562495</v>
      </c>
      <c r="BZ53" s="103">
        <v>0</v>
      </c>
      <c r="CA53" s="103">
        <v>-104.44684026903448</v>
      </c>
      <c r="CB53" s="103">
        <v>982.6235471342211</v>
      </c>
      <c r="CC53" s="103">
        <v>714.81162804993187</v>
      </c>
      <c r="CD53" s="134">
        <v>1.3268955152014621</v>
      </c>
      <c r="CE53" s="103">
        <v>25.00409166164275</v>
      </c>
      <c r="CF53" s="103">
        <v>15.54930322646999</v>
      </c>
      <c r="CG53" s="103">
        <v>0</v>
      </c>
      <c r="CH53" s="103">
        <v>15.54930322646999</v>
      </c>
      <c r="CI53" s="103">
        <v>0.77745877177036571</v>
      </c>
      <c r="CJ53" s="103">
        <v>0</v>
      </c>
      <c r="CK53" s="103">
        <v>0.77745877177036571</v>
      </c>
      <c r="CL53" s="103"/>
      <c r="CM53" s="103">
        <v>0</v>
      </c>
      <c r="CN53" s="103"/>
      <c r="CO53" s="103">
        <v>0</v>
      </c>
      <c r="CP53" s="103">
        <v>0</v>
      </c>
      <c r="CQ53" s="103">
        <v>0</v>
      </c>
      <c r="CR53" s="103">
        <v>0</v>
      </c>
      <c r="CS53" s="103">
        <v>0</v>
      </c>
      <c r="CT53" s="103">
        <v>0</v>
      </c>
      <c r="CU53" s="103">
        <v>0</v>
      </c>
      <c r="CV53" s="103">
        <v>9999</v>
      </c>
      <c r="CW53" s="134">
        <v>9999</v>
      </c>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row>
    <row r="54" spans="1:131">
      <c r="A54" s="79" t="s">
        <v>204</v>
      </c>
      <c r="B54" s="79"/>
      <c r="C54" s="103">
        <v>8.5616438356164384</v>
      </c>
      <c r="D54" s="103">
        <v>1524.8797604612853</v>
      </c>
      <c r="E54" s="103">
        <v>0</v>
      </c>
      <c r="F54" s="103">
        <v>478.33580553194651</v>
      </c>
      <c r="G54" s="103">
        <v>0</v>
      </c>
      <c r="H54" s="103">
        <v>-104.44684026903448</v>
      </c>
      <c r="I54" s="103"/>
      <c r="J54" s="103"/>
      <c r="K54" s="103"/>
      <c r="L54" s="103">
        <v>1636.755308990244</v>
      </c>
      <c r="M54" s="103">
        <v>0.20557028264941321</v>
      </c>
      <c r="N54" s="103">
        <v>0.2040865685359228</v>
      </c>
      <c r="O54" s="103">
        <v>0</v>
      </c>
      <c r="P54" s="103">
        <v>0</v>
      </c>
      <c r="Q54" s="103">
        <v>0</v>
      </c>
      <c r="R54" s="103">
        <v>95.386549472967388</v>
      </c>
      <c r="S54" s="103">
        <v>220.42380761975141</v>
      </c>
      <c r="T54" s="103">
        <v>0</v>
      </c>
      <c r="U54" s="103">
        <v>702.32627244588855</v>
      </c>
      <c r="V54" s="103">
        <v>28.70014833191679</v>
      </c>
      <c r="W54" s="103">
        <v>66.967012774472508</v>
      </c>
      <c r="X54" s="103">
        <v>0</v>
      </c>
      <c r="Y54" s="103">
        <v>0</v>
      </c>
      <c r="Z54" s="103">
        <v>0</v>
      </c>
      <c r="AA54" s="103">
        <v>0</v>
      </c>
      <c r="AB54" s="103">
        <v>0</v>
      </c>
      <c r="AC54" s="103">
        <v>0</v>
      </c>
      <c r="AD54" s="103">
        <v>0</v>
      </c>
      <c r="AE54" s="103">
        <v>0</v>
      </c>
      <c r="AF54" s="103">
        <v>0</v>
      </c>
      <c r="AG54" s="103">
        <v>-104.44684026903448</v>
      </c>
      <c r="AH54" s="103">
        <v>124.08669780488418</v>
      </c>
      <c r="AI54" s="103">
        <v>287.39082039422391</v>
      </c>
      <c r="AJ54" s="103">
        <v>0</v>
      </c>
      <c r="AK54" s="103">
        <v>597.87943217685404</v>
      </c>
      <c r="AL54" s="103">
        <v>1009.3569503759622</v>
      </c>
      <c r="AM54" s="103">
        <v>824.00390406550707</v>
      </c>
      <c r="AN54" s="103">
        <v>72.637947928852128</v>
      </c>
      <c r="AO54" s="103">
        <v>0</v>
      </c>
      <c r="AP54" s="103">
        <v>0</v>
      </c>
      <c r="AQ54" s="103">
        <v>896.64185199435917</v>
      </c>
      <c r="AR54" s="103">
        <v>124.08669780488418</v>
      </c>
      <c r="AS54" s="134">
        <v>7.2259304813176071</v>
      </c>
      <c r="AT54" s="103">
        <v>824.00390406550707</v>
      </c>
      <c r="AU54" s="103">
        <v>85.981695139861955</v>
      </c>
      <c r="AV54" s="103">
        <v>0</v>
      </c>
      <c r="AW54" s="103">
        <v>0</v>
      </c>
      <c r="AX54" s="103">
        <v>909.985599205369</v>
      </c>
      <c r="AY54" s="103">
        <v>287.39082039422391</v>
      </c>
      <c r="AZ54" s="134">
        <v>3.1663697468037091</v>
      </c>
      <c r="BA54" s="103">
        <v>824.00390406550707</v>
      </c>
      <c r="BB54" s="103">
        <v>158.61964306871408</v>
      </c>
      <c r="BC54" s="103">
        <v>0</v>
      </c>
      <c r="BD54" s="103">
        <v>0</v>
      </c>
      <c r="BE54" s="103">
        <v>982.6235471342211</v>
      </c>
      <c r="BF54" s="103">
        <v>411.47751819910809</v>
      </c>
      <c r="BG54" s="103">
        <v>11.367444439786551</v>
      </c>
      <c r="BH54" s="134">
        <v>2.3880370218883833</v>
      </c>
      <c r="BI54" s="103">
        <v>5.5784248059753372</v>
      </c>
      <c r="BJ54" s="103">
        <v>12.919902857094472</v>
      </c>
      <c r="BK54" s="103">
        <v>0</v>
      </c>
      <c r="BL54" s="103">
        <v>26.878186900276539</v>
      </c>
      <c r="BM54" s="103">
        <v>45.376514563346355</v>
      </c>
      <c r="BN54" s="103">
        <v>824.00390406550707</v>
      </c>
      <c r="BO54" s="103">
        <v>0</v>
      </c>
      <c r="BP54" s="103">
        <v>158.61964306871408</v>
      </c>
      <c r="BQ54" s="103">
        <v>0</v>
      </c>
      <c r="BR54" s="103">
        <v>0</v>
      </c>
      <c r="BS54" s="103">
        <v>0</v>
      </c>
      <c r="BT54" s="103">
        <v>0</v>
      </c>
      <c r="BU54" s="103">
        <v>0</v>
      </c>
      <c r="BV54" s="103">
        <v>0</v>
      </c>
      <c r="BW54" s="103">
        <v>0</v>
      </c>
      <c r="BX54" s="103">
        <v>1018.1366295386074</v>
      </c>
      <c r="BY54" s="103">
        <v>95.667161106389301</v>
      </c>
      <c r="BZ54" s="103">
        <v>0</v>
      </c>
      <c r="CA54" s="103">
        <v>-104.44684026903448</v>
      </c>
      <c r="CB54" s="103">
        <v>982.6235471342211</v>
      </c>
      <c r="CC54" s="103">
        <v>1009.3569503759622</v>
      </c>
      <c r="CD54" s="114">
        <v>0.97599810355622874</v>
      </c>
      <c r="CE54" s="103">
        <v>38.245631340063099</v>
      </c>
      <c r="CF54" s="103">
        <v>15.54930322646999</v>
      </c>
      <c r="CG54" s="103">
        <v>0</v>
      </c>
      <c r="CH54" s="103">
        <v>15.54930322646999</v>
      </c>
      <c r="CI54" s="103">
        <v>0.77745877177036571</v>
      </c>
      <c r="CJ54" s="103">
        <v>0</v>
      </c>
      <c r="CK54" s="103">
        <v>0.77745877177036571</v>
      </c>
      <c r="CL54" s="103"/>
      <c r="CM54" s="103">
        <v>0</v>
      </c>
      <c r="CN54" s="103"/>
      <c r="CO54" s="103">
        <v>0</v>
      </c>
      <c r="CP54" s="103">
        <v>0</v>
      </c>
      <c r="CQ54" s="103">
        <v>0</v>
      </c>
      <c r="CR54" s="103">
        <v>0</v>
      </c>
      <c r="CS54" s="103">
        <v>0</v>
      </c>
      <c r="CT54" s="103">
        <v>0</v>
      </c>
      <c r="CU54" s="103">
        <v>0</v>
      </c>
      <c r="CV54" s="103">
        <v>9999</v>
      </c>
      <c r="CW54" s="134">
        <v>9999</v>
      </c>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row>
    <row r="55" spans="1:131">
      <c r="A55" s="79" t="s">
        <v>205</v>
      </c>
      <c r="B55" s="79"/>
      <c r="C55" s="103">
        <v>8.5616438356164384</v>
      </c>
      <c r="D55" s="103">
        <v>1326.769464302999</v>
      </c>
      <c r="E55" s="103">
        <v>0</v>
      </c>
      <c r="F55" s="103">
        <v>441.53646962377445</v>
      </c>
      <c r="G55" s="103">
        <v>0</v>
      </c>
      <c r="H55" s="103">
        <v>-104.89384852672865</v>
      </c>
      <c r="I55" s="103"/>
      <c r="J55" s="103"/>
      <c r="K55" s="103"/>
      <c r="L55" s="103">
        <v>1424.1102943402925</v>
      </c>
      <c r="M55" s="103">
        <v>0.17886287224697064</v>
      </c>
      <c r="N55" s="103">
        <v>0.1775719202449984</v>
      </c>
      <c r="O55" s="103">
        <v>0</v>
      </c>
      <c r="P55" s="103">
        <v>0</v>
      </c>
      <c r="Q55" s="103">
        <v>0</v>
      </c>
      <c r="R55" s="103">
        <v>88.04827030886922</v>
      </c>
      <c r="S55" s="103">
        <v>203.46616061748077</v>
      </c>
      <c r="T55" s="103">
        <v>0</v>
      </c>
      <c r="U55" s="103">
        <v>648.29489925999701</v>
      </c>
      <c r="V55" s="103">
        <v>26.492188177426467</v>
      </c>
      <c r="W55" s="103">
        <v>61.815105747328424</v>
      </c>
      <c r="X55" s="103">
        <v>0</v>
      </c>
      <c r="Y55" s="103">
        <v>0</v>
      </c>
      <c r="Z55" s="103">
        <v>0</v>
      </c>
      <c r="AA55" s="103">
        <v>0</v>
      </c>
      <c r="AB55" s="103">
        <v>0</v>
      </c>
      <c r="AC55" s="103">
        <v>0</v>
      </c>
      <c r="AD55" s="103">
        <v>0</v>
      </c>
      <c r="AE55" s="103">
        <v>0</v>
      </c>
      <c r="AF55" s="103">
        <v>0</v>
      </c>
      <c r="AG55" s="103">
        <v>-104.89384852672865</v>
      </c>
      <c r="AH55" s="103">
        <v>114.54045848629569</v>
      </c>
      <c r="AI55" s="103">
        <v>265.2812663648092</v>
      </c>
      <c r="AJ55" s="103">
        <v>0</v>
      </c>
      <c r="AK55" s="103">
        <v>543.40105073326833</v>
      </c>
      <c r="AL55" s="103">
        <v>923.22277558437327</v>
      </c>
      <c r="AM55" s="103">
        <v>716.95044207935075</v>
      </c>
      <c r="AN55" s="103">
        <v>63.200924925699461</v>
      </c>
      <c r="AO55" s="103">
        <v>0</v>
      </c>
      <c r="AP55" s="103">
        <v>0</v>
      </c>
      <c r="AQ55" s="103">
        <v>780.15136700505025</v>
      </c>
      <c r="AR55" s="103">
        <v>114.54045848629569</v>
      </c>
      <c r="AS55" s="134">
        <v>6.8111423449417421</v>
      </c>
      <c r="AT55" s="103">
        <v>716.95044207935075</v>
      </c>
      <c r="AU55" s="103">
        <v>74.811070720795158</v>
      </c>
      <c r="AV55" s="103">
        <v>0</v>
      </c>
      <c r="AW55" s="103">
        <v>0</v>
      </c>
      <c r="AX55" s="103">
        <v>791.76151280014597</v>
      </c>
      <c r="AY55" s="103">
        <v>265.2812663648092</v>
      </c>
      <c r="AZ55" s="134">
        <v>2.9846114791661624</v>
      </c>
      <c r="BA55" s="103">
        <v>716.95044207935075</v>
      </c>
      <c r="BB55" s="103">
        <v>138.01199564649463</v>
      </c>
      <c r="BC55" s="103">
        <v>0</v>
      </c>
      <c r="BD55" s="103">
        <v>0</v>
      </c>
      <c r="BE55" s="103">
        <v>854.96243772584546</v>
      </c>
      <c r="BF55" s="103">
        <v>379.82172485110488</v>
      </c>
      <c r="BG55" s="103">
        <v>12.493964261110364</v>
      </c>
      <c r="BH55" s="134">
        <v>2.2509571775047941</v>
      </c>
      <c r="BI55" s="103">
        <v>5.9181423323461964</v>
      </c>
      <c r="BJ55" s="103">
        <v>13.706705152047434</v>
      </c>
      <c r="BK55" s="103">
        <v>0</v>
      </c>
      <c r="BL55" s="103">
        <v>28.076758241462173</v>
      </c>
      <c r="BM55" s="103">
        <v>47.701605725855806</v>
      </c>
      <c r="BN55" s="103">
        <v>716.95044207935075</v>
      </c>
      <c r="BO55" s="103">
        <v>0</v>
      </c>
      <c r="BP55" s="103">
        <v>138.01199564649463</v>
      </c>
      <c r="BQ55" s="103">
        <v>0</v>
      </c>
      <c r="BR55" s="103">
        <v>0</v>
      </c>
      <c r="BS55" s="103">
        <v>0</v>
      </c>
      <c r="BT55" s="103">
        <v>0</v>
      </c>
      <c r="BU55" s="103">
        <v>0</v>
      </c>
      <c r="BV55" s="103">
        <v>0</v>
      </c>
      <c r="BW55" s="103">
        <v>0</v>
      </c>
      <c r="BX55" s="103">
        <v>939.80933018634698</v>
      </c>
      <c r="BY55" s="103">
        <v>88.307293924754902</v>
      </c>
      <c r="BZ55" s="103">
        <v>0</v>
      </c>
      <c r="CA55" s="103">
        <v>-104.89384852672865</v>
      </c>
      <c r="CB55" s="103">
        <v>854.96243772584535</v>
      </c>
      <c r="CC55" s="103">
        <v>923.22277558437327</v>
      </c>
      <c r="CD55" s="114">
        <v>0.93360642532402893</v>
      </c>
      <c r="CE55" s="103">
        <v>40.570722502572551</v>
      </c>
      <c r="CF55" s="103">
        <v>13.529158984855092</v>
      </c>
      <c r="CG55" s="103">
        <v>0</v>
      </c>
      <c r="CH55" s="103">
        <v>13.529158984855092</v>
      </c>
      <c r="CI55" s="103">
        <v>0.67645238981163891</v>
      </c>
      <c r="CJ55" s="103">
        <v>0</v>
      </c>
      <c r="CK55" s="103">
        <v>0.67645238981163891</v>
      </c>
      <c r="CL55" s="103"/>
      <c r="CM55" s="103">
        <v>0</v>
      </c>
      <c r="CN55" s="103"/>
      <c r="CO55" s="103">
        <v>0</v>
      </c>
      <c r="CP55" s="103">
        <v>0</v>
      </c>
      <c r="CQ55" s="103">
        <v>0</v>
      </c>
      <c r="CR55" s="103">
        <v>0</v>
      </c>
      <c r="CS55" s="103">
        <v>0</v>
      </c>
      <c r="CT55" s="103">
        <v>0</v>
      </c>
      <c r="CU55" s="103">
        <v>0</v>
      </c>
      <c r="CV55" s="103">
        <v>9999</v>
      </c>
      <c r="CW55" s="134">
        <v>9999</v>
      </c>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row>
    <row r="56" spans="1:131">
      <c r="A56" s="79" t="s">
        <v>207</v>
      </c>
      <c r="B56" s="79"/>
      <c r="C56" s="103">
        <v>8.5616438356164384</v>
      </c>
      <c r="D56" s="103">
        <v>1178.7466859186579</v>
      </c>
      <c r="E56" s="103">
        <v>0</v>
      </c>
      <c r="F56" s="103">
        <v>538.1464278686118</v>
      </c>
      <c r="G56" s="103">
        <v>0</v>
      </c>
      <c r="H56" s="103">
        <v>-144.98398076032771</v>
      </c>
      <c r="I56" s="103"/>
      <c r="J56" s="103"/>
      <c r="K56" s="103"/>
      <c r="L56" s="103">
        <v>1265.2275583672172</v>
      </c>
      <c r="M56" s="103">
        <v>0.15890780091609044</v>
      </c>
      <c r="N56" s="103">
        <v>0.1577608756702609</v>
      </c>
      <c r="O56" s="103">
        <v>0</v>
      </c>
      <c r="P56" s="103">
        <v>0</v>
      </c>
      <c r="Q56" s="103">
        <v>0</v>
      </c>
      <c r="R56" s="103">
        <v>107.31358654722686</v>
      </c>
      <c r="S56" s="103">
        <v>247.98537620626655</v>
      </c>
      <c r="T56" s="103">
        <v>0</v>
      </c>
      <c r="U56" s="103">
        <v>790.14443481753938</v>
      </c>
      <c r="V56" s="103">
        <v>32.28878567211671</v>
      </c>
      <c r="W56" s="103">
        <v>75.340499901605654</v>
      </c>
      <c r="X56" s="103">
        <v>0</v>
      </c>
      <c r="Y56" s="103">
        <v>0</v>
      </c>
      <c r="Z56" s="103">
        <v>0</v>
      </c>
      <c r="AA56" s="103">
        <v>0</v>
      </c>
      <c r="AB56" s="103">
        <v>0</v>
      </c>
      <c r="AC56" s="103">
        <v>0</v>
      </c>
      <c r="AD56" s="103">
        <v>0</v>
      </c>
      <c r="AE56" s="103">
        <v>0</v>
      </c>
      <c r="AF56" s="103">
        <v>0</v>
      </c>
      <c r="AG56" s="103">
        <v>-144.98398076032771</v>
      </c>
      <c r="AH56" s="103">
        <v>139.60237221934358</v>
      </c>
      <c r="AI56" s="103">
        <v>323.3258761078722</v>
      </c>
      <c r="AJ56" s="103">
        <v>0</v>
      </c>
      <c r="AK56" s="103">
        <v>645.16045405721161</v>
      </c>
      <c r="AL56" s="103">
        <v>1108.0887023844275</v>
      </c>
      <c r="AM56" s="103">
        <v>636.96292408486715</v>
      </c>
      <c r="AN56" s="103">
        <v>56.14983070348142</v>
      </c>
      <c r="AO56" s="103">
        <v>0</v>
      </c>
      <c r="AP56" s="103">
        <v>0</v>
      </c>
      <c r="AQ56" s="103">
        <v>693.11275478834852</v>
      </c>
      <c r="AR56" s="103">
        <v>139.60237221934358</v>
      </c>
      <c r="AS56" s="134">
        <v>4.9649067116089407</v>
      </c>
      <c r="AT56" s="103">
        <v>636.96292408486715</v>
      </c>
      <c r="AU56" s="103">
        <v>66.464675329628264</v>
      </c>
      <c r="AV56" s="103">
        <v>0</v>
      </c>
      <c r="AW56" s="103">
        <v>0</v>
      </c>
      <c r="AX56" s="103">
        <v>703.42759941449538</v>
      </c>
      <c r="AY56" s="103">
        <v>323.3258761078722</v>
      </c>
      <c r="AZ56" s="134">
        <v>2.1755994536602095</v>
      </c>
      <c r="BA56" s="103">
        <v>636.96292408486715</v>
      </c>
      <c r="BB56" s="103">
        <v>122.61450603310968</v>
      </c>
      <c r="BC56" s="103">
        <v>0</v>
      </c>
      <c r="BD56" s="103">
        <v>0</v>
      </c>
      <c r="BE56" s="103">
        <v>759.57743011797675</v>
      </c>
      <c r="BF56" s="103">
        <v>462.92824832721578</v>
      </c>
      <c r="BG56" s="103">
        <v>19.791602430160189</v>
      </c>
      <c r="BH56" s="134">
        <v>1.640810282938443</v>
      </c>
      <c r="BI56" s="103">
        <v>8.1188453650064041</v>
      </c>
      <c r="BJ56" s="103">
        <v>18.803640288437045</v>
      </c>
      <c r="BK56" s="103">
        <v>0</v>
      </c>
      <c r="BL56" s="103">
        <v>37.520551254515418</v>
      </c>
      <c r="BM56" s="103">
        <v>64.44303690795887</v>
      </c>
      <c r="BN56" s="103">
        <v>636.96292408486715</v>
      </c>
      <c r="BO56" s="103">
        <v>0</v>
      </c>
      <c r="BP56" s="103">
        <v>122.61450603310968</v>
      </c>
      <c r="BQ56" s="103">
        <v>0</v>
      </c>
      <c r="BR56" s="103">
        <v>0</v>
      </c>
      <c r="BS56" s="103">
        <v>0</v>
      </c>
      <c r="BT56" s="103">
        <v>0</v>
      </c>
      <c r="BU56" s="103">
        <v>0</v>
      </c>
      <c r="BV56" s="103">
        <v>0</v>
      </c>
      <c r="BW56" s="103">
        <v>0</v>
      </c>
      <c r="BX56" s="103">
        <v>1145.4433975710328</v>
      </c>
      <c r="BY56" s="103">
        <v>107.62928557372237</v>
      </c>
      <c r="BZ56" s="103">
        <v>0</v>
      </c>
      <c r="CA56" s="103">
        <v>-144.98398076032771</v>
      </c>
      <c r="CB56" s="103">
        <v>759.57743011797675</v>
      </c>
      <c r="CC56" s="103">
        <v>1108.0887023844275</v>
      </c>
      <c r="CD56" s="114">
        <v>0.72187465503452308</v>
      </c>
      <c r="CE56" s="103">
        <v>57.312153684675614</v>
      </c>
      <c r="CF56" s="103">
        <v>12.019760588206129</v>
      </c>
      <c r="CG56" s="103">
        <v>0</v>
      </c>
      <c r="CH56" s="103">
        <v>12.019760588206129</v>
      </c>
      <c r="CI56" s="103">
        <v>0.60098309022442808</v>
      </c>
      <c r="CJ56" s="103">
        <v>0</v>
      </c>
      <c r="CK56" s="103">
        <v>0.60098309022442808</v>
      </c>
      <c r="CL56" s="103"/>
      <c r="CM56" s="103">
        <v>0</v>
      </c>
      <c r="CN56" s="103"/>
      <c r="CO56" s="103">
        <v>0</v>
      </c>
      <c r="CP56" s="103">
        <v>0</v>
      </c>
      <c r="CQ56" s="103">
        <v>0</v>
      </c>
      <c r="CR56" s="103">
        <v>0</v>
      </c>
      <c r="CS56" s="103">
        <v>0</v>
      </c>
      <c r="CT56" s="103">
        <v>0</v>
      </c>
      <c r="CU56" s="103">
        <v>0</v>
      </c>
      <c r="CV56" s="103">
        <v>9999</v>
      </c>
      <c r="CW56" s="134">
        <v>9999</v>
      </c>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row>
    <row r="57" spans="1:131">
      <c r="A57" s="79" t="s">
        <v>206</v>
      </c>
      <c r="B57" s="79"/>
      <c r="C57" s="103">
        <v>8.5616438356164384</v>
      </c>
      <c r="D57" s="103">
        <v>1326.769464302999</v>
      </c>
      <c r="E57" s="103">
        <v>0</v>
      </c>
      <c r="F57" s="103">
        <v>573.78861149399609</v>
      </c>
      <c r="G57" s="103">
        <v>0</v>
      </c>
      <c r="H57" s="103">
        <v>-104.89384852672865</v>
      </c>
      <c r="I57" s="103"/>
      <c r="J57" s="103"/>
      <c r="K57" s="103"/>
      <c r="L57" s="103">
        <v>1424.1102943402925</v>
      </c>
      <c r="M57" s="103">
        <v>0.17886287224697064</v>
      </c>
      <c r="N57" s="103">
        <v>0.1775719202449984</v>
      </c>
      <c r="O57" s="103">
        <v>0</v>
      </c>
      <c r="P57" s="103">
        <v>0</v>
      </c>
      <c r="Q57" s="103">
        <v>0</v>
      </c>
      <c r="R57" s="103">
        <v>114.42111408831586</v>
      </c>
      <c r="S57" s="103">
        <v>264.40979130488677</v>
      </c>
      <c r="T57" s="103">
        <v>0</v>
      </c>
      <c r="U57" s="103">
        <v>842.47679563591896</v>
      </c>
      <c r="V57" s="103">
        <v>34.427316689639767</v>
      </c>
      <c r="W57" s="103">
        <v>80.330405609159456</v>
      </c>
      <c r="X57" s="103">
        <v>0</v>
      </c>
      <c r="Y57" s="103">
        <v>0</v>
      </c>
      <c r="Z57" s="103">
        <v>0</v>
      </c>
      <c r="AA57" s="103">
        <v>0</v>
      </c>
      <c r="AB57" s="103">
        <v>0</v>
      </c>
      <c r="AC57" s="103">
        <v>0</v>
      </c>
      <c r="AD57" s="103">
        <v>0</v>
      </c>
      <c r="AE57" s="103">
        <v>0</v>
      </c>
      <c r="AF57" s="103">
        <v>0</v>
      </c>
      <c r="AG57" s="103">
        <v>-104.89384852672865</v>
      </c>
      <c r="AH57" s="103">
        <v>148.84843077795563</v>
      </c>
      <c r="AI57" s="103">
        <v>344.74019691404624</v>
      </c>
      <c r="AJ57" s="103">
        <v>0</v>
      </c>
      <c r="AK57" s="103">
        <v>737.58294710919029</v>
      </c>
      <c r="AL57" s="103">
        <v>1231.171574801192</v>
      </c>
      <c r="AM57" s="103">
        <v>716.95044207935075</v>
      </c>
      <c r="AN57" s="103">
        <v>63.200924925699461</v>
      </c>
      <c r="AO57" s="103">
        <v>0</v>
      </c>
      <c r="AP57" s="103">
        <v>0</v>
      </c>
      <c r="AQ57" s="103">
        <v>780.15136700505025</v>
      </c>
      <c r="AR57" s="103">
        <v>148.84843077795563</v>
      </c>
      <c r="AS57" s="134">
        <v>5.2412468369843923</v>
      </c>
      <c r="AT57" s="103">
        <v>716.95044207935075</v>
      </c>
      <c r="AU57" s="103">
        <v>74.811070720795158</v>
      </c>
      <c r="AV57" s="103">
        <v>0</v>
      </c>
      <c r="AW57" s="103">
        <v>0</v>
      </c>
      <c r="AX57" s="103">
        <v>791.76151280014597</v>
      </c>
      <c r="AY57" s="103">
        <v>344.74019691404624</v>
      </c>
      <c r="AZ57" s="134">
        <v>2.2966904349641455</v>
      </c>
      <c r="BA57" s="103">
        <v>716.95044207935075</v>
      </c>
      <c r="BB57" s="103">
        <v>138.01199564649463</v>
      </c>
      <c r="BC57" s="103">
        <v>0</v>
      </c>
      <c r="BD57" s="103">
        <v>0</v>
      </c>
      <c r="BE57" s="103">
        <v>854.96243772584546</v>
      </c>
      <c r="BF57" s="103">
        <v>493.58862769200186</v>
      </c>
      <c r="BG57" s="103">
        <v>18.372138075153419</v>
      </c>
      <c r="BH57" s="134">
        <v>1.7321356079932619</v>
      </c>
      <c r="BI57" s="103">
        <v>7.69078639051998</v>
      </c>
      <c r="BJ57" s="103">
        <v>17.812234907916707</v>
      </c>
      <c r="BK57" s="103">
        <v>0</v>
      </c>
      <c r="BL57" s="103">
        <v>38.109860223982196</v>
      </c>
      <c r="BM57" s="103">
        <v>63.612881522418888</v>
      </c>
      <c r="BN57" s="103">
        <v>716.95044207935075</v>
      </c>
      <c r="BO57" s="103">
        <v>0</v>
      </c>
      <c r="BP57" s="103">
        <v>138.01199564649463</v>
      </c>
      <c r="BQ57" s="103">
        <v>0</v>
      </c>
      <c r="BR57" s="103">
        <v>0</v>
      </c>
      <c r="BS57" s="103">
        <v>0</v>
      </c>
      <c r="BT57" s="103">
        <v>0</v>
      </c>
      <c r="BU57" s="103">
        <v>0</v>
      </c>
      <c r="BV57" s="103">
        <v>0</v>
      </c>
      <c r="BW57" s="103">
        <v>0</v>
      </c>
      <c r="BX57" s="103">
        <v>1221.3077010291215</v>
      </c>
      <c r="BY57" s="103">
        <v>114.75772229879922</v>
      </c>
      <c r="BZ57" s="103">
        <v>0</v>
      </c>
      <c r="CA57" s="103">
        <v>-104.89384852672865</v>
      </c>
      <c r="CB57" s="103">
        <v>854.96243772584535</v>
      </c>
      <c r="CC57" s="103">
        <v>1231.1715748011923</v>
      </c>
      <c r="CD57" s="114">
        <v>0.71842012336621119</v>
      </c>
      <c r="CE57" s="103">
        <v>56.481998299135633</v>
      </c>
      <c r="CF57" s="103">
        <v>13.529158984855092</v>
      </c>
      <c r="CG57" s="103">
        <v>0</v>
      </c>
      <c r="CH57" s="103">
        <v>13.529158984855092</v>
      </c>
      <c r="CI57" s="103">
        <v>0.67645238981163891</v>
      </c>
      <c r="CJ57" s="103">
        <v>0</v>
      </c>
      <c r="CK57" s="103">
        <v>0.67645238981163891</v>
      </c>
      <c r="CL57" s="103"/>
      <c r="CM57" s="103">
        <v>0</v>
      </c>
      <c r="CN57" s="103"/>
      <c r="CO57" s="103">
        <v>0</v>
      </c>
      <c r="CP57" s="103">
        <v>0</v>
      </c>
      <c r="CQ57" s="103">
        <v>0</v>
      </c>
      <c r="CR57" s="103">
        <v>0</v>
      </c>
      <c r="CS57" s="103">
        <v>0</v>
      </c>
      <c r="CT57" s="103">
        <v>0</v>
      </c>
      <c r="CU57" s="103">
        <v>0</v>
      </c>
      <c r="CV57" s="103">
        <v>9999</v>
      </c>
      <c r="CW57" s="134">
        <v>9999</v>
      </c>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row>
    <row r="58" spans="1:131">
      <c r="A58" s="79" t="s">
        <v>208</v>
      </c>
      <c r="B58" s="79"/>
      <c r="C58" s="103">
        <v>8.5616438356164384</v>
      </c>
      <c r="D58" s="103">
        <v>1178.7466859186579</v>
      </c>
      <c r="E58" s="103">
        <v>0</v>
      </c>
      <c r="F58" s="103">
        <v>669.2414174560455</v>
      </c>
      <c r="G58" s="103">
        <v>0</v>
      </c>
      <c r="H58" s="103">
        <v>-144.98398076032771</v>
      </c>
      <c r="I58" s="103"/>
      <c r="J58" s="103"/>
      <c r="K58" s="103"/>
      <c r="L58" s="103">
        <v>1265.2275583672172</v>
      </c>
      <c r="M58" s="103">
        <v>0.15890780091609044</v>
      </c>
      <c r="N58" s="103">
        <v>0.1577608756702609</v>
      </c>
      <c r="O58" s="103">
        <v>0</v>
      </c>
      <c r="P58" s="103">
        <v>0</v>
      </c>
      <c r="Q58" s="103">
        <v>0</v>
      </c>
      <c r="R58" s="103">
        <v>133.45567870366429</v>
      </c>
      <c r="S58" s="103">
        <v>308.39577499002206</v>
      </c>
      <c r="T58" s="103">
        <v>0</v>
      </c>
      <c r="U58" s="103">
        <v>982.62731882594903</v>
      </c>
      <c r="V58" s="103">
        <v>40.154485047362733</v>
      </c>
      <c r="W58" s="103">
        <v>93.693798443846376</v>
      </c>
      <c r="X58" s="103">
        <v>0</v>
      </c>
      <c r="Y58" s="103">
        <v>0</v>
      </c>
      <c r="Z58" s="103">
        <v>0</v>
      </c>
      <c r="AA58" s="103">
        <v>0</v>
      </c>
      <c r="AB58" s="103">
        <v>0</v>
      </c>
      <c r="AC58" s="103">
        <v>0</v>
      </c>
      <c r="AD58" s="103">
        <v>0</v>
      </c>
      <c r="AE58" s="103">
        <v>0</v>
      </c>
      <c r="AF58" s="103">
        <v>0</v>
      </c>
      <c r="AG58" s="103">
        <v>-144.98398076032771</v>
      </c>
      <c r="AH58" s="103">
        <v>173.61016375102702</v>
      </c>
      <c r="AI58" s="103">
        <v>402.08957343386845</v>
      </c>
      <c r="AJ58" s="103">
        <v>0</v>
      </c>
      <c r="AK58" s="103">
        <v>837.64333806562126</v>
      </c>
      <c r="AL58" s="103">
        <v>1413.3430752505169</v>
      </c>
      <c r="AM58" s="103">
        <v>636.96292408486715</v>
      </c>
      <c r="AN58" s="103">
        <v>56.14983070348142</v>
      </c>
      <c r="AO58" s="103">
        <v>0</v>
      </c>
      <c r="AP58" s="103">
        <v>0</v>
      </c>
      <c r="AQ58" s="103">
        <v>693.11275478834852</v>
      </c>
      <c r="AR58" s="103">
        <v>173.61016375102702</v>
      </c>
      <c r="AS58" s="134">
        <v>3.9923512530195877</v>
      </c>
      <c r="AT58" s="103">
        <v>636.96292408486715</v>
      </c>
      <c r="AU58" s="103">
        <v>66.464675329628264</v>
      </c>
      <c r="AV58" s="103">
        <v>0</v>
      </c>
      <c r="AW58" s="103">
        <v>0</v>
      </c>
      <c r="AX58" s="103">
        <v>703.42759941449538</v>
      </c>
      <c r="AY58" s="103">
        <v>402.08957343386845</v>
      </c>
      <c r="AZ58" s="134">
        <v>1.7494300919249972</v>
      </c>
      <c r="BA58" s="103">
        <v>636.96292408486715</v>
      </c>
      <c r="BB58" s="103">
        <v>122.61450603310968</v>
      </c>
      <c r="BC58" s="103">
        <v>0</v>
      </c>
      <c r="BD58" s="103">
        <v>0</v>
      </c>
      <c r="BE58" s="103">
        <v>759.57743011797675</v>
      </c>
      <c r="BF58" s="103">
        <v>575.69973718489553</v>
      </c>
      <c r="BG58" s="103">
        <v>26.350045994274506</v>
      </c>
      <c r="BH58" s="134">
        <v>1.3193986049606721</v>
      </c>
      <c r="BI58" s="103">
        <v>10.096634110725546</v>
      </c>
      <c r="BJ58" s="103">
        <v>23.384295106832212</v>
      </c>
      <c r="BK58" s="103">
        <v>0</v>
      </c>
      <c r="BL58" s="103">
        <v>48.714764832916238</v>
      </c>
      <c r="BM58" s="103">
        <v>82.195694050474003</v>
      </c>
      <c r="BN58" s="103">
        <v>636.96292408486715</v>
      </c>
      <c r="BO58" s="103">
        <v>0</v>
      </c>
      <c r="BP58" s="103">
        <v>122.61450603310968</v>
      </c>
      <c r="BQ58" s="103">
        <v>0</v>
      </c>
      <c r="BR58" s="103">
        <v>0</v>
      </c>
      <c r="BS58" s="103">
        <v>0</v>
      </c>
      <c r="BT58" s="103">
        <v>0</v>
      </c>
      <c r="BU58" s="103">
        <v>0</v>
      </c>
      <c r="BV58" s="103">
        <v>0</v>
      </c>
      <c r="BW58" s="103">
        <v>0</v>
      </c>
      <c r="BX58" s="103">
        <v>1424.4787725196354</v>
      </c>
      <c r="BY58" s="103">
        <v>133.84828349120912</v>
      </c>
      <c r="BZ58" s="103">
        <v>0</v>
      </c>
      <c r="CA58" s="103">
        <v>-144.98398076032771</v>
      </c>
      <c r="CB58" s="103">
        <v>759.57743011797675</v>
      </c>
      <c r="CC58" s="103">
        <v>1413.3430752505167</v>
      </c>
      <c r="CD58" s="114">
        <v>0.58046955380078424</v>
      </c>
      <c r="CE58" s="103">
        <v>75.06481082719074</v>
      </c>
      <c r="CF58" s="103">
        <v>12.019760588206129</v>
      </c>
      <c r="CG58" s="103">
        <v>0</v>
      </c>
      <c r="CH58" s="103">
        <v>12.019760588206129</v>
      </c>
      <c r="CI58" s="103">
        <v>0.60098309022442808</v>
      </c>
      <c r="CJ58" s="103">
        <v>0</v>
      </c>
      <c r="CK58" s="103">
        <v>0.60098309022442808</v>
      </c>
      <c r="CL58" s="103"/>
      <c r="CM58" s="103">
        <v>0</v>
      </c>
      <c r="CN58" s="103"/>
      <c r="CO58" s="103">
        <v>0</v>
      </c>
      <c r="CP58" s="103">
        <v>0</v>
      </c>
      <c r="CQ58" s="103">
        <v>0</v>
      </c>
      <c r="CR58" s="103">
        <v>0</v>
      </c>
      <c r="CS58" s="103">
        <v>0</v>
      </c>
      <c r="CT58" s="103">
        <v>0</v>
      </c>
      <c r="CU58" s="103">
        <v>0</v>
      </c>
      <c r="CV58" s="103">
        <v>9999</v>
      </c>
      <c r="CW58" s="134">
        <v>9999</v>
      </c>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row>
    <row r="59" spans="1:131">
      <c r="A59" s="79"/>
      <c r="B59" s="79"/>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row>
    <row r="60" spans="1:131">
      <c r="A60" s="79"/>
      <c r="B60" s="79"/>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row>
    <row r="61" spans="1:131" ht="15.75" thickBot="1">
      <c r="A61" s="101" t="s">
        <v>381</v>
      </c>
      <c r="B61" s="102"/>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row>
    <row r="62" spans="1:131" ht="15.75" thickBot="1">
      <c r="A62" s="135" t="s">
        <v>382</v>
      </c>
      <c r="B62" s="136"/>
      <c r="C62" s="137"/>
      <c r="D62" s="137"/>
      <c r="E62" s="137"/>
      <c r="F62" s="137"/>
      <c r="G62" s="137"/>
      <c r="H62" s="137"/>
      <c r="I62" s="137"/>
      <c r="J62" s="137"/>
      <c r="K62" s="137"/>
      <c r="L62" s="109"/>
      <c r="M62" s="138"/>
      <c r="N62" s="139" t="s">
        <v>383</v>
      </c>
      <c r="O62" s="137"/>
      <c r="P62" s="137"/>
      <c r="Q62" s="137"/>
      <c r="R62" s="137"/>
      <c r="S62" s="137"/>
      <c r="T62" s="137"/>
      <c r="U62" s="137"/>
      <c r="V62" s="137"/>
      <c r="W62" s="137"/>
      <c r="X62" s="137"/>
      <c r="Y62" s="109"/>
      <c r="Z62" s="138"/>
      <c r="AA62" s="139" t="s">
        <v>384</v>
      </c>
      <c r="AB62" s="137"/>
      <c r="AC62" s="137"/>
      <c r="AD62" s="137"/>
      <c r="AE62" s="137"/>
      <c r="AF62" s="137"/>
      <c r="AG62" s="137"/>
      <c r="AH62" s="137"/>
      <c r="AI62" s="137"/>
      <c r="AJ62" s="137"/>
      <c r="AK62" s="137"/>
      <c r="AL62" s="109"/>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row>
    <row r="63" spans="1:131" ht="102.75">
      <c r="A63" s="110"/>
      <c r="B63" s="111" t="s">
        <v>385</v>
      </c>
      <c r="C63" s="112" t="s">
        <v>386</v>
      </c>
      <c r="D63" s="112" t="s">
        <v>12</v>
      </c>
      <c r="E63" s="112" t="s">
        <v>181</v>
      </c>
      <c r="F63" s="112" t="s">
        <v>182</v>
      </c>
      <c r="G63" s="112" t="s">
        <v>183</v>
      </c>
      <c r="H63" s="112" t="s">
        <v>184</v>
      </c>
      <c r="I63" s="112" t="s">
        <v>185</v>
      </c>
      <c r="J63" s="112" t="s">
        <v>186</v>
      </c>
      <c r="K63" s="112" t="s">
        <v>187</v>
      </c>
      <c r="L63" s="112" t="s">
        <v>188</v>
      </c>
      <c r="M63" s="112" t="s">
        <v>189</v>
      </c>
      <c r="N63" s="112" t="s">
        <v>191</v>
      </c>
      <c r="O63" s="112" t="s">
        <v>192</v>
      </c>
      <c r="P63" s="112" t="s">
        <v>193</v>
      </c>
      <c r="Q63" s="112" t="s">
        <v>194</v>
      </c>
      <c r="R63" s="112" t="s">
        <v>195</v>
      </c>
      <c r="S63" s="112" t="s">
        <v>196</v>
      </c>
      <c r="T63" s="112" t="s">
        <v>197</v>
      </c>
      <c r="U63" s="112" t="s">
        <v>198</v>
      </c>
      <c r="V63" s="112" t="s">
        <v>199</v>
      </c>
      <c r="W63" s="112" t="s">
        <v>200</v>
      </c>
      <c r="X63" s="112" t="s">
        <v>201</v>
      </c>
      <c r="Y63" s="112" t="s">
        <v>202</v>
      </c>
      <c r="Z63" s="112"/>
      <c r="AA63" s="112" t="s">
        <v>191</v>
      </c>
      <c r="AB63" s="112" t="s">
        <v>192</v>
      </c>
      <c r="AC63" s="112" t="s">
        <v>193</v>
      </c>
      <c r="AD63" s="112" t="s">
        <v>194</v>
      </c>
      <c r="AE63" s="112" t="s">
        <v>195</v>
      </c>
      <c r="AF63" s="112" t="s">
        <v>196</v>
      </c>
      <c r="AG63" s="112" t="s">
        <v>197</v>
      </c>
      <c r="AH63" s="112" t="s">
        <v>198</v>
      </c>
      <c r="AI63" s="112" t="s">
        <v>199</v>
      </c>
      <c r="AJ63" s="112" t="s">
        <v>200</v>
      </c>
      <c r="AK63" s="112" t="s">
        <v>201</v>
      </c>
      <c r="AL63" s="112" t="s">
        <v>202</v>
      </c>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row>
    <row r="64" spans="1:131">
      <c r="A64" s="79"/>
      <c r="B64" s="140" t="s">
        <v>387</v>
      </c>
      <c r="C64" s="165">
        <v>4697.6209123207809</v>
      </c>
      <c r="D64" s="165">
        <v>1271.7122156135335</v>
      </c>
      <c r="E64" s="165">
        <v>0</v>
      </c>
      <c r="F64" s="165">
        <v>1271.7122156135335</v>
      </c>
      <c r="G64" s="165">
        <v>2393.0489108875604</v>
      </c>
      <c r="H64" s="165">
        <v>2820.2095319942873</v>
      </c>
      <c r="I64" s="165">
        <v>2371.4555126311639</v>
      </c>
      <c r="J64" s="165">
        <v>6.0205919040819866</v>
      </c>
      <c r="K64" s="165">
        <v>30.352926298957211</v>
      </c>
      <c r="L64" s="134">
        <v>1.1873953787203442</v>
      </c>
      <c r="M64" s="103">
        <v>44.62776543779507</v>
      </c>
      <c r="N64" s="113">
        <v>226.87361153541565</v>
      </c>
      <c r="O64" s="113">
        <v>213.17143671835163</v>
      </c>
      <c r="P64" s="113">
        <v>241.78571874273169</v>
      </c>
      <c r="Q64" s="113">
        <v>220.30276353846284</v>
      </c>
      <c r="R64" s="113">
        <v>225.95693520502448</v>
      </c>
      <c r="S64" s="113">
        <v>225.23680122208816</v>
      </c>
      <c r="T64" s="113">
        <v>215.6636143329435</v>
      </c>
      <c r="U64" s="113">
        <v>246.01766984437324</v>
      </c>
      <c r="V64" s="113">
        <v>211.89815916684964</v>
      </c>
      <c r="W64" s="113">
        <v>240.73780527393455</v>
      </c>
      <c r="X64" s="113">
        <v>208.04498252423664</v>
      </c>
      <c r="Y64" s="113">
        <v>211.8261013113613</v>
      </c>
      <c r="Z64" s="113"/>
      <c r="AA64" s="113">
        <v>182.65003243372945</v>
      </c>
      <c r="AB64" s="113">
        <v>164.29453415494081</v>
      </c>
      <c r="AC64" s="113">
        <v>163.4091498629993</v>
      </c>
      <c r="AD64" s="113">
        <v>164.20209058743362</v>
      </c>
      <c r="AE64" s="113">
        <v>166.32328530216728</v>
      </c>
      <c r="AF64" s="113">
        <v>154.18700840758075</v>
      </c>
      <c r="AG64" s="113">
        <v>173.355078903313</v>
      </c>
      <c r="AH64" s="113">
        <v>165.20697887099806</v>
      </c>
      <c r="AI64" s="113">
        <v>172.78098763153199</v>
      </c>
      <c r="AJ64" s="113">
        <v>162.08601446906945</v>
      </c>
      <c r="AK64" s="113">
        <v>170.47033593289325</v>
      </c>
      <c r="AL64" s="113">
        <v>171.13981634834985</v>
      </c>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row>
    <row r="65" spans="1:131">
      <c r="A65" s="79"/>
      <c r="B65" s="140" t="s">
        <v>388</v>
      </c>
      <c r="C65" s="165">
        <v>1636.755308990244</v>
      </c>
      <c r="D65" s="165">
        <v>351.83994045781247</v>
      </c>
      <c r="E65" s="165">
        <v>70.367988091562495</v>
      </c>
      <c r="F65" s="165">
        <v>422.20792854937497</v>
      </c>
      <c r="G65" s="165">
        <v>714.81162804993187</v>
      </c>
      <c r="H65" s="165">
        <v>982.6235471342211</v>
      </c>
      <c r="I65" s="165">
        <v>2259.6789109388924</v>
      </c>
      <c r="J65" s="165">
        <v>6.4755631858574594</v>
      </c>
      <c r="K65" s="165">
        <v>25.00409166164275</v>
      </c>
      <c r="L65" s="134">
        <v>1.3268955152014621</v>
      </c>
      <c r="M65" s="103">
        <v>15.54930322646999</v>
      </c>
      <c r="N65" s="113">
        <v>158.09559565628263</v>
      </c>
      <c r="O65" s="113">
        <v>148.54731247416345</v>
      </c>
      <c r="P65" s="113">
        <v>168.48701339533051</v>
      </c>
      <c r="Q65" s="113">
        <v>153.51673731742738</v>
      </c>
      <c r="R65" s="113">
        <v>157.45681492944354</v>
      </c>
      <c r="S65" s="113">
        <v>156.95499362808485</v>
      </c>
      <c r="T65" s="113">
        <v>150.28397237829975</v>
      </c>
      <c r="U65" s="113">
        <v>171.43602463411816</v>
      </c>
      <c r="V65" s="113">
        <v>147.66003619915665</v>
      </c>
      <c r="W65" s="113">
        <v>167.75678080933466</v>
      </c>
      <c r="X65" s="113">
        <v>144.97497180422729</v>
      </c>
      <c r="Y65" s="113">
        <v>147.60982308927558</v>
      </c>
      <c r="Z65" s="113"/>
      <c r="AA65" s="113">
        <v>127.27864417031219</v>
      </c>
      <c r="AB65" s="113">
        <v>114.48771879863244</v>
      </c>
      <c r="AC65" s="113">
        <v>113.8707437521654</v>
      </c>
      <c r="AD65" s="113">
        <v>114.42330002039405</v>
      </c>
      <c r="AE65" s="113">
        <v>115.90144258470205</v>
      </c>
      <c r="AF65" s="113">
        <v>107.44434653146747</v>
      </c>
      <c r="AG65" s="113">
        <v>120.801508266125</v>
      </c>
      <c r="AH65" s="113">
        <v>115.12355074890745</v>
      </c>
      <c r="AI65" s="113">
        <v>120.40145600372635</v>
      </c>
      <c r="AJ65" s="113">
        <v>112.94872432107525</v>
      </c>
      <c r="AK65" s="113">
        <v>118.7912914095357</v>
      </c>
      <c r="AL65" s="113">
        <v>119.25781505829994</v>
      </c>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row>
    <row r="66" spans="1:131">
      <c r="A66" s="79"/>
      <c r="B66" s="140" t="s">
        <v>389</v>
      </c>
      <c r="C66" s="141"/>
      <c r="D66" s="141"/>
      <c r="E66" s="141"/>
      <c r="F66" s="141"/>
      <c r="G66" s="141"/>
      <c r="H66" s="141"/>
      <c r="I66" s="141"/>
      <c r="J66" s="141"/>
      <c r="K66" s="141"/>
      <c r="L66" s="114"/>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row>
    <row r="67" spans="1:131">
      <c r="A67" s="79"/>
      <c r="B67" s="79" t="s">
        <v>390</v>
      </c>
      <c r="C67" s="142">
        <v>0</v>
      </c>
      <c r="D67" s="142">
        <v>0</v>
      </c>
      <c r="E67" s="142">
        <v>0</v>
      </c>
      <c r="F67" s="142">
        <v>0</v>
      </c>
      <c r="G67" s="142">
        <v>0</v>
      </c>
      <c r="H67" s="142">
        <v>0</v>
      </c>
      <c r="I67" s="142">
        <v>0</v>
      </c>
      <c r="J67" s="142">
        <v>0</v>
      </c>
      <c r="K67" s="142">
        <v>0</v>
      </c>
      <c r="L67" s="114">
        <v>0</v>
      </c>
      <c r="M67" s="142">
        <v>0</v>
      </c>
      <c r="N67" s="142">
        <v>0</v>
      </c>
      <c r="O67" s="142">
        <v>0</v>
      </c>
      <c r="P67" s="142">
        <v>0</v>
      </c>
      <c r="Q67" s="142">
        <v>0</v>
      </c>
      <c r="R67" s="142">
        <v>0</v>
      </c>
      <c r="S67" s="142">
        <v>0</v>
      </c>
      <c r="T67" s="142">
        <v>0</v>
      </c>
      <c r="U67" s="142">
        <v>0</v>
      </c>
      <c r="V67" s="142">
        <v>0</v>
      </c>
      <c r="W67" s="142">
        <v>0</v>
      </c>
      <c r="X67" s="142">
        <v>0</v>
      </c>
      <c r="Y67" s="142">
        <v>0</v>
      </c>
      <c r="Z67" s="142"/>
      <c r="AA67" s="142">
        <v>0</v>
      </c>
      <c r="AB67" s="142">
        <v>0</v>
      </c>
      <c r="AC67" s="142">
        <v>0</v>
      </c>
      <c r="AD67" s="142">
        <v>0</v>
      </c>
      <c r="AE67" s="142">
        <v>0</v>
      </c>
      <c r="AF67" s="142">
        <v>0</v>
      </c>
      <c r="AG67" s="142">
        <v>0</v>
      </c>
      <c r="AH67" s="142">
        <v>0</v>
      </c>
      <c r="AI67" s="142">
        <v>0</v>
      </c>
      <c r="AJ67" s="142">
        <v>0</v>
      </c>
      <c r="AK67" s="142">
        <v>0</v>
      </c>
      <c r="AL67" s="142">
        <v>0</v>
      </c>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row>
    <row r="68" spans="1:131">
      <c r="A68" s="79"/>
      <c r="B68" s="79" t="s">
        <v>391</v>
      </c>
      <c r="C68" s="142">
        <v>0</v>
      </c>
      <c r="D68" s="142">
        <v>0</v>
      </c>
      <c r="E68" s="142">
        <v>0</v>
      </c>
      <c r="F68" s="142">
        <v>0</v>
      </c>
      <c r="G68" s="142">
        <v>0</v>
      </c>
      <c r="H68" s="142">
        <v>0</v>
      </c>
      <c r="I68" s="142">
        <v>0</v>
      </c>
      <c r="J68" s="142">
        <v>0</v>
      </c>
      <c r="K68" s="142">
        <v>0</v>
      </c>
      <c r="L68" s="143">
        <v>0</v>
      </c>
      <c r="M68" s="142">
        <v>0</v>
      </c>
      <c r="N68" s="142">
        <v>0</v>
      </c>
      <c r="O68" s="142">
        <v>0</v>
      </c>
      <c r="P68" s="142">
        <v>0</v>
      </c>
      <c r="Q68" s="142">
        <v>0</v>
      </c>
      <c r="R68" s="142">
        <v>0</v>
      </c>
      <c r="S68" s="142">
        <v>0</v>
      </c>
      <c r="T68" s="142">
        <v>0</v>
      </c>
      <c r="U68" s="142">
        <v>0</v>
      </c>
      <c r="V68" s="142">
        <v>0</v>
      </c>
      <c r="W68" s="142">
        <v>0</v>
      </c>
      <c r="X68" s="142">
        <v>0</v>
      </c>
      <c r="Y68" s="142">
        <v>0</v>
      </c>
      <c r="Z68" s="142"/>
      <c r="AA68" s="142">
        <v>0</v>
      </c>
      <c r="AB68" s="142">
        <v>0</v>
      </c>
      <c r="AC68" s="142">
        <v>0</v>
      </c>
      <c r="AD68" s="142">
        <v>0</v>
      </c>
      <c r="AE68" s="142">
        <v>0</v>
      </c>
      <c r="AF68" s="142">
        <v>0</v>
      </c>
      <c r="AG68" s="142">
        <v>0</v>
      </c>
      <c r="AH68" s="142">
        <v>0</v>
      </c>
      <c r="AI68" s="142">
        <v>0</v>
      </c>
      <c r="AJ68" s="142">
        <v>0</v>
      </c>
      <c r="AK68" s="142">
        <v>0</v>
      </c>
      <c r="AL68" s="142">
        <v>0</v>
      </c>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row>
    <row r="69" spans="1:131">
      <c r="A69" s="79"/>
      <c r="B69" s="79" t="s">
        <v>392</v>
      </c>
      <c r="C69" s="142">
        <v>0</v>
      </c>
      <c r="D69" s="142">
        <v>0</v>
      </c>
      <c r="E69" s="142">
        <v>0</v>
      </c>
      <c r="F69" s="142">
        <v>0</v>
      </c>
      <c r="G69" s="142">
        <v>0</v>
      </c>
      <c r="H69" s="142">
        <v>0</v>
      </c>
      <c r="I69" s="142">
        <v>0</v>
      </c>
      <c r="J69" s="142">
        <v>0</v>
      </c>
      <c r="K69" s="142">
        <v>0</v>
      </c>
      <c r="L69" s="143">
        <v>0</v>
      </c>
      <c r="M69" s="142">
        <v>0</v>
      </c>
      <c r="N69" s="142">
        <v>0</v>
      </c>
      <c r="O69" s="142">
        <v>0</v>
      </c>
      <c r="P69" s="142">
        <v>0</v>
      </c>
      <c r="Q69" s="142">
        <v>0</v>
      </c>
      <c r="R69" s="142">
        <v>0</v>
      </c>
      <c r="S69" s="142">
        <v>0</v>
      </c>
      <c r="T69" s="142">
        <v>0</v>
      </c>
      <c r="U69" s="142">
        <v>0</v>
      </c>
      <c r="V69" s="142">
        <v>0</v>
      </c>
      <c r="W69" s="142">
        <v>0</v>
      </c>
      <c r="X69" s="142">
        <v>0</v>
      </c>
      <c r="Y69" s="142">
        <v>0</v>
      </c>
      <c r="Z69" s="142"/>
      <c r="AA69" s="142">
        <v>0</v>
      </c>
      <c r="AB69" s="142">
        <v>0</v>
      </c>
      <c r="AC69" s="142">
        <v>0</v>
      </c>
      <c r="AD69" s="142">
        <v>0</v>
      </c>
      <c r="AE69" s="142">
        <v>0</v>
      </c>
      <c r="AF69" s="142">
        <v>0</v>
      </c>
      <c r="AG69" s="142">
        <v>0</v>
      </c>
      <c r="AH69" s="142">
        <v>0</v>
      </c>
      <c r="AI69" s="142">
        <v>0</v>
      </c>
      <c r="AJ69" s="142">
        <v>0</v>
      </c>
      <c r="AK69" s="142">
        <v>0</v>
      </c>
      <c r="AL69" s="142">
        <v>0</v>
      </c>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row>
    <row r="70" spans="1:131">
      <c r="A70" s="79"/>
      <c r="B70" s="79" t="s">
        <v>393</v>
      </c>
      <c r="C70" s="103">
        <v>1636.755308990244</v>
      </c>
      <c r="D70" s="103">
        <v>351.83994045781247</v>
      </c>
      <c r="E70" s="103">
        <v>70.367988091562495</v>
      </c>
      <c r="F70" s="103">
        <v>422.20792854937497</v>
      </c>
      <c r="G70" s="103">
        <v>714.81162804993187</v>
      </c>
      <c r="H70" s="103">
        <v>982.6235471342211</v>
      </c>
      <c r="I70" s="103">
        <v>2259.6789109388924</v>
      </c>
      <c r="J70" s="103">
        <v>6.4755631858574594</v>
      </c>
      <c r="K70" s="103">
        <v>25.00409166164275</v>
      </c>
      <c r="L70" s="134">
        <v>1.3268955152014621</v>
      </c>
      <c r="M70" s="103">
        <v>15.54930322646999</v>
      </c>
      <c r="N70" s="113">
        <v>79.047797828141313</v>
      </c>
      <c r="O70" s="113">
        <v>74.273656237081724</v>
      </c>
      <c r="P70" s="113">
        <v>84.243506697665254</v>
      </c>
      <c r="Q70" s="113">
        <v>76.758368658713692</v>
      </c>
      <c r="R70" s="113">
        <v>78.728407464721769</v>
      </c>
      <c r="S70" s="113">
        <v>78.477496814042425</v>
      </c>
      <c r="T70" s="113">
        <v>75.141986189149875</v>
      </c>
      <c r="U70" s="113">
        <v>85.718012317059078</v>
      </c>
      <c r="V70" s="113">
        <v>73.830018099578325</v>
      </c>
      <c r="W70" s="113">
        <v>83.878390404667329</v>
      </c>
      <c r="X70" s="113">
        <v>72.487485902113647</v>
      </c>
      <c r="Y70" s="113">
        <v>73.80491154463779</v>
      </c>
      <c r="Z70" s="113"/>
      <c r="AA70" s="113">
        <v>63.639322085156095</v>
      </c>
      <c r="AB70" s="113">
        <v>57.243859399316221</v>
      </c>
      <c r="AC70" s="113">
        <v>56.935371876082698</v>
      </c>
      <c r="AD70" s="113">
        <v>57.211650010197026</v>
      </c>
      <c r="AE70" s="113">
        <v>57.950721292351027</v>
      </c>
      <c r="AF70" s="113">
        <v>53.722173265733737</v>
      </c>
      <c r="AG70" s="113">
        <v>60.400754133062499</v>
      </c>
      <c r="AH70" s="113">
        <v>57.561775374453724</v>
      </c>
      <c r="AI70" s="113">
        <v>60.200728001863176</v>
      </c>
      <c r="AJ70" s="113">
        <v>56.474362160537623</v>
      </c>
      <c r="AK70" s="113">
        <v>59.395645704767851</v>
      </c>
      <c r="AL70" s="113">
        <v>59.62890752914997</v>
      </c>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row>
    <row r="71" spans="1:131">
      <c r="A71" s="79"/>
      <c r="B71" s="79" t="s">
        <v>394</v>
      </c>
      <c r="C71" s="103">
        <v>1636.755308990244</v>
      </c>
      <c r="D71" s="103">
        <v>478.33580553194651</v>
      </c>
      <c r="E71" s="103">
        <v>95.667161106389301</v>
      </c>
      <c r="F71" s="103">
        <v>574.00296663833581</v>
      </c>
      <c r="G71" s="103">
        <v>1009.3569503759622</v>
      </c>
      <c r="H71" s="103">
        <v>982.6235471342211</v>
      </c>
      <c r="I71" s="103">
        <v>3072.0938921859292</v>
      </c>
      <c r="J71" s="103">
        <v>11.367444439786551</v>
      </c>
      <c r="K71" s="103">
        <v>38.245631340063099</v>
      </c>
      <c r="L71" s="114">
        <v>0.97599810355622874</v>
      </c>
      <c r="M71" s="103">
        <v>15.54930322646999</v>
      </c>
      <c r="N71" s="113">
        <v>79.047797828141313</v>
      </c>
      <c r="O71" s="113">
        <v>74.273656237081724</v>
      </c>
      <c r="P71" s="113">
        <v>84.243506697665254</v>
      </c>
      <c r="Q71" s="113">
        <v>76.758368658713692</v>
      </c>
      <c r="R71" s="113">
        <v>78.728407464721769</v>
      </c>
      <c r="S71" s="113">
        <v>78.477496814042425</v>
      </c>
      <c r="T71" s="113">
        <v>75.141986189149875</v>
      </c>
      <c r="U71" s="113">
        <v>85.718012317059078</v>
      </c>
      <c r="V71" s="113">
        <v>73.830018099578325</v>
      </c>
      <c r="W71" s="113">
        <v>83.878390404667329</v>
      </c>
      <c r="X71" s="113">
        <v>72.487485902113647</v>
      </c>
      <c r="Y71" s="113">
        <v>73.80491154463779</v>
      </c>
      <c r="Z71" s="113"/>
      <c r="AA71" s="113">
        <v>63.639322085156095</v>
      </c>
      <c r="AB71" s="113">
        <v>57.243859399316221</v>
      </c>
      <c r="AC71" s="113">
        <v>56.935371876082698</v>
      </c>
      <c r="AD71" s="113">
        <v>57.211650010197026</v>
      </c>
      <c r="AE71" s="113">
        <v>57.950721292351027</v>
      </c>
      <c r="AF71" s="113">
        <v>53.722173265733737</v>
      </c>
      <c r="AG71" s="113">
        <v>60.400754133062499</v>
      </c>
      <c r="AH71" s="113">
        <v>57.561775374453724</v>
      </c>
      <c r="AI71" s="113">
        <v>60.200728001863176</v>
      </c>
      <c r="AJ71" s="113">
        <v>56.474362160537623</v>
      </c>
      <c r="AK71" s="113">
        <v>59.395645704767851</v>
      </c>
      <c r="AL71" s="113">
        <v>59.62890752914997</v>
      </c>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row>
    <row r="72" spans="1:131">
      <c r="A72" s="79"/>
      <c r="B72" s="79" t="s">
        <v>395</v>
      </c>
      <c r="C72" s="103">
        <v>1424.1102943402925</v>
      </c>
      <c r="D72" s="103">
        <v>441.53646962377445</v>
      </c>
      <c r="E72" s="103">
        <v>88.307293924754902</v>
      </c>
      <c r="F72" s="103">
        <v>529.8437635485293</v>
      </c>
      <c r="G72" s="103">
        <v>923.22277558437327</v>
      </c>
      <c r="H72" s="103">
        <v>854.96243772584535</v>
      </c>
      <c r="I72" s="103">
        <v>3259.1797047820805</v>
      </c>
      <c r="J72" s="103">
        <v>12.493964261110364</v>
      </c>
      <c r="K72" s="103">
        <v>40.570722502572551</v>
      </c>
      <c r="L72" s="114">
        <v>0.93360642532402893</v>
      </c>
      <c r="M72" s="103">
        <v>13.529158984855092</v>
      </c>
      <c r="N72" s="113">
        <v>68.778015879133022</v>
      </c>
      <c r="O72" s="113">
        <v>64.624124244188181</v>
      </c>
      <c r="P72" s="113">
        <v>73.298705347401182</v>
      </c>
      <c r="Q72" s="113">
        <v>66.786026221035456</v>
      </c>
      <c r="R72" s="113">
        <v>68.500120275580954</v>
      </c>
      <c r="S72" s="113">
        <v>68.28180759400334</v>
      </c>
      <c r="T72" s="113">
        <v>65.379641954643731</v>
      </c>
      <c r="U72" s="113">
        <v>74.58164521025509</v>
      </c>
      <c r="V72" s="113">
        <v>64.238122967692973</v>
      </c>
      <c r="W72" s="113">
        <v>72.981024464599898</v>
      </c>
      <c r="X72" s="113">
        <v>63.070010720009329</v>
      </c>
      <c r="Y72" s="113">
        <v>64.21627822208572</v>
      </c>
      <c r="Z72" s="113"/>
      <c r="AA72" s="113">
        <v>55.37138826341728</v>
      </c>
      <c r="AB72" s="113">
        <v>49.80681535630837</v>
      </c>
      <c r="AC72" s="113">
        <v>49.538406110833904</v>
      </c>
      <c r="AD72" s="113">
        <v>49.778790567039565</v>
      </c>
      <c r="AE72" s="113">
        <v>50.421842717465225</v>
      </c>
      <c r="AF72" s="113">
        <v>46.742661876113267</v>
      </c>
      <c r="AG72" s="113">
        <v>52.55357063718801</v>
      </c>
      <c r="AH72" s="113">
        <v>50.083428122090609</v>
      </c>
      <c r="AI72" s="113">
        <v>52.379531627805626</v>
      </c>
      <c r="AJ72" s="113">
        <v>49.137290147994193</v>
      </c>
      <c r="AK72" s="113">
        <v>51.679044523357554</v>
      </c>
      <c r="AL72" s="113">
        <v>51.882001290049892</v>
      </c>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row>
    <row r="73" spans="1:131">
      <c r="A73" s="79"/>
      <c r="B73" s="79" t="s">
        <v>396</v>
      </c>
      <c r="C73" s="103">
        <v>2689.3378527075097</v>
      </c>
      <c r="D73" s="103">
        <v>1111.9350393626078</v>
      </c>
      <c r="E73" s="103">
        <v>222.38700787252159</v>
      </c>
      <c r="F73" s="103">
        <v>1334.3220472351293</v>
      </c>
      <c r="G73" s="103">
        <v>2339.26027718562</v>
      </c>
      <c r="H73" s="103">
        <v>1614.5398678438221</v>
      </c>
      <c r="I73" s="103">
        <v>4346.2970344213509</v>
      </c>
      <c r="J73" s="103">
        <v>19.039940158207592</v>
      </c>
      <c r="K73" s="103">
        <v>56.872553717992623</v>
      </c>
      <c r="L73" s="114">
        <v>0.72004534448285151</v>
      </c>
      <c r="M73" s="103">
        <v>25.54891957306122</v>
      </c>
      <c r="N73" s="113">
        <v>129.88272205668957</v>
      </c>
      <c r="O73" s="113">
        <v>122.03837316440297</v>
      </c>
      <c r="P73" s="113">
        <v>138.419744333452</v>
      </c>
      <c r="Q73" s="113">
        <v>126.12098168376059</v>
      </c>
      <c r="R73" s="113">
        <v>129.35793463769284</v>
      </c>
      <c r="S73" s="113">
        <v>128.9456656156753</v>
      </c>
      <c r="T73" s="113">
        <v>123.46511825935383</v>
      </c>
      <c r="U73" s="113">
        <v>140.84249118784413</v>
      </c>
      <c r="V73" s="113">
        <v>121.30943535095021</v>
      </c>
      <c r="W73" s="113">
        <v>137.8198250529058</v>
      </c>
      <c r="X73" s="113">
        <v>119.10353283315251</v>
      </c>
      <c r="Y73" s="113">
        <v>121.26818299747882</v>
      </c>
      <c r="Z73" s="113"/>
      <c r="AA73" s="113">
        <v>104.56519484872825</v>
      </c>
      <c r="AB73" s="113">
        <v>94.056867921584541</v>
      </c>
      <c r="AC73" s="113">
        <v>93.549994860740938</v>
      </c>
      <c r="AD73" s="113">
        <v>94.003944965480457</v>
      </c>
      <c r="AE73" s="113">
        <v>95.218306308332643</v>
      </c>
      <c r="AF73" s="113">
        <v>88.270417269873249</v>
      </c>
      <c r="AG73" s="113">
        <v>99.243933121766815</v>
      </c>
      <c r="AH73" s="113">
        <v>94.579232786522823</v>
      </c>
      <c r="AI73" s="113">
        <v>98.915271993734876</v>
      </c>
      <c r="AJ73" s="113">
        <v>92.792513964438754</v>
      </c>
      <c r="AK73" s="113">
        <v>97.592448548940979</v>
      </c>
      <c r="AL73" s="113">
        <v>97.975718944006616</v>
      </c>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row>
    <row r="74" spans="1:131">
      <c r="A74" s="79"/>
      <c r="B74" s="79" t="s">
        <v>397</v>
      </c>
      <c r="C74" s="142">
        <v>0</v>
      </c>
      <c r="D74" s="142">
        <v>0</v>
      </c>
      <c r="E74" s="142">
        <v>0</v>
      </c>
      <c r="F74" s="142">
        <v>0</v>
      </c>
      <c r="G74" s="142">
        <v>0</v>
      </c>
      <c r="H74" s="142">
        <v>0</v>
      </c>
      <c r="I74" s="142">
        <v>0</v>
      </c>
      <c r="J74" s="142">
        <v>0</v>
      </c>
      <c r="K74" s="142">
        <v>0</v>
      </c>
      <c r="L74" s="143">
        <v>0</v>
      </c>
      <c r="M74" s="142">
        <v>0</v>
      </c>
      <c r="N74" s="142">
        <v>0</v>
      </c>
      <c r="O74" s="142">
        <v>0</v>
      </c>
      <c r="P74" s="142">
        <v>0</v>
      </c>
      <c r="Q74" s="142">
        <v>0</v>
      </c>
      <c r="R74" s="142">
        <v>0</v>
      </c>
      <c r="S74" s="142">
        <v>0</v>
      </c>
      <c r="T74" s="142">
        <v>0</v>
      </c>
      <c r="U74" s="142">
        <v>0</v>
      </c>
      <c r="V74" s="142">
        <v>0</v>
      </c>
      <c r="W74" s="142">
        <v>0</v>
      </c>
      <c r="X74" s="142">
        <v>0</v>
      </c>
      <c r="Y74" s="142">
        <v>0</v>
      </c>
      <c r="Z74" s="142"/>
      <c r="AA74" s="142">
        <v>0</v>
      </c>
      <c r="AB74" s="142">
        <v>0</v>
      </c>
      <c r="AC74" s="142">
        <v>0</v>
      </c>
      <c r="AD74" s="142">
        <v>0</v>
      </c>
      <c r="AE74" s="142">
        <v>0</v>
      </c>
      <c r="AF74" s="142">
        <v>0</v>
      </c>
      <c r="AG74" s="142">
        <v>0</v>
      </c>
      <c r="AH74" s="142">
        <v>0</v>
      </c>
      <c r="AI74" s="142">
        <v>0</v>
      </c>
      <c r="AJ74" s="142">
        <v>0</v>
      </c>
      <c r="AK74" s="142">
        <v>0</v>
      </c>
      <c r="AL74" s="142">
        <v>0</v>
      </c>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row>
    <row r="75" spans="1:131">
      <c r="A75" s="79"/>
      <c r="B75" s="79" t="s">
        <v>398</v>
      </c>
      <c r="C75" s="103">
        <v>1265.2275583672172</v>
      </c>
      <c r="D75" s="103">
        <v>669.2414174560455</v>
      </c>
      <c r="E75" s="103">
        <v>133.84828349120912</v>
      </c>
      <c r="F75" s="103">
        <v>803.08970094725464</v>
      </c>
      <c r="G75" s="103">
        <v>1413.3430752505167</v>
      </c>
      <c r="H75" s="103">
        <v>759.57743011797675</v>
      </c>
      <c r="I75" s="103">
        <v>5560.3165879320086</v>
      </c>
      <c r="J75" s="103">
        <v>26.350045994274506</v>
      </c>
      <c r="K75" s="103">
        <v>75.06481082719074</v>
      </c>
      <c r="L75" s="114">
        <v>0.58046955380078424</v>
      </c>
      <c r="M75" s="103">
        <v>12.019760588206129</v>
      </c>
      <c r="N75" s="113">
        <v>61.104706177556558</v>
      </c>
      <c r="O75" s="113">
        <v>57.414248920214789</v>
      </c>
      <c r="P75" s="113">
        <v>65.12103898605082</v>
      </c>
      <c r="Q75" s="113">
        <v>59.334955462725141</v>
      </c>
      <c r="R75" s="113">
        <v>60.857814362111867</v>
      </c>
      <c r="S75" s="113">
        <v>60.663858021671949</v>
      </c>
      <c r="T75" s="113">
        <v>58.085476304710092</v>
      </c>
      <c r="U75" s="113">
        <v>66.260845977589028</v>
      </c>
      <c r="V75" s="113">
        <v>57.071312383257236</v>
      </c>
      <c r="W75" s="113">
        <v>64.838800588305915</v>
      </c>
      <c r="X75" s="113">
        <v>56.033522113143178</v>
      </c>
      <c r="Y75" s="113">
        <v>57.051904775393105</v>
      </c>
      <c r="Z75" s="113"/>
      <c r="AA75" s="113">
        <v>49.193806585310973</v>
      </c>
      <c r="AB75" s="113">
        <v>44.250052565276171</v>
      </c>
      <c r="AC75" s="113">
        <v>44.011588749907034</v>
      </c>
      <c r="AD75" s="113">
        <v>44.225154398440885</v>
      </c>
      <c r="AE75" s="113">
        <v>44.796463590867411</v>
      </c>
      <c r="AF75" s="113">
        <v>41.527755393759982</v>
      </c>
      <c r="AG75" s="113">
        <v>46.690362484578799</v>
      </c>
      <c r="AH75" s="113">
        <v>44.495804664432221</v>
      </c>
      <c r="AI75" s="113">
        <v>46.535740365929257</v>
      </c>
      <c r="AJ75" s="113">
        <v>43.655223816444561</v>
      </c>
      <c r="AK75" s="113">
        <v>45.913404025583432</v>
      </c>
      <c r="AL75" s="113">
        <v>46.093717653956723</v>
      </c>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103"/>
      <c r="CR75" s="103"/>
      <c r="CS75" s="103"/>
      <c r="CT75" s="103"/>
      <c r="CU75" s="103"/>
      <c r="CV75" s="103"/>
      <c r="CW75" s="103"/>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row>
    <row r="76" spans="1:131">
      <c r="A76" s="79"/>
      <c r="B76" s="79" t="s">
        <v>399</v>
      </c>
      <c r="C76" s="142">
        <v>0</v>
      </c>
      <c r="D76" s="142">
        <v>0</v>
      </c>
      <c r="E76" s="142">
        <v>0</v>
      </c>
      <c r="F76" s="142">
        <v>0</v>
      </c>
      <c r="G76" s="142">
        <v>0</v>
      </c>
      <c r="H76" s="142">
        <v>0</v>
      </c>
      <c r="I76" s="142">
        <v>0</v>
      </c>
      <c r="J76" s="142">
        <v>0</v>
      </c>
      <c r="K76" s="142">
        <v>0</v>
      </c>
      <c r="L76" s="143">
        <v>0</v>
      </c>
      <c r="M76" s="142">
        <v>0</v>
      </c>
      <c r="N76" s="142">
        <v>0</v>
      </c>
      <c r="O76" s="142">
        <v>0</v>
      </c>
      <c r="P76" s="142">
        <v>0</v>
      </c>
      <c r="Q76" s="142">
        <v>0</v>
      </c>
      <c r="R76" s="142">
        <v>0</v>
      </c>
      <c r="S76" s="142">
        <v>0</v>
      </c>
      <c r="T76" s="142">
        <v>0</v>
      </c>
      <c r="U76" s="142">
        <v>0</v>
      </c>
      <c r="V76" s="142">
        <v>0</v>
      </c>
      <c r="W76" s="142">
        <v>0</v>
      </c>
      <c r="X76" s="142">
        <v>0</v>
      </c>
      <c r="Y76" s="142">
        <v>0</v>
      </c>
      <c r="Z76" s="142"/>
      <c r="AA76" s="142">
        <v>0</v>
      </c>
      <c r="AB76" s="142">
        <v>0</v>
      </c>
      <c r="AC76" s="142">
        <v>0</v>
      </c>
      <c r="AD76" s="142">
        <v>0</v>
      </c>
      <c r="AE76" s="142">
        <v>0</v>
      </c>
      <c r="AF76" s="142">
        <v>0</v>
      </c>
      <c r="AG76" s="142">
        <v>0</v>
      </c>
      <c r="AH76" s="142">
        <v>0</v>
      </c>
      <c r="AI76" s="142">
        <v>0</v>
      </c>
      <c r="AJ76" s="142">
        <v>0</v>
      </c>
      <c r="AK76" s="142">
        <v>0</v>
      </c>
      <c r="AL76" s="142">
        <v>0</v>
      </c>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103"/>
      <c r="CR76" s="103"/>
      <c r="CS76" s="103"/>
      <c r="CT76" s="103"/>
      <c r="CU76" s="103"/>
      <c r="CV76" s="103"/>
      <c r="CW76" s="103"/>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row>
    <row r="77" spans="1:131">
      <c r="A77" s="79"/>
      <c r="B77" s="79" t="s">
        <v>400</v>
      </c>
      <c r="C77" s="142">
        <v>0</v>
      </c>
      <c r="D77" s="142">
        <v>0</v>
      </c>
      <c r="E77" s="142">
        <v>0</v>
      </c>
      <c r="F77" s="142">
        <v>0</v>
      </c>
      <c r="G77" s="142">
        <v>0</v>
      </c>
      <c r="H77" s="142">
        <v>0</v>
      </c>
      <c r="I77" s="142">
        <v>0</v>
      </c>
      <c r="J77" s="142">
        <v>0</v>
      </c>
      <c r="K77" s="142">
        <v>0</v>
      </c>
      <c r="L77" s="143">
        <v>0</v>
      </c>
      <c r="M77" s="142">
        <v>0</v>
      </c>
      <c r="N77" s="142">
        <v>0</v>
      </c>
      <c r="O77" s="142">
        <v>0</v>
      </c>
      <c r="P77" s="142">
        <v>0</v>
      </c>
      <c r="Q77" s="142">
        <v>0</v>
      </c>
      <c r="R77" s="142">
        <v>0</v>
      </c>
      <c r="S77" s="142">
        <v>0</v>
      </c>
      <c r="T77" s="142">
        <v>0</v>
      </c>
      <c r="U77" s="142">
        <v>0</v>
      </c>
      <c r="V77" s="142">
        <v>0</v>
      </c>
      <c r="W77" s="142">
        <v>0</v>
      </c>
      <c r="X77" s="142">
        <v>0</v>
      </c>
      <c r="Y77" s="142">
        <v>0</v>
      </c>
      <c r="Z77" s="142"/>
      <c r="AA77" s="142">
        <v>0</v>
      </c>
      <c r="AB77" s="142">
        <v>0</v>
      </c>
      <c r="AC77" s="142">
        <v>0</v>
      </c>
      <c r="AD77" s="142">
        <v>0</v>
      </c>
      <c r="AE77" s="142">
        <v>0</v>
      </c>
      <c r="AF77" s="142">
        <v>0</v>
      </c>
      <c r="AG77" s="142">
        <v>0</v>
      </c>
      <c r="AH77" s="142">
        <v>0</v>
      </c>
      <c r="AI77" s="142">
        <v>0</v>
      </c>
      <c r="AJ77" s="142">
        <v>0</v>
      </c>
      <c r="AK77" s="142">
        <v>0</v>
      </c>
      <c r="AL77" s="142">
        <v>0</v>
      </c>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103"/>
      <c r="CR77" s="103"/>
      <c r="CS77" s="103"/>
      <c r="CT77" s="103"/>
      <c r="CU77" s="103"/>
      <c r="CV77" s="103"/>
      <c r="CW77" s="103"/>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row>
    <row r="78" spans="1:131">
      <c r="A78" s="79"/>
      <c r="B78" s="79" t="s">
        <v>401</v>
      </c>
      <c r="C78" s="142">
        <v>0</v>
      </c>
      <c r="D78" s="142">
        <v>0</v>
      </c>
      <c r="E78" s="142">
        <v>0</v>
      </c>
      <c r="F78" s="142">
        <v>0</v>
      </c>
      <c r="G78" s="142">
        <v>0</v>
      </c>
      <c r="H78" s="142">
        <v>0</v>
      </c>
      <c r="I78" s="142">
        <v>0</v>
      </c>
      <c r="J78" s="142">
        <v>0</v>
      </c>
      <c r="K78" s="142">
        <v>0</v>
      </c>
      <c r="L78" s="143">
        <v>0</v>
      </c>
      <c r="M78" s="142">
        <v>0</v>
      </c>
      <c r="N78" s="142">
        <v>0</v>
      </c>
      <c r="O78" s="142">
        <v>0</v>
      </c>
      <c r="P78" s="142">
        <v>0</v>
      </c>
      <c r="Q78" s="142">
        <v>0</v>
      </c>
      <c r="R78" s="142">
        <v>0</v>
      </c>
      <c r="S78" s="142">
        <v>0</v>
      </c>
      <c r="T78" s="142">
        <v>0</v>
      </c>
      <c r="U78" s="142">
        <v>0</v>
      </c>
      <c r="V78" s="142">
        <v>0</v>
      </c>
      <c r="W78" s="142">
        <v>0</v>
      </c>
      <c r="X78" s="142">
        <v>0</v>
      </c>
      <c r="Y78" s="142">
        <v>0</v>
      </c>
      <c r="Z78" s="142"/>
      <c r="AA78" s="142">
        <v>0</v>
      </c>
      <c r="AB78" s="142">
        <v>0</v>
      </c>
      <c r="AC78" s="142">
        <v>0</v>
      </c>
      <c r="AD78" s="142">
        <v>0</v>
      </c>
      <c r="AE78" s="142">
        <v>0</v>
      </c>
      <c r="AF78" s="142">
        <v>0</v>
      </c>
      <c r="AG78" s="142">
        <v>0</v>
      </c>
      <c r="AH78" s="142">
        <v>0</v>
      </c>
      <c r="AI78" s="142">
        <v>0</v>
      </c>
      <c r="AJ78" s="142">
        <v>0</v>
      </c>
      <c r="AK78" s="142">
        <v>0</v>
      </c>
      <c r="AL78" s="142">
        <v>0</v>
      </c>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103"/>
      <c r="CI78" s="103"/>
      <c r="CJ78" s="103"/>
      <c r="CK78" s="103"/>
      <c r="CL78" s="103"/>
      <c r="CM78" s="103"/>
      <c r="CN78" s="103"/>
      <c r="CO78" s="103"/>
      <c r="CP78" s="103"/>
      <c r="CQ78" s="103"/>
      <c r="CR78" s="103"/>
      <c r="CS78" s="103"/>
      <c r="CT78" s="103"/>
      <c r="CU78" s="103"/>
      <c r="CV78" s="103"/>
      <c r="CW78" s="103"/>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row>
    <row r="79" spans="1:131">
      <c r="A79" s="79"/>
      <c r="B79" s="79" t="s">
        <v>402</v>
      </c>
      <c r="C79" s="142">
        <v>0</v>
      </c>
      <c r="D79" s="142">
        <v>0</v>
      </c>
      <c r="E79" s="142">
        <v>0</v>
      </c>
      <c r="F79" s="142">
        <v>0</v>
      </c>
      <c r="G79" s="142">
        <v>0</v>
      </c>
      <c r="H79" s="142">
        <v>0</v>
      </c>
      <c r="I79" s="142">
        <v>0</v>
      </c>
      <c r="J79" s="142">
        <v>0</v>
      </c>
      <c r="K79" s="142">
        <v>0</v>
      </c>
      <c r="L79" s="143">
        <v>0</v>
      </c>
      <c r="M79" s="142">
        <v>0</v>
      </c>
      <c r="N79" s="142">
        <v>0</v>
      </c>
      <c r="O79" s="142">
        <v>0</v>
      </c>
      <c r="P79" s="142">
        <v>0</v>
      </c>
      <c r="Q79" s="142">
        <v>0</v>
      </c>
      <c r="R79" s="142">
        <v>0</v>
      </c>
      <c r="S79" s="142">
        <v>0</v>
      </c>
      <c r="T79" s="142">
        <v>0</v>
      </c>
      <c r="U79" s="142">
        <v>0</v>
      </c>
      <c r="V79" s="142">
        <v>0</v>
      </c>
      <c r="W79" s="142">
        <v>0</v>
      </c>
      <c r="X79" s="142">
        <v>0</v>
      </c>
      <c r="Y79" s="142">
        <v>0</v>
      </c>
      <c r="Z79" s="142"/>
      <c r="AA79" s="142">
        <v>0</v>
      </c>
      <c r="AB79" s="142">
        <v>0</v>
      </c>
      <c r="AC79" s="142">
        <v>0</v>
      </c>
      <c r="AD79" s="142">
        <v>0</v>
      </c>
      <c r="AE79" s="142">
        <v>0</v>
      </c>
      <c r="AF79" s="142">
        <v>0</v>
      </c>
      <c r="AG79" s="142">
        <v>0</v>
      </c>
      <c r="AH79" s="142">
        <v>0</v>
      </c>
      <c r="AI79" s="142">
        <v>0</v>
      </c>
      <c r="AJ79" s="142">
        <v>0</v>
      </c>
      <c r="AK79" s="142">
        <v>0</v>
      </c>
      <c r="AL79" s="142">
        <v>0</v>
      </c>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103"/>
      <c r="CI79" s="103"/>
      <c r="CJ79" s="103"/>
      <c r="CK79" s="103"/>
      <c r="CL79" s="103"/>
      <c r="CM79" s="103"/>
      <c r="CN79" s="103"/>
      <c r="CO79" s="103"/>
      <c r="CP79" s="103"/>
      <c r="CQ79" s="103"/>
      <c r="CR79" s="103"/>
      <c r="CS79" s="103"/>
      <c r="CT79" s="103"/>
      <c r="CU79" s="103"/>
      <c r="CV79" s="103"/>
      <c r="CW79" s="103"/>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row>
    <row r="80" spans="1:131">
      <c r="A80" s="79"/>
      <c r="B80" s="79" t="s">
        <v>403</v>
      </c>
      <c r="C80" s="142">
        <v>0</v>
      </c>
      <c r="D80" s="142">
        <v>0</v>
      </c>
      <c r="E80" s="142">
        <v>0</v>
      </c>
      <c r="F80" s="142">
        <v>0</v>
      </c>
      <c r="G80" s="142">
        <v>0</v>
      </c>
      <c r="H80" s="142">
        <v>0</v>
      </c>
      <c r="I80" s="142">
        <v>0</v>
      </c>
      <c r="J80" s="142">
        <v>0</v>
      </c>
      <c r="K80" s="142">
        <v>0</v>
      </c>
      <c r="L80" s="143">
        <v>0</v>
      </c>
      <c r="M80" s="142">
        <v>0</v>
      </c>
      <c r="N80" s="142">
        <v>0</v>
      </c>
      <c r="O80" s="142">
        <v>0</v>
      </c>
      <c r="P80" s="142">
        <v>0</v>
      </c>
      <c r="Q80" s="142">
        <v>0</v>
      </c>
      <c r="R80" s="142">
        <v>0</v>
      </c>
      <c r="S80" s="142">
        <v>0</v>
      </c>
      <c r="T80" s="142">
        <v>0</v>
      </c>
      <c r="U80" s="142">
        <v>0</v>
      </c>
      <c r="V80" s="142">
        <v>0</v>
      </c>
      <c r="W80" s="142">
        <v>0</v>
      </c>
      <c r="X80" s="142">
        <v>0</v>
      </c>
      <c r="Y80" s="142">
        <v>0</v>
      </c>
      <c r="Z80" s="142"/>
      <c r="AA80" s="142">
        <v>0</v>
      </c>
      <c r="AB80" s="142">
        <v>0</v>
      </c>
      <c r="AC80" s="142">
        <v>0</v>
      </c>
      <c r="AD80" s="142">
        <v>0</v>
      </c>
      <c r="AE80" s="142">
        <v>0</v>
      </c>
      <c r="AF80" s="142">
        <v>0</v>
      </c>
      <c r="AG80" s="142">
        <v>0</v>
      </c>
      <c r="AH80" s="142">
        <v>0</v>
      </c>
      <c r="AI80" s="142">
        <v>0</v>
      </c>
      <c r="AJ80" s="142">
        <v>0</v>
      </c>
      <c r="AK80" s="142">
        <v>0</v>
      </c>
      <c r="AL80" s="142">
        <v>0</v>
      </c>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row>
    <row r="81" spans="1:131">
      <c r="A81" s="79"/>
      <c r="B81" s="79" t="s">
        <v>404</v>
      </c>
      <c r="C81" s="142">
        <v>0</v>
      </c>
      <c r="D81" s="142">
        <v>0</v>
      </c>
      <c r="E81" s="142">
        <v>0</v>
      </c>
      <c r="F81" s="142">
        <v>0</v>
      </c>
      <c r="G81" s="142">
        <v>0</v>
      </c>
      <c r="H81" s="142">
        <v>0</v>
      </c>
      <c r="I81" s="142">
        <v>0</v>
      </c>
      <c r="J81" s="142">
        <v>0</v>
      </c>
      <c r="K81" s="142">
        <v>0</v>
      </c>
      <c r="L81" s="143">
        <v>0</v>
      </c>
      <c r="M81" s="142">
        <v>0</v>
      </c>
      <c r="N81" s="142">
        <v>0</v>
      </c>
      <c r="O81" s="142">
        <v>0</v>
      </c>
      <c r="P81" s="142">
        <v>0</v>
      </c>
      <c r="Q81" s="142">
        <v>0</v>
      </c>
      <c r="R81" s="142">
        <v>0</v>
      </c>
      <c r="S81" s="142">
        <v>0</v>
      </c>
      <c r="T81" s="142">
        <v>0</v>
      </c>
      <c r="U81" s="142">
        <v>0</v>
      </c>
      <c r="V81" s="142">
        <v>0</v>
      </c>
      <c r="W81" s="142">
        <v>0</v>
      </c>
      <c r="X81" s="142">
        <v>0</v>
      </c>
      <c r="Y81" s="142">
        <v>0</v>
      </c>
      <c r="Z81" s="142"/>
      <c r="AA81" s="142">
        <v>0</v>
      </c>
      <c r="AB81" s="142">
        <v>0</v>
      </c>
      <c r="AC81" s="142">
        <v>0</v>
      </c>
      <c r="AD81" s="142">
        <v>0</v>
      </c>
      <c r="AE81" s="142">
        <v>0</v>
      </c>
      <c r="AF81" s="142">
        <v>0</v>
      </c>
      <c r="AG81" s="142">
        <v>0</v>
      </c>
      <c r="AH81" s="142">
        <v>0</v>
      </c>
      <c r="AI81" s="142">
        <v>0</v>
      </c>
      <c r="AJ81" s="142">
        <v>0</v>
      </c>
      <c r="AK81" s="142">
        <v>0</v>
      </c>
      <c r="AL81" s="142">
        <v>0</v>
      </c>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row>
    <row r="82" spans="1:131">
      <c r="A82" s="79"/>
      <c r="B82" s="79" t="s">
        <v>405</v>
      </c>
      <c r="C82" s="142">
        <v>0</v>
      </c>
      <c r="D82" s="142">
        <v>0</v>
      </c>
      <c r="E82" s="142">
        <v>0</v>
      </c>
      <c r="F82" s="142">
        <v>0</v>
      </c>
      <c r="G82" s="142">
        <v>0</v>
      </c>
      <c r="H82" s="142">
        <v>0</v>
      </c>
      <c r="I82" s="142">
        <v>0</v>
      </c>
      <c r="J82" s="142">
        <v>0</v>
      </c>
      <c r="K82" s="142">
        <v>0</v>
      </c>
      <c r="L82" s="143">
        <v>0</v>
      </c>
      <c r="M82" s="142">
        <v>0</v>
      </c>
      <c r="N82" s="142">
        <v>0</v>
      </c>
      <c r="O82" s="142">
        <v>0</v>
      </c>
      <c r="P82" s="142">
        <v>0</v>
      </c>
      <c r="Q82" s="142">
        <v>0</v>
      </c>
      <c r="R82" s="142">
        <v>0</v>
      </c>
      <c r="S82" s="142">
        <v>0</v>
      </c>
      <c r="T82" s="142">
        <v>0</v>
      </c>
      <c r="U82" s="142">
        <v>0</v>
      </c>
      <c r="V82" s="142">
        <v>0</v>
      </c>
      <c r="W82" s="142">
        <v>0</v>
      </c>
      <c r="X82" s="142">
        <v>0</v>
      </c>
      <c r="Y82" s="142">
        <v>0</v>
      </c>
      <c r="Z82" s="142"/>
      <c r="AA82" s="142">
        <v>0</v>
      </c>
      <c r="AB82" s="142">
        <v>0</v>
      </c>
      <c r="AC82" s="142">
        <v>0</v>
      </c>
      <c r="AD82" s="142">
        <v>0</v>
      </c>
      <c r="AE82" s="142">
        <v>0</v>
      </c>
      <c r="AF82" s="142">
        <v>0</v>
      </c>
      <c r="AG82" s="142">
        <v>0</v>
      </c>
      <c r="AH82" s="142">
        <v>0</v>
      </c>
      <c r="AI82" s="142">
        <v>0</v>
      </c>
      <c r="AJ82" s="142">
        <v>0</v>
      </c>
      <c r="AK82" s="142">
        <v>0</v>
      </c>
      <c r="AL82" s="142">
        <v>0</v>
      </c>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c r="CJ82" s="103"/>
      <c r="CK82" s="103"/>
      <c r="CL82" s="103"/>
      <c r="CM82" s="103"/>
      <c r="CN82" s="103"/>
      <c r="CO82" s="103"/>
      <c r="CP82" s="103"/>
      <c r="CQ82" s="103"/>
      <c r="CR82" s="103"/>
      <c r="CS82" s="103"/>
      <c r="CT82" s="103"/>
      <c r="CU82" s="103"/>
      <c r="CV82" s="103"/>
      <c r="CW82" s="103"/>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row>
    <row r="83" spans="1:131">
      <c r="A83" s="79"/>
      <c r="B83" s="79" t="s">
        <v>406</v>
      </c>
      <c r="C83" s="142">
        <v>0</v>
      </c>
      <c r="D83" s="142">
        <v>0</v>
      </c>
      <c r="E83" s="142">
        <v>0</v>
      </c>
      <c r="F83" s="142">
        <v>0</v>
      </c>
      <c r="G83" s="142">
        <v>0</v>
      </c>
      <c r="H83" s="142">
        <v>0</v>
      </c>
      <c r="I83" s="142">
        <v>0</v>
      </c>
      <c r="J83" s="142">
        <v>0</v>
      </c>
      <c r="K83" s="142">
        <v>0</v>
      </c>
      <c r="L83" s="143">
        <v>0</v>
      </c>
      <c r="M83" s="142">
        <v>0</v>
      </c>
      <c r="N83" s="142">
        <v>0</v>
      </c>
      <c r="O83" s="142">
        <v>0</v>
      </c>
      <c r="P83" s="142">
        <v>0</v>
      </c>
      <c r="Q83" s="142">
        <v>0</v>
      </c>
      <c r="R83" s="142">
        <v>0</v>
      </c>
      <c r="S83" s="142">
        <v>0</v>
      </c>
      <c r="T83" s="142">
        <v>0</v>
      </c>
      <c r="U83" s="142">
        <v>0</v>
      </c>
      <c r="V83" s="142">
        <v>0</v>
      </c>
      <c r="W83" s="142">
        <v>0</v>
      </c>
      <c r="X83" s="142">
        <v>0</v>
      </c>
      <c r="Y83" s="142">
        <v>0</v>
      </c>
      <c r="Z83" s="142"/>
      <c r="AA83" s="142">
        <v>0</v>
      </c>
      <c r="AB83" s="142">
        <v>0</v>
      </c>
      <c r="AC83" s="142">
        <v>0</v>
      </c>
      <c r="AD83" s="142">
        <v>0</v>
      </c>
      <c r="AE83" s="142">
        <v>0</v>
      </c>
      <c r="AF83" s="142">
        <v>0</v>
      </c>
      <c r="AG83" s="142">
        <v>0</v>
      </c>
      <c r="AH83" s="142">
        <v>0</v>
      </c>
      <c r="AI83" s="142">
        <v>0</v>
      </c>
      <c r="AJ83" s="142">
        <v>0</v>
      </c>
      <c r="AK83" s="142">
        <v>0</v>
      </c>
      <c r="AL83" s="142">
        <v>0</v>
      </c>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c r="CJ83" s="103"/>
      <c r="CK83" s="103"/>
      <c r="CL83" s="103"/>
      <c r="CM83" s="103"/>
      <c r="CN83" s="103"/>
      <c r="CO83" s="103"/>
      <c r="CP83" s="103"/>
      <c r="CQ83" s="103"/>
      <c r="CR83" s="103"/>
      <c r="CS83" s="103"/>
      <c r="CT83" s="103"/>
      <c r="CU83" s="103"/>
      <c r="CV83" s="103"/>
      <c r="CW83" s="103"/>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row>
    <row r="84" spans="1:131">
      <c r="A84" s="79"/>
      <c r="B84" s="79" t="s">
        <v>407</v>
      </c>
      <c r="C84" s="142">
        <v>0</v>
      </c>
      <c r="D84" s="142">
        <v>0</v>
      </c>
      <c r="E84" s="142">
        <v>0</v>
      </c>
      <c r="F84" s="142">
        <v>0</v>
      </c>
      <c r="G84" s="142">
        <v>0</v>
      </c>
      <c r="H84" s="142">
        <v>0</v>
      </c>
      <c r="I84" s="142">
        <v>0</v>
      </c>
      <c r="J84" s="142">
        <v>0</v>
      </c>
      <c r="K84" s="142">
        <v>0</v>
      </c>
      <c r="L84" s="143">
        <v>0</v>
      </c>
      <c r="M84" s="142">
        <v>0</v>
      </c>
      <c r="N84" s="142">
        <v>0</v>
      </c>
      <c r="O84" s="142">
        <v>0</v>
      </c>
      <c r="P84" s="142">
        <v>0</v>
      </c>
      <c r="Q84" s="142">
        <v>0</v>
      </c>
      <c r="R84" s="142">
        <v>0</v>
      </c>
      <c r="S84" s="142">
        <v>0</v>
      </c>
      <c r="T84" s="142">
        <v>0</v>
      </c>
      <c r="U84" s="142">
        <v>0</v>
      </c>
      <c r="V84" s="142">
        <v>0</v>
      </c>
      <c r="W84" s="142">
        <v>0</v>
      </c>
      <c r="X84" s="142">
        <v>0</v>
      </c>
      <c r="Y84" s="142">
        <v>0</v>
      </c>
      <c r="Z84" s="142"/>
      <c r="AA84" s="142">
        <v>0</v>
      </c>
      <c r="AB84" s="142">
        <v>0</v>
      </c>
      <c r="AC84" s="142">
        <v>0</v>
      </c>
      <c r="AD84" s="142">
        <v>0</v>
      </c>
      <c r="AE84" s="142">
        <v>0</v>
      </c>
      <c r="AF84" s="142">
        <v>0</v>
      </c>
      <c r="AG84" s="142">
        <v>0</v>
      </c>
      <c r="AH84" s="142">
        <v>0</v>
      </c>
      <c r="AI84" s="142">
        <v>0</v>
      </c>
      <c r="AJ84" s="142">
        <v>0</v>
      </c>
      <c r="AK84" s="142">
        <v>0</v>
      </c>
      <c r="AL84" s="142">
        <v>0</v>
      </c>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103"/>
      <c r="CI84" s="103"/>
      <c r="CJ84" s="103"/>
      <c r="CK84" s="103"/>
      <c r="CL84" s="103"/>
      <c r="CM84" s="103"/>
      <c r="CN84" s="103"/>
      <c r="CO84" s="103"/>
      <c r="CP84" s="103"/>
      <c r="CQ84" s="103"/>
      <c r="CR84" s="103"/>
      <c r="CS84" s="103"/>
      <c r="CT84" s="103"/>
      <c r="CU84" s="103"/>
      <c r="CV84" s="103"/>
      <c r="CW84" s="103"/>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row>
    <row r="85" spans="1:131">
      <c r="A85" s="79"/>
      <c r="B85" s="79" t="s">
        <v>408</v>
      </c>
      <c r="C85" s="142">
        <v>0</v>
      </c>
      <c r="D85" s="142">
        <v>0</v>
      </c>
      <c r="E85" s="142">
        <v>0</v>
      </c>
      <c r="F85" s="142">
        <v>0</v>
      </c>
      <c r="G85" s="142">
        <v>0</v>
      </c>
      <c r="H85" s="142">
        <v>0</v>
      </c>
      <c r="I85" s="142">
        <v>0</v>
      </c>
      <c r="J85" s="142">
        <v>0</v>
      </c>
      <c r="K85" s="142">
        <v>0</v>
      </c>
      <c r="L85" s="143">
        <v>0</v>
      </c>
      <c r="M85" s="142">
        <v>0</v>
      </c>
      <c r="N85" s="142">
        <v>0</v>
      </c>
      <c r="O85" s="142">
        <v>0</v>
      </c>
      <c r="P85" s="142">
        <v>0</v>
      </c>
      <c r="Q85" s="142">
        <v>0</v>
      </c>
      <c r="R85" s="142">
        <v>0</v>
      </c>
      <c r="S85" s="142">
        <v>0</v>
      </c>
      <c r="T85" s="142">
        <v>0</v>
      </c>
      <c r="U85" s="142">
        <v>0</v>
      </c>
      <c r="V85" s="142">
        <v>0</v>
      </c>
      <c r="W85" s="142">
        <v>0</v>
      </c>
      <c r="X85" s="142">
        <v>0</v>
      </c>
      <c r="Y85" s="142">
        <v>0</v>
      </c>
      <c r="Z85" s="142"/>
      <c r="AA85" s="142">
        <v>0</v>
      </c>
      <c r="AB85" s="142">
        <v>0</v>
      </c>
      <c r="AC85" s="142">
        <v>0</v>
      </c>
      <c r="AD85" s="142">
        <v>0</v>
      </c>
      <c r="AE85" s="142">
        <v>0</v>
      </c>
      <c r="AF85" s="142">
        <v>0</v>
      </c>
      <c r="AG85" s="142">
        <v>0</v>
      </c>
      <c r="AH85" s="142">
        <v>0</v>
      </c>
      <c r="AI85" s="142">
        <v>0</v>
      </c>
      <c r="AJ85" s="142">
        <v>0</v>
      </c>
      <c r="AK85" s="142">
        <v>0</v>
      </c>
      <c r="AL85" s="142">
        <v>0</v>
      </c>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103"/>
      <c r="CI85" s="103"/>
      <c r="CJ85" s="103"/>
      <c r="CK85" s="103"/>
      <c r="CL85" s="103"/>
      <c r="CM85" s="103"/>
      <c r="CN85" s="103"/>
      <c r="CO85" s="103"/>
      <c r="CP85" s="103"/>
      <c r="CQ85" s="103"/>
      <c r="CR85" s="103"/>
      <c r="CS85" s="103"/>
      <c r="CT85" s="103"/>
      <c r="CU85" s="103"/>
      <c r="CV85" s="103"/>
      <c r="CW85" s="103"/>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row>
    <row r="86" spans="1:131">
      <c r="A86" s="79"/>
      <c r="B86" s="79" t="s">
        <v>409</v>
      </c>
      <c r="C86" s="142">
        <v>0</v>
      </c>
      <c r="D86" s="142">
        <v>0</v>
      </c>
      <c r="E86" s="142">
        <v>0</v>
      </c>
      <c r="F86" s="142">
        <v>0</v>
      </c>
      <c r="G86" s="142">
        <v>0</v>
      </c>
      <c r="H86" s="142">
        <v>0</v>
      </c>
      <c r="I86" s="142">
        <v>0</v>
      </c>
      <c r="J86" s="142">
        <v>0</v>
      </c>
      <c r="K86" s="142">
        <v>0</v>
      </c>
      <c r="L86" s="143">
        <v>0</v>
      </c>
      <c r="M86" s="142">
        <v>0</v>
      </c>
      <c r="N86" s="142">
        <v>0</v>
      </c>
      <c r="O86" s="142">
        <v>0</v>
      </c>
      <c r="P86" s="142">
        <v>0</v>
      </c>
      <c r="Q86" s="142">
        <v>0</v>
      </c>
      <c r="R86" s="142">
        <v>0</v>
      </c>
      <c r="S86" s="142">
        <v>0</v>
      </c>
      <c r="T86" s="142">
        <v>0</v>
      </c>
      <c r="U86" s="142">
        <v>0</v>
      </c>
      <c r="V86" s="142">
        <v>0</v>
      </c>
      <c r="W86" s="142">
        <v>0</v>
      </c>
      <c r="X86" s="142">
        <v>0</v>
      </c>
      <c r="Y86" s="142">
        <v>0</v>
      </c>
      <c r="Z86" s="142"/>
      <c r="AA86" s="142">
        <v>0</v>
      </c>
      <c r="AB86" s="142">
        <v>0</v>
      </c>
      <c r="AC86" s="142">
        <v>0</v>
      </c>
      <c r="AD86" s="142">
        <v>0</v>
      </c>
      <c r="AE86" s="142">
        <v>0</v>
      </c>
      <c r="AF86" s="142">
        <v>0</v>
      </c>
      <c r="AG86" s="142">
        <v>0</v>
      </c>
      <c r="AH86" s="142">
        <v>0</v>
      </c>
      <c r="AI86" s="142">
        <v>0</v>
      </c>
      <c r="AJ86" s="142">
        <v>0</v>
      </c>
      <c r="AK86" s="142">
        <v>0</v>
      </c>
      <c r="AL86" s="142">
        <v>0</v>
      </c>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103"/>
      <c r="CI86" s="103"/>
      <c r="CJ86" s="103"/>
      <c r="CK86" s="103"/>
      <c r="CL86" s="103"/>
      <c r="CM86" s="103"/>
      <c r="CN86" s="103"/>
      <c r="CO86" s="103"/>
      <c r="CP86" s="103"/>
      <c r="CQ86" s="103"/>
      <c r="CR86" s="103"/>
      <c r="CS86" s="103"/>
      <c r="CT86" s="103"/>
      <c r="CU86" s="103"/>
      <c r="CV86" s="103"/>
      <c r="CW86" s="103"/>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row>
    <row r="87" spans="1:131">
      <c r="A87" s="79"/>
      <c r="B87" s="79" t="s">
        <v>410</v>
      </c>
      <c r="C87" s="142">
        <v>0</v>
      </c>
      <c r="D87" s="142">
        <v>0</v>
      </c>
      <c r="E87" s="142">
        <v>0</v>
      </c>
      <c r="F87" s="142">
        <v>0</v>
      </c>
      <c r="G87" s="142">
        <v>0</v>
      </c>
      <c r="H87" s="142">
        <v>0</v>
      </c>
      <c r="I87" s="142">
        <v>0</v>
      </c>
      <c r="J87" s="142">
        <v>0</v>
      </c>
      <c r="K87" s="142">
        <v>0</v>
      </c>
      <c r="L87" s="143">
        <v>0</v>
      </c>
      <c r="M87" s="142">
        <v>0</v>
      </c>
      <c r="N87" s="142">
        <v>0</v>
      </c>
      <c r="O87" s="142">
        <v>0</v>
      </c>
      <c r="P87" s="142">
        <v>0</v>
      </c>
      <c r="Q87" s="142">
        <v>0</v>
      </c>
      <c r="R87" s="142">
        <v>0</v>
      </c>
      <c r="S87" s="142">
        <v>0</v>
      </c>
      <c r="T87" s="142">
        <v>0</v>
      </c>
      <c r="U87" s="142">
        <v>0</v>
      </c>
      <c r="V87" s="142">
        <v>0</v>
      </c>
      <c r="W87" s="142">
        <v>0</v>
      </c>
      <c r="X87" s="142">
        <v>0</v>
      </c>
      <c r="Y87" s="142">
        <v>0</v>
      </c>
      <c r="Z87" s="142"/>
      <c r="AA87" s="142">
        <v>0</v>
      </c>
      <c r="AB87" s="142">
        <v>0</v>
      </c>
      <c r="AC87" s="142">
        <v>0</v>
      </c>
      <c r="AD87" s="142">
        <v>0</v>
      </c>
      <c r="AE87" s="142">
        <v>0</v>
      </c>
      <c r="AF87" s="142">
        <v>0</v>
      </c>
      <c r="AG87" s="142">
        <v>0</v>
      </c>
      <c r="AH87" s="142">
        <v>0</v>
      </c>
      <c r="AI87" s="142">
        <v>0</v>
      </c>
      <c r="AJ87" s="142">
        <v>0</v>
      </c>
      <c r="AK87" s="142">
        <v>0</v>
      </c>
      <c r="AL87" s="142">
        <v>0</v>
      </c>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3"/>
      <c r="CT87" s="103"/>
      <c r="CU87" s="103"/>
      <c r="CV87" s="103"/>
      <c r="CW87" s="103"/>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row>
    <row r="88" spans="1:131">
      <c r="A88" s="79"/>
      <c r="B88" s="79" t="s">
        <v>411</v>
      </c>
      <c r="C88" s="142">
        <v>0</v>
      </c>
      <c r="D88" s="142">
        <v>0</v>
      </c>
      <c r="E88" s="142">
        <v>0</v>
      </c>
      <c r="F88" s="142">
        <v>0</v>
      </c>
      <c r="G88" s="142">
        <v>0</v>
      </c>
      <c r="H88" s="142">
        <v>0</v>
      </c>
      <c r="I88" s="142">
        <v>0</v>
      </c>
      <c r="J88" s="142">
        <v>0</v>
      </c>
      <c r="K88" s="142">
        <v>0</v>
      </c>
      <c r="L88" s="143">
        <v>0</v>
      </c>
      <c r="M88" s="142">
        <v>0</v>
      </c>
      <c r="N88" s="142">
        <v>0</v>
      </c>
      <c r="O88" s="142">
        <v>0</v>
      </c>
      <c r="P88" s="142">
        <v>0</v>
      </c>
      <c r="Q88" s="142">
        <v>0</v>
      </c>
      <c r="R88" s="142">
        <v>0</v>
      </c>
      <c r="S88" s="142">
        <v>0</v>
      </c>
      <c r="T88" s="142">
        <v>0</v>
      </c>
      <c r="U88" s="142">
        <v>0</v>
      </c>
      <c r="V88" s="142">
        <v>0</v>
      </c>
      <c r="W88" s="142">
        <v>0</v>
      </c>
      <c r="X88" s="142">
        <v>0</v>
      </c>
      <c r="Y88" s="142">
        <v>0</v>
      </c>
      <c r="Z88" s="142"/>
      <c r="AA88" s="142">
        <v>0</v>
      </c>
      <c r="AB88" s="142">
        <v>0</v>
      </c>
      <c r="AC88" s="142">
        <v>0</v>
      </c>
      <c r="AD88" s="142">
        <v>0</v>
      </c>
      <c r="AE88" s="142">
        <v>0</v>
      </c>
      <c r="AF88" s="142">
        <v>0</v>
      </c>
      <c r="AG88" s="142">
        <v>0</v>
      </c>
      <c r="AH88" s="142">
        <v>0</v>
      </c>
      <c r="AI88" s="142">
        <v>0</v>
      </c>
      <c r="AJ88" s="142">
        <v>0</v>
      </c>
      <c r="AK88" s="142">
        <v>0</v>
      </c>
      <c r="AL88" s="142">
        <v>0</v>
      </c>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103"/>
      <c r="CI88" s="103"/>
      <c r="CJ88" s="103"/>
      <c r="CK88" s="103"/>
      <c r="CL88" s="103"/>
      <c r="CM88" s="103"/>
      <c r="CN88" s="103"/>
      <c r="CO88" s="103"/>
      <c r="CP88" s="103"/>
      <c r="CQ88" s="103"/>
      <c r="CR88" s="103"/>
      <c r="CS88" s="103"/>
      <c r="CT88" s="103"/>
      <c r="CU88" s="103"/>
      <c r="CV88" s="103"/>
      <c r="CW88" s="103"/>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row>
    <row r="89" spans="1:131">
      <c r="A89" s="79"/>
      <c r="B89" s="79"/>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103"/>
      <c r="CI89" s="103"/>
      <c r="CJ89" s="103"/>
      <c r="CK89" s="103"/>
      <c r="CL89" s="103"/>
      <c r="CM89" s="103"/>
      <c r="CN89" s="103"/>
      <c r="CO89" s="103"/>
      <c r="CP89" s="103"/>
      <c r="CQ89" s="103"/>
      <c r="CR89" s="103"/>
      <c r="CS89" s="103"/>
      <c r="CT89" s="103"/>
      <c r="CU89" s="103"/>
      <c r="CV89" s="103"/>
      <c r="CW89" s="103"/>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row>
    <row r="90" spans="1:131">
      <c r="A90" s="79"/>
      <c r="B90" s="79"/>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103"/>
      <c r="CR90" s="103"/>
      <c r="CS90" s="103"/>
      <c r="CT90" s="103"/>
      <c r="CU90" s="103"/>
      <c r="CV90" s="103"/>
      <c r="CW90" s="103"/>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row>
    <row r="91" spans="1:131" ht="15.75" thickBot="1">
      <c r="A91" s="101" t="s">
        <v>175</v>
      </c>
      <c r="B91" s="102"/>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103"/>
      <c r="CI91" s="103"/>
      <c r="CJ91" s="103"/>
      <c r="CK91" s="103"/>
      <c r="CL91" s="103"/>
      <c r="CM91" s="103"/>
      <c r="CN91" s="103"/>
      <c r="CO91" s="103"/>
      <c r="CP91" s="103"/>
      <c r="CQ91" s="103"/>
      <c r="CR91" s="103"/>
      <c r="CS91" s="103"/>
      <c r="CT91" s="103"/>
      <c r="CU91" s="103"/>
      <c r="CV91" s="103"/>
      <c r="CW91" s="103"/>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row>
    <row r="92" spans="1:131" ht="15.75" thickBot="1">
      <c r="A92" s="104"/>
      <c r="B92" s="105"/>
      <c r="C92" s="106"/>
      <c r="D92" s="106"/>
      <c r="E92" s="106"/>
      <c r="F92" s="106"/>
      <c r="G92" s="106"/>
      <c r="H92" s="106"/>
      <c r="I92" s="106"/>
      <c r="J92" s="106"/>
      <c r="K92" s="106"/>
      <c r="L92" s="106"/>
      <c r="M92" s="106"/>
      <c r="N92" s="106"/>
      <c r="O92" s="107" t="s">
        <v>176</v>
      </c>
      <c r="P92" s="108"/>
      <c r="Q92" s="108"/>
      <c r="R92" s="108"/>
      <c r="S92" s="108"/>
      <c r="T92" s="108"/>
      <c r="U92" s="108"/>
      <c r="V92" s="108"/>
      <c r="W92" s="108"/>
      <c r="X92" s="108"/>
      <c r="Y92" s="108"/>
      <c r="Z92" s="109"/>
      <c r="AA92" s="106"/>
      <c r="AB92" s="107" t="s">
        <v>177</v>
      </c>
      <c r="AC92" s="108"/>
      <c r="AD92" s="108"/>
      <c r="AE92" s="108"/>
      <c r="AF92" s="108"/>
      <c r="AG92" s="108"/>
      <c r="AH92" s="108"/>
      <c r="AI92" s="108"/>
      <c r="AJ92" s="108"/>
      <c r="AK92" s="108"/>
      <c r="AL92" s="108"/>
      <c r="AM92" s="109"/>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103"/>
      <c r="CL92" s="103"/>
      <c r="CM92" s="103"/>
      <c r="CN92" s="103"/>
      <c r="CO92" s="103"/>
      <c r="CP92" s="103"/>
      <c r="CQ92" s="103"/>
      <c r="CR92" s="103"/>
      <c r="CS92" s="103"/>
      <c r="CT92" s="103"/>
      <c r="CU92" s="103"/>
      <c r="CV92" s="103"/>
      <c r="CW92" s="103"/>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row>
    <row r="93" spans="1:131" ht="102.75">
      <c r="A93" s="110" t="s">
        <v>178</v>
      </c>
      <c r="B93" s="111" t="s">
        <v>179</v>
      </c>
      <c r="C93" s="112" t="s">
        <v>180</v>
      </c>
      <c r="D93" s="112" t="s">
        <v>12</v>
      </c>
      <c r="E93" s="112" t="s">
        <v>181</v>
      </c>
      <c r="F93" s="112" t="s">
        <v>182</v>
      </c>
      <c r="G93" s="112" t="s">
        <v>183</v>
      </c>
      <c r="H93" s="112" t="s">
        <v>184</v>
      </c>
      <c r="I93" s="112" t="s">
        <v>185</v>
      </c>
      <c r="J93" s="112" t="s">
        <v>186</v>
      </c>
      <c r="K93" s="112" t="s">
        <v>187</v>
      </c>
      <c r="L93" s="112" t="s">
        <v>188</v>
      </c>
      <c r="M93" s="112" t="s">
        <v>189</v>
      </c>
      <c r="N93" s="112" t="s">
        <v>190</v>
      </c>
      <c r="O93" s="112" t="s">
        <v>191</v>
      </c>
      <c r="P93" s="112" t="s">
        <v>192</v>
      </c>
      <c r="Q93" s="112" t="s">
        <v>193</v>
      </c>
      <c r="R93" s="112" t="s">
        <v>194</v>
      </c>
      <c r="S93" s="112" t="s">
        <v>195</v>
      </c>
      <c r="T93" s="112" t="s">
        <v>196</v>
      </c>
      <c r="U93" s="112" t="s">
        <v>197</v>
      </c>
      <c r="V93" s="112" t="s">
        <v>198</v>
      </c>
      <c r="W93" s="112" t="s">
        <v>199</v>
      </c>
      <c r="X93" s="112" t="s">
        <v>200</v>
      </c>
      <c r="Y93" s="112" t="s">
        <v>201</v>
      </c>
      <c r="Z93" s="112" t="s">
        <v>202</v>
      </c>
      <c r="AA93" s="112"/>
      <c r="AB93" s="112" t="s">
        <v>191</v>
      </c>
      <c r="AC93" s="112" t="s">
        <v>192</v>
      </c>
      <c r="AD93" s="112" t="s">
        <v>193</v>
      </c>
      <c r="AE93" s="112" t="s">
        <v>194</v>
      </c>
      <c r="AF93" s="112" t="s">
        <v>195</v>
      </c>
      <c r="AG93" s="112" t="s">
        <v>196</v>
      </c>
      <c r="AH93" s="112" t="s">
        <v>197</v>
      </c>
      <c r="AI93" s="112" t="s">
        <v>198</v>
      </c>
      <c r="AJ93" s="112" t="s">
        <v>199</v>
      </c>
      <c r="AK93" s="112" t="s">
        <v>200</v>
      </c>
      <c r="AL93" s="112" t="s">
        <v>201</v>
      </c>
      <c r="AM93" s="112" t="s">
        <v>202</v>
      </c>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103"/>
      <c r="CR93" s="103"/>
      <c r="CS93" s="103"/>
      <c r="CT93" s="103"/>
      <c r="CU93" s="103"/>
      <c r="CV93" s="103"/>
      <c r="CW93" s="103"/>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row>
    <row r="94" spans="1:131">
      <c r="A94" s="79" t="s">
        <v>203</v>
      </c>
      <c r="B94" s="79"/>
      <c r="C94" s="113">
        <v>1636.755308990244</v>
      </c>
      <c r="D94" s="113">
        <v>351.83994045781247</v>
      </c>
      <c r="E94" s="113">
        <v>70.367988091562495</v>
      </c>
      <c r="F94" s="113">
        <v>422.20792854937497</v>
      </c>
      <c r="G94" s="113">
        <v>714.81162804993187</v>
      </c>
      <c r="H94" s="113">
        <v>982.6235471342211</v>
      </c>
      <c r="I94" s="113">
        <v>2259.6789109388924</v>
      </c>
      <c r="J94" s="113">
        <v>6.4755631858574594</v>
      </c>
      <c r="K94" s="113">
        <v>25.00409166164275</v>
      </c>
      <c r="L94" s="134">
        <v>1.3268955152014621</v>
      </c>
      <c r="M94" s="113">
        <v>15.54930322646999</v>
      </c>
      <c r="N94" s="113">
        <v>0.20557028264941321</v>
      </c>
      <c r="O94" s="113">
        <v>79.047797828141313</v>
      </c>
      <c r="P94" s="113">
        <v>74.273656237081724</v>
      </c>
      <c r="Q94" s="113">
        <v>84.243506697665254</v>
      </c>
      <c r="R94" s="113">
        <v>76.758368658713692</v>
      </c>
      <c r="S94" s="113">
        <v>78.728407464721769</v>
      </c>
      <c r="T94" s="113">
        <v>78.477496814042425</v>
      </c>
      <c r="U94" s="113">
        <v>75.141986189149875</v>
      </c>
      <c r="V94" s="113">
        <v>85.718012317059078</v>
      </c>
      <c r="W94" s="113">
        <v>73.830018099578325</v>
      </c>
      <c r="X94" s="113">
        <v>83.878390404667329</v>
      </c>
      <c r="Y94" s="113">
        <v>72.487485902113647</v>
      </c>
      <c r="Z94" s="113">
        <v>73.80491154463779</v>
      </c>
      <c r="AA94" s="113"/>
      <c r="AB94" s="113">
        <v>63.639322085156095</v>
      </c>
      <c r="AC94" s="113">
        <v>57.243859399316221</v>
      </c>
      <c r="AD94" s="113">
        <v>56.935371876082698</v>
      </c>
      <c r="AE94" s="113">
        <v>57.211650010197026</v>
      </c>
      <c r="AF94" s="113">
        <v>57.950721292351027</v>
      </c>
      <c r="AG94" s="113">
        <v>53.722173265733737</v>
      </c>
      <c r="AH94" s="113">
        <v>60.400754133062499</v>
      </c>
      <c r="AI94" s="113">
        <v>57.561775374453724</v>
      </c>
      <c r="AJ94" s="113">
        <v>60.200728001863176</v>
      </c>
      <c r="AK94" s="113">
        <v>56.474362160537623</v>
      </c>
      <c r="AL94" s="113">
        <v>59.395645704767851</v>
      </c>
      <c r="AM94" s="103">
        <v>59.62890752914997</v>
      </c>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103"/>
      <c r="CI94" s="103"/>
      <c r="CJ94" s="103"/>
      <c r="CK94" s="103"/>
      <c r="CL94" s="103"/>
      <c r="CM94" s="103"/>
      <c r="CN94" s="103"/>
      <c r="CO94" s="103"/>
      <c r="CP94" s="103"/>
      <c r="CQ94" s="103"/>
      <c r="CR94" s="103"/>
      <c r="CS94" s="103"/>
      <c r="CT94" s="103"/>
      <c r="CU94" s="103"/>
      <c r="CV94" s="103"/>
      <c r="CW94" s="103"/>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row>
    <row r="95" spans="1:131">
      <c r="A95" s="79" t="s">
        <v>204</v>
      </c>
      <c r="B95" s="79"/>
      <c r="C95" s="113">
        <v>1636.755308990244</v>
      </c>
      <c r="D95" s="113">
        <v>478.33580553194651</v>
      </c>
      <c r="E95" s="113">
        <v>95.667161106389301</v>
      </c>
      <c r="F95" s="113">
        <v>574.00296663833581</v>
      </c>
      <c r="G95" s="113">
        <v>1009.3569503759622</v>
      </c>
      <c r="H95" s="113">
        <v>982.6235471342211</v>
      </c>
      <c r="I95" s="113">
        <v>3072.0938921859292</v>
      </c>
      <c r="J95" s="113">
        <v>11.367444439786551</v>
      </c>
      <c r="K95" s="113">
        <v>38.245631340063099</v>
      </c>
      <c r="L95" s="114">
        <v>0.97599810355622874</v>
      </c>
      <c r="M95" s="113">
        <v>15.54930322646999</v>
      </c>
      <c r="N95" s="113">
        <v>0.20557028264941321</v>
      </c>
      <c r="O95" s="113">
        <v>79.047797828141313</v>
      </c>
      <c r="P95" s="113">
        <v>74.273656237081724</v>
      </c>
      <c r="Q95" s="113">
        <v>84.243506697665254</v>
      </c>
      <c r="R95" s="113">
        <v>76.758368658713692</v>
      </c>
      <c r="S95" s="113">
        <v>78.728407464721769</v>
      </c>
      <c r="T95" s="113">
        <v>78.477496814042425</v>
      </c>
      <c r="U95" s="113">
        <v>75.141986189149875</v>
      </c>
      <c r="V95" s="113">
        <v>85.718012317059078</v>
      </c>
      <c r="W95" s="113">
        <v>73.830018099578325</v>
      </c>
      <c r="X95" s="113">
        <v>83.878390404667329</v>
      </c>
      <c r="Y95" s="113">
        <v>72.487485902113647</v>
      </c>
      <c r="Z95" s="113">
        <v>73.80491154463779</v>
      </c>
      <c r="AA95" s="113"/>
      <c r="AB95" s="113">
        <v>63.639322085156095</v>
      </c>
      <c r="AC95" s="113">
        <v>57.243859399316221</v>
      </c>
      <c r="AD95" s="113">
        <v>56.935371876082698</v>
      </c>
      <c r="AE95" s="113">
        <v>57.211650010197026</v>
      </c>
      <c r="AF95" s="113">
        <v>57.950721292351027</v>
      </c>
      <c r="AG95" s="113">
        <v>53.722173265733737</v>
      </c>
      <c r="AH95" s="113">
        <v>60.400754133062499</v>
      </c>
      <c r="AI95" s="113">
        <v>57.561775374453724</v>
      </c>
      <c r="AJ95" s="113">
        <v>60.200728001863176</v>
      </c>
      <c r="AK95" s="113">
        <v>56.474362160537623</v>
      </c>
      <c r="AL95" s="113">
        <v>59.395645704767851</v>
      </c>
      <c r="AM95" s="103">
        <v>59.62890752914997</v>
      </c>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103"/>
      <c r="CI95" s="103"/>
      <c r="CJ95" s="103"/>
      <c r="CK95" s="103"/>
      <c r="CL95" s="103"/>
      <c r="CM95" s="103"/>
      <c r="CN95" s="103"/>
      <c r="CO95" s="103"/>
      <c r="CP95" s="103"/>
      <c r="CQ95" s="103"/>
      <c r="CR95" s="103"/>
      <c r="CS95" s="103"/>
      <c r="CT95" s="103"/>
      <c r="CU95" s="103"/>
      <c r="CV95" s="103"/>
      <c r="CW95" s="103"/>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row>
    <row r="96" spans="1:131">
      <c r="A96" s="79" t="s">
        <v>205</v>
      </c>
      <c r="B96" s="79"/>
      <c r="C96" s="113">
        <v>1424.1102943402925</v>
      </c>
      <c r="D96" s="113">
        <v>441.53646962377445</v>
      </c>
      <c r="E96" s="113">
        <v>88.307293924754902</v>
      </c>
      <c r="F96" s="113">
        <v>529.8437635485293</v>
      </c>
      <c r="G96" s="113">
        <v>923.22277558437327</v>
      </c>
      <c r="H96" s="113">
        <v>854.96243772584535</v>
      </c>
      <c r="I96" s="113">
        <v>3259.179704782081</v>
      </c>
      <c r="J96" s="113">
        <v>12.493964261110364</v>
      </c>
      <c r="K96" s="113">
        <v>40.570722502572551</v>
      </c>
      <c r="L96" s="114">
        <v>0.93360642532402893</v>
      </c>
      <c r="M96" s="113">
        <v>13.529158984855092</v>
      </c>
      <c r="N96" s="113">
        <v>0.17886287224697064</v>
      </c>
      <c r="O96" s="113">
        <v>68.778015879133022</v>
      </c>
      <c r="P96" s="113">
        <v>64.624124244188181</v>
      </c>
      <c r="Q96" s="113">
        <v>73.298705347401182</v>
      </c>
      <c r="R96" s="113">
        <v>66.786026221035456</v>
      </c>
      <c r="S96" s="113">
        <v>68.500120275580954</v>
      </c>
      <c r="T96" s="113">
        <v>68.28180759400334</v>
      </c>
      <c r="U96" s="113">
        <v>65.379641954643731</v>
      </c>
      <c r="V96" s="113">
        <v>74.58164521025509</v>
      </c>
      <c r="W96" s="113">
        <v>64.238122967692973</v>
      </c>
      <c r="X96" s="113">
        <v>72.981024464599898</v>
      </c>
      <c r="Y96" s="113">
        <v>63.070010720009329</v>
      </c>
      <c r="Z96" s="113">
        <v>64.21627822208572</v>
      </c>
      <c r="AA96" s="113"/>
      <c r="AB96" s="113">
        <v>55.37138826341728</v>
      </c>
      <c r="AC96" s="113">
        <v>49.80681535630837</v>
      </c>
      <c r="AD96" s="113">
        <v>49.538406110833904</v>
      </c>
      <c r="AE96" s="113">
        <v>49.778790567039565</v>
      </c>
      <c r="AF96" s="113">
        <v>50.421842717465225</v>
      </c>
      <c r="AG96" s="113">
        <v>46.742661876113267</v>
      </c>
      <c r="AH96" s="113">
        <v>52.55357063718801</v>
      </c>
      <c r="AI96" s="113">
        <v>50.083428122090609</v>
      </c>
      <c r="AJ96" s="113">
        <v>52.379531627805626</v>
      </c>
      <c r="AK96" s="113">
        <v>49.137290147994193</v>
      </c>
      <c r="AL96" s="113">
        <v>51.679044523357554</v>
      </c>
      <c r="AM96" s="103">
        <v>51.882001290049892</v>
      </c>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03"/>
      <c r="CR96" s="103"/>
      <c r="CS96" s="103"/>
      <c r="CT96" s="103"/>
      <c r="CU96" s="103"/>
      <c r="CV96" s="103"/>
      <c r="CW96" s="103"/>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row>
    <row r="97" spans="1:131">
      <c r="A97" s="79" t="s">
        <v>207</v>
      </c>
      <c r="B97" s="79"/>
      <c r="C97" s="113">
        <v>1265.2275583672172</v>
      </c>
      <c r="D97" s="113">
        <v>538.1464278686118</v>
      </c>
      <c r="E97" s="113">
        <v>107.62928557372237</v>
      </c>
      <c r="F97" s="113">
        <v>645.77571344233411</v>
      </c>
      <c r="G97" s="113">
        <v>1108.0887023844275</v>
      </c>
      <c r="H97" s="113">
        <v>759.57743011797675</v>
      </c>
      <c r="I97" s="113">
        <v>4471.128701192084</v>
      </c>
      <c r="J97" s="113">
        <v>19.791602430160189</v>
      </c>
      <c r="K97" s="113">
        <v>57.312153684675614</v>
      </c>
      <c r="L97" s="114">
        <v>0.72187465503452308</v>
      </c>
      <c r="M97" s="113">
        <v>12.019760588206129</v>
      </c>
      <c r="N97" s="113">
        <v>0.15890780091609044</v>
      </c>
      <c r="O97" s="113">
        <v>61.104706177556558</v>
      </c>
      <c r="P97" s="113">
        <v>57.414248920214789</v>
      </c>
      <c r="Q97" s="113">
        <v>65.12103898605082</v>
      </c>
      <c r="R97" s="113">
        <v>59.334955462725141</v>
      </c>
      <c r="S97" s="113">
        <v>60.857814362111867</v>
      </c>
      <c r="T97" s="113">
        <v>60.663858021671949</v>
      </c>
      <c r="U97" s="113">
        <v>58.085476304710092</v>
      </c>
      <c r="V97" s="113">
        <v>66.260845977589028</v>
      </c>
      <c r="W97" s="113">
        <v>57.071312383257236</v>
      </c>
      <c r="X97" s="113">
        <v>64.838800588305915</v>
      </c>
      <c r="Y97" s="113">
        <v>56.033522113143178</v>
      </c>
      <c r="Z97" s="113">
        <v>57.051904775393105</v>
      </c>
      <c r="AA97" s="113"/>
      <c r="AB97" s="113">
        <v>49.193806585310973</v>
      </c>
      <c r="AC97" s="113">
        <v>44.250052565276171</v>
      </c>
      <c r="AD97" s="113">
        <v>44.011588749907034</v>
      </c>
      <c r="AE97" s="113">
        <v>44.225154398440885</v>
      </c>
      <c r="AF97" s="113">
        <v>44.796463590867411</v>
      </c>
      <c r="AG97" s="113">
        <v>41.527755393759982</v>
      </c>
      <c r="AH97" s="113">
        <v>46.690362484578799</v>
      </c>
      <c r="AI97" s="113">
        <v>44.495804664432221</v>
      </c>
      <c r="AJ97" s="113">
        <v>46.535740365929257</v>
      </c>
      <c r="AK97" s="113">
        <v>43.655223816444561</v>
      </c>
      <c r="AL97" s="113">
        <v>45.913404025583432</v>
      </c>
      <c r="AM97" s="103">
        <v>46.093717653956723</v>
      </c>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c r="CH97" s="103"/>
      <c r="CI97" s="103"/>
      <c r="CJ97" s="103"/>
      <c r="CK97" s="103"/>
      <c r="CL97" s="103"/>
      <c r="CM97" s="103"/>
      <c r="CN97" s="103"/>
      <c r="CO97" s="103"/>
      <c r="CP97" s="103"/>
      <c r="CQ97" s="103"/>
      <c r="CR97" s="103"/>
      <c r="CS97" s="103"/>
      <c r="CT97" s="103"/>
      <c r="CU97" s="103"/>
      <c r="CV97" s="103"/>
      <c r="CW97" s="103"/>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row>
    <row r="98" spans="1:131">
      <c r="A98" s="79" t="s">
        <v>206</v>
      </c>
      <c r="B98" s="79"/>
      <c r="C98" s="113">
        <v>1424.1102943402925</v>
      </c>
      <c r="D98" s="113">
        <v>573.78861149399609</v>
      </c>
      <c r="E98" s="113">
        <v>114.75772229879922</v>
      </c>
      <c r="F98" s="113">
        <v>688.54633379279528</v>
      </c>
      <c r="G98" s="113">
        <v>1231.1715748011923</v>
      </c>
      <c r="H98" s="113">
        <v>854.96243772584535</v>
      </c>
      <c r="I98" s="113">
        <v>4235.3923765567661</v>
      </c>
      <c r="J98" s="113">
        <v>18.372138075153419</v>
      </c>
      <c r="K98" s="113">
        <v>56.481998299135633</v>
      </c>
      <c r="L98" s="114">
        <v>0.71842012336621119</v>
      </c>
      <c r="M98" s="113">
        <v>13.529158984855092</v>
      </c>
      <c r="N98" s="113">
        <v>0.17886287224697064</v>
      </c>
      <c r="O98" s="113">
        <v>68.778015879133022</v>
      </c>
      <c r="P98" s="113">
        <v>64.624124244188181</v>
      </c>
      <c r="Q98" s="113">
        <v>73.298705347401182</v>
      </c>
      <c r="R98" s="113">
        <v>66.786026221035456</v>
      </c>
      <c r="S98" s="113">
        <v>68.500120275580954</v>
      </c>
      <c r="T98" s="113">
        <v>68.28180759400334</v>
      </c>
      <c r="U98" s="113">
        <v>65.379641954643731</v>
      </c>
      <c r="V98" s="113">
        <v>74.58164521025509</v>
      </c>
      <c r="W98" s="113">
        <v>64.238122967692973</v>
      </c>
      <c r="X98" s="113">
        <v>72.981024464599898</v>
      </c>
      <c r="Y98" s="113">
        <v>63.070010720009329</v>
      </c>
      <c r="Z98" s="113">
        <v>64.21627822208572</v>
      </c>
      <c r="AA98" s="113"/>
      <c r="AB98" s="113">
        <v>55.37138826341728</v>
      </c>
      <c r="AC98" s="113">
        <v>49.80681535630837</v>
      </c>
      <c r="AD98" s="113">
        <v>49.538406110833904</v>
      </c>
      <c r="AE98" s="113">
        <v>49.778790567039565</v>
      </c>
      <c r="AF98" s="113">
        <v>50.421842717465225</v>
      </c>
      <c r="AG98" s="113">
        <v>46.742661876113267</v>
      </c>
      <c r="AH98" s="113">
        <v>52.55357063718801</v>
      </c>
      <c r="AI98" s="113">
        <v>50.083428122090609</v>
      </c>
      <c r="AJ98" s="113">
        <v>52.379531627805626</v>
      </c>
      <c r="AK98" s="113">
        <v>49.137290147994193</v>
      </c>
      <c r="AL98" s="113">
        <v>51.679044523357554</v>
      </c>
      <c r="AM98" s="103">
        <v>51.882001290049892</v>
      </c>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c r="CH98" s="103"/>
      <c r="CI98" s="103"/>
      <c r="CJ98" s="103"/>
      <c r="CK98" s="103"/>
      <c r="CL98" s="103"/>
      <c r="CM98" s="103"/>
      <c r="CN98" s="103"/>
      <c r="CO98" s="103"/>
      <c r="CP98" s="103"/>
      <c r="CQ98" s="103"/>
      <c r="CR98" s="103"/>
      <c r="CS98" s="103"/>
      <c r="CT98" s="103"/>
      <c r="CU98" s="103"/>
      <c r="CV98" s="103"/>
      <c r="CW98" s="103"/>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row>
    <row r="99" spans="1:131">
      <c r="A99" s="79" t="s">
        <v>208</v>
      </c>
      <c r="B99" s="79"/>
      <c r="C99" s="113">
        <v>1265.2275583672172</v>
      </c>
      <c r="D99" s="113">
        <v>669.2414174560455</v>
      </c>
      <c r="E99" s="113">
        <v>133.84828349120912</v>
      </c>
      <c r="F99" s="113">
        <v>803.08970094725464</v>
      </c>
      <c r="G99" s="113">
        <v>1413.3430752505167</v>
      </c>
      <c r="H99" s="113">
        <v>759.57743011797675</v>
      </c>
      <c r="I99" s="113">
        <v>5560.3165879320077</v>
      </c>
      <c r="J99" s="113">
        <v>26.350045994274506</v>
      </c>
      <c r="K99" s="113">
        <v>75.06481082719074</v>
      </c>
      <c r="L99" s="114">
        <v>0.58046955380078424</v>
      </c>
      <c r="M99" s="113">
        <v>12.019760588206129</v>
      </c>
      <c r="N99" s="113">
        <v>0.15890780091609044</v>
      </c>
      <c r="O99" s="113">
        <v>61.104706177556558</v>
      </c>
      <c r="P99" s="113">
        <v>57.414248920214789</v>
      </c>
      <c r="Q99" s="113">
        <v>65.12103898605082</v>
      </c>
      <c r="R99" s="113">
        <v>59.334955462725141</v>
      </c>
      <c r="S99" s="113">
        <v>60.857814362111867</v>
      </c>
      <c r="T99" s="113">
        <v>60.663858021671949</v>
      </c>
      <c r="U99" s="113">
        <v>58.085476304710092</v>
      </c>
      <c r="V99" s="113">
        <v>66.260845977589028</v>
      </c>
      <c r="W99" s="113">
        <v>57.071312383257236</v>
      </c>
      <c r="X99" s="113">
        <v>64.838800588305915</v>
      </c>
      <c r="Y99" s="113">
        <v>56.033522113143178</v>
      </c>
      <c r="Z99" s="113">
        <v>57.051904775393105</v>
      </c>
      <c r="AA99" s="113"/>
      <c r="AB99" s="113">
        <v>49.193806585310973</v>
      </c>
      <c r="AC99" s="113">
        <v>44.250052565276171</v>
      </c>
      <c r="AD99" s="113">
        <v>44.011588749907034</v>
      </c>
      <c r="AE99" s="113">
        <v>44.225154398440885</v>
      </c>
      <c r="AF99" s="113">
        <v>44.796463590867411</v>
      </c>
      <c r="AG99" s="113">
        <v>41.527755393759982</v>
      </c>
      <c r="AH99" s="113">
        <v>46.690362484578799</v>
      </c>
      <c r="AI99" s="113">
        <v>44.495804664432221</v>
      </c>
      <c r="AJ99" s="113">
        <v>46.535740365929257</v>
      </c>
      <c r="AK99" s="113">
        <v>43.655223816444561</v>
      </c>
      <c r="AL99" s="113">
        <v>45.913404025583432</v>
      </c>
      <c r="AM99" s="103">
        <v>46.093717653956723</v>
      </c>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103"/>
      <c r="CD99" s="103"/>
      <c r="CE99" s="103"/>
      <c r="CF99" s="103"/>
      <c r="CG99" s="103"/>
      <c r="CH99" s="103"/>
      <c r="CI99" s="103"/>
      <c r="CJ99" s="103"/>
      <c r="CK99" s="103"/>
      <c r="CL99" s="103"/>
      <c r="CM99" s="103"/>
      <c r="CN99" s="103"/>
      <c r="CO99" s="103"/>
      <c r="CP99" s="103"/>
      <c r="CQ99" s="103"/>
      <c r="CR99" s="103"/>
      <c r="CS99" s="103"/>
      <c r="CT99" s="103"/>
      <c r="CU99" s="103"/>
      <c r="CV99" s="103"/>
      <c r="CW99" s="103"/>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row>
    <row r="100" spans="1:131">
      <c r="A100" s="79"/>
      <c r="B100" s="79"/>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c r="CA100" s="103"/>
      <c r="CB100" s="103"/>
      <c r="CC100" s="103"/>
      <c r="CD100" s="103"/>
      <c r="CE100" s="103"/>
      <c r="CF100" s="103"/>
      <c r="CG100" s="103"/>
      <c r="CH100" s="103"/>
      <c r="CI100" s="103"/>
      <c r="CJ100" s="103"/>
      <c r="CK100" s="103"/>
      <c r="CL100" s="103"/>
      <c r="CM100" s="103"/>
      <c r="CN100" s="103"/>
      <c r="CO100" s="103"/>
      <c r="CP100" s="103"/>
      <c r="CQ100" s="103"/>
      <c r="CR100" s="103"/>
      <c r="CS100" s="103"/>
      <c r="CT100" s="103"/>
      <c r="CU100" s="103"/>
      <c r="CV100" s="103"/>
      <c r="CW100" s="103"/>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row>
  </sheetData>
  <mergeCells count="3">
    <mergeCell ref="I6:N6"/>
    <mergeCell ref="O6:P6"/>
    <mergeCell ref="R6:T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forRPM</vt:lpstr>
      <vt:lpstr>SC-NR</vt:lpstr>
      <vt:lpstr>7PSourceSummary</vt:lpstr>
      <vt:lpstr>M_Input(Fixture wo OM)_Out</vt:lpstr>
      <vt:lpstr>M_Input(Fixture wo OM)</vt:lpstr>
      <vt:lpstr>M_Input(Fixture)_Out</vt:lpstr>
      <vt:lpstr>M_Input(Fixture)</vt:lpstr>
      <vt:lpstr>M_Input(per KSF)_Out</vt:lpstr>
      <vt:lpstr>M_Input(per KSF)</vt:lpstr>
      <vt:lpstr>Measure Development</vt:lpstr>
      <vt:lpstr>Base and EE Specs</vt:lpstr>
      <vt:lpstr>CLTC Studies</vt:lpstr>
      <vt:lpstr>Lists&amp;Tables</vt:lpstr>
      <vt:lpstr>Park Garage Data</vt:lpstr>
      <vt:lpstr>LOG</vt:lpstr>
      <vt:lpstr>MeasOut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dc:creator>
  <cp:lastModifiedBy>Charlie Grist</cp:lastModifiedBy>
  <dcterms:created xsi:type="dcterms:W3CDTF">2015-02-20T00:00:15Z</dcterms:created>
  <dcterms:modified xsi:type="dcterms:W3CDTF">2015-03-19T09:06:34Z</dcterms:modified>
</cp:coreProperties>
</file>